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saveExternalLinkValues="0" hidePivotFieldList="1"/>
  <mc:AlternateContent xmlns:mc="http://schemas.openxmlformats.org/markup-compatibility/2006">
    <mc:Choice Requires="x15">
      <x15ac:absPath xmlns:x15ac="http://schemas.microsoft.com/office/spreadsheetml/2010/11/ac" url="\\Icafs01\dca_dee\NEWSLETTER\2022-02 NEWS\"/>
    </mc:Choice>
  </mc:AlternateContent>
  <xr:revisionPtr revIDLastSave="0" documentId="13_ncr:1_{672A79B1-E5FA-47AC-9539-E26946A157E5}" xr6:coauthVersionLast="47" xr6:coauthVersionMax="47" xr10:uidLastSave="{00000000-0000-0000-0000-000000000000}"/>
  <workbookProtection workbookAlgorithmName="SHA-512" workbookHashValue="c579Lepbcgj71JabRV6OMfwyCgtqYzlG2LGcc+2bSzKD+GOGLFYWywSuiATvhie73fdU/eWGfyjhbfRZevv1NA==" workbookSaltValue="aaDEg85SZYNE0XBtWrStNA==" workbookSpinCount="100000" lockStructure="1"/>
  <bookViews>
    <workbookView xWindow="-120" yWindow="-120" windowWidth="29040" windowHeight="15840" tabRatio="718" firstSheet="2" activeTab="2" xr2:uid="{00000000-000D-0000-FFFF-FFFF00000000}"/>
  </bookViews>
  <sheets>
    <sheet name="Capa" sheetId="26" state="hidden" r:id="rId1"/>
    <sheet name="MENU" sheetId="23" state="hidden" r:id="rId2"/>
    <sheet name="3-4" sheetId="13" r:id="rId3"/>
    <sheet name="5" sheetId="30" r:id="rId4"/>
    <sheet name="6" sheetId="31" r:id="rId5"/>
    <sheet name="7" sheetId="16" r:id="rId6"/>
    <sheet name="8-9" sheetId="17" r:id="rId7"/>
    <sheet name="10-11" sheetId="18" r:id="rId8"/>
    <sheet name="12-13-14" sheetId="44" r:id="rId9"/>
    <sheet name="15" sheetId="11" r:id="rId10"/>
    <sheet name="16-..." sheetId="45" r:id="rId11"/>
    <sheet name="15-16" sheetId="38" state="hidden" r:id="rId12"/>
    <sheet name="NEWSLETTER" sheetId="41" state="hidden" r:id="rId13"/>
    <sheet name="TABELAS" sheetId="25" state="hidden" r:id="rId14"/>
    <sheet name="PRÉMIOS" sheetId="43"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'6'!$B$3:$I$11</definedName>
    <definedName name="Ano" localSheetId="12">[1]Tabelas!$C$3:$C$41</definedName>
    <definedName name="Ano" localSheetId="14">[2]!Tabela4[Ano]</definedName>
    <definedName name="Ano">[3]!Tabela4[Ano]</definedName>
    <definedName name="ANOTODO" localSheetId="10">'[4]5'!#REF!</definedName>
    <definedName name="ANOTODO" localSheetId="4">'6'!#REF!</definedName>
    <definedName name="ANOTODO">'5'!#REF!</definedName>
    <definedName name="ANOTODO1">'[5]5'!#REF!</definedName>
    <definedName name="APOIO" localSheetId="12">[6]!TAPOIO[ÁREA DE APOIO]</definedName>
    <definedName name="APOIO">[6]!TAPOIO[ÁREA DE APOIO]</definedName>
    <definedName name="_xlnm.Print_Area" localSheetId="7">'10-11'!$A$1:$G$43,'10-11'!$I$1:$XFD$43</definedName>
    <definedName name="_xlnm.Print_Area" localSheetId="8">'12-13-14'!$B$1:$H$48</definedName>
    <definedName name="_xlnm.Print_Area" localSheetId="9">'15'!$A$1:$I$42</definedName>
    <definedName name="_xlnm.Print_Area" localSheetId="11">'15-16'!$B$2:$E$14</definedName>
    <definedName name="_xlnm.Print_Area" localSheetId="10">'16-...'!$B$2:$E$34</definedName>
    <definedName name="_xlnm.Print_Area" localSheetId="2">'3-4'!$B$1:$P$55</definedName>
    <definedName name="_xlnm.Print_Area" localSheetId="4">'6'!$A$1:$J$13</definedName>
    <definedName name="_xlnm.Print_Area" localSheetId="5">'7'!$A$1:$R$34</definedName>
    <definedName name="_xlnm.Print_Area" localSheetId="6">'8-9'!$A$1:$I$36</definedName>
    <definedName name="_xlnm.Print_Area" localSheetId="0">Capa!$A$1:$A$53</definedName>
    <definedName name="_xlnm.Print_Area" localSheetId="1">MENU!$B$1:$C$16</definedName>
    <definedName name="_xlnm.Print_Area" localSheetId="12">NEWSLETTER!$J$1:$S$47</definedName>
    <definedName name="BENE" localSheetId="12">[6]!BENEFICIÁRIO[PRODUTOR / BENEFICIÁRIO]</definedName>
    <definedName name="BENE">[6]!BENEFICIÁRIO[PRODUTOR / BENEFICIÁRIO]</definedName>
    <definedName name="Cat" localSheetId="14">[2]!Categoria[Categoria]</definedName>
    <definedName name="Cat">[3]!Categoria[Categoria]</definedName>
    <definedName name="Cid" localSheetId="14">[2]!Tabela9[Cidade]</definedName>
    <definedName name="Cid">[3]!CIDADES[Cidade]</definedName>
    <definedName name="COUNTRY">[3]!TPAÍS[COUNTRY]</definedName>
    <definedName name="DADO">[6]!DADOS[#Data]</definedName>
    <definedName name="ENTIDADES">[6]!TENTIDADES[ENTIDADES (NOME COMUM)]</definedName>
    <definedName name="Event" localSheetId="14">[2]!FESTIVAIS[Evento (nome completo)]</definedName>
    <definedName name="Event">[3]!FESTIVAIS[Evento (nome completo)]</definedName>
    <definedName name="Fase">[1]Tabelas!$A$3:$A$5</definedName>
    <definedName name="Ficha" localSheetId="8">#REF!</definedName>
    <definedName name="Ficha" localSheetId="14">[2]!FESTIVAIS[Ficha]</definedName>
    <definedName name="Ficha">#REF!</definedName>
    <definedName name="Filme">[3]!FILMES[Filme]</definedName>
    <definedName name="FilmeId">[6]!Tabela_icamsql_ICAMCENTRAL_Filmes[FilmeId]</definedName>
    <definedName name="formato">[7]!FORMATOS[FORMATO]</definedName>
    <definedName name="ICAMPT">[6]!Tabela_icamsql_ICAMCENTRAL_Filmes[[Descricao]:[_DocLicencaIGAC]]</definedName>
    <definedName name="ID_FILME">[3]!FILMES[ID Filme]</definedName>
    <definedName name="JURIDICA">[6]!JURÍDICA[SITUAÇÃO JURÍDICA]</definedName>
    <definedName name="MATRIZ">[1]Tabelas!$G$3:$O$6</definedName>
    <definedName name="Met" localSheetId="14">[2]!Tabela3[Metragem]</definedName>
    <definedName name="Met">[3]!Tabela3[Metragem]</definedName>
    <definedName name="METRAGEM" localSheetId="12">[6]!TMETRAGEM[METRAGEM]</definedName>
    <definedName name="METRAGEM">[6]!TMETRAGEM[METRAGEM]</definedName>
    <definedName name="NOME_COMUM" localSheetId="12">[6]!TPROGRAMA[NOME COMUM]</definedName>
    <definedName name="NOME_COMUM">[6]!TPROGRAMA[NOME COMUM]</definedName>
    <definedName name="P">[3]!TPAÍS[PORTUGUÊS]</definedName>
    <definedName name="Prod" localSheetId="14">[2]!Tabela6[Produtor]</definedName>
    <definedName name="Prod">[3]!Tabela6[Produtor]</definedName>
    <definedName name="PROGRAMA" localSheetId="12">[6]!TPROGRAMA[NOME COMPLETO]</definedName>
    <definedName name="PROGRAMA">[6]!TPROGRAMA[NOME COMPLETO]</definedName>
    <definedName name="PROGRAMA_APOIO_AGRUPADO">[6]!PROGRAMA_AGRUPADO[PROGRAMA DE APOIO
(AGRUPADO)]</definedName>
    <definedName name="Real" localSheetId="14">[2]!REALIZADOR[Realizador]</definedName>
    <definedName name="Real">[3]!REALIZADOR[Realizador]</definedName>
    <definedName name="REALIZADOR" localSheetId="12">[6]!Tabela8[REALIZADOR]</definedName>
    <definedName name="REALIZADOR">[6]!Tabela8[REALIZADOR]</definedName>
    <definedName name="SITUAÇÃO" localSheetId="12">[6]!TSITUAÇÃO[SITUAÇÃO]</definedName>
    <definedName name="SITUAÇÃO">[6]!TSITUAÇÃO[SITUAÇÃO]</definedName>
    <definedName name="SUB_PROJETO">[6]FONTES!$W$5</definedName>
    <definedName name="Tip" localSheetId="14">[2]!Tabela2[Tipo]</definedName>
    <definedName name="Tip">[3]!Tabela2[Tipo]</definedName>
    <definedName name="_xlnm.Print_Titles" localSheetId="11">'15-16'!$2:$3</definedName>
    <definedName name="_xlnm.Print_Titles" localSheetId="10">'16-...'!$2:$4</definedName>
    <definedName name="_xlnm.Print_Titles" localSheetId="12">NEWSLETTER!$2:$7</definedName>
  </definedNames>
  <calcPr calcId="191029"/>
  <pivotCaches>
    <pivotCache cacheId="0" r:id="rId25"/>
    <pivotCache cacheId="1"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9" i="44" l="1"/>
  <c r="F9" i="16"/>
  <c r="E9" i="16"/>
  <c r="S21" i="44" l="1"/>
  <c r="T21" i="44"/>
  <c r="U21" i="44"/>
  <c r="M10" i="17"/>
  <c r="F9" i="17"/>
  <c r="L15" i="16"/>
  <c r="L12" i="16"/>
  <c r="F13" i="16"/>
  <c r="F14" i="16"/>
  <c r="F15" i="16"/>
  <c r="F16" i="16"/>
  <c r="F12" i="16"/>
  <c r="F10" i="16"/>
  <c r="E7" i="16"/>
  <c r="F7" i="16"/>
  <c r="E57" i="13" l="1"/>
  <c r="K19" i="13"/>
  <c r="L7" i="13"/>
  <c r="L19" i="13" s="1"/>
  <c r="K7" i="13"/>
  <c r="E19" i="13"/>
  <c r="E7" i="13"/>
  <c r="D19" i="13"/>
  <c r="D7" i="13"/>
  <c r="G7" i="13" l="1"/>
  <c r="F7" i="13" s="1"/>
  <c r="N7" i="13"/>
  <c r="M7" i="13" s="1"/>
  <c r="N10" i="13" l="1"/>
  <c r="N11" i="13"/>
  <c r="G10" i="13"/>
  <c r="G11" i="13"/>
  <c r="H14" i="45" l="1"/>
  <c r="I14" i="45"/>
  <c r="J14" i="45"/>
  <c r="K14" i="45"/>
  <c r="L14" i="45"/>
  <c r="M14" i="45"/>
  <c r="N14" i="45"/>
  <c r="O14" i="45"/>
  <c r="P14" i="45"/>
  <c r="B21" i="11"/>
  <c r="B22" i="11"/>
  <c r="B23" i="11"/>
  <c r="B24" i="11"/>
  <c r="B25" i="11"/>
  <c r="B26" i="11"/>
  <c r="B27" i="11"/>
  <c r="B28" i="11"/>
  <c r="B29" i="11"/>
  <c r="B30" i="11"/>
  <c r="B31" i="11"/>
  <c r="B32" i="11"/>
  <c r="B33" i="11"/>
  <c r="B34" i="11"/>
  <c r="B35" i="11"/>
  <c r="B36" i="11"/>
  <c r="B37" i="11"/>
  <c r="B38" i="11"/>
  <c r="B39" i="11"/>
  <c r="C40" i="11"/>
  <c r="D40" i="11"/>
  <c r="E40" i="11"/>
  <c r="F40" i="11"/>
  <c r="G40" i="11"/>
  <c r="H40" i="11"/>
  <c r="O4" i="30"/>
  <c r="P4" i="30"/>
  <c r="Q4" i="30"/>
  <c r="R4" i="30"/>
  <c r="S4" i="30"/>
  <c r="T4" i="30"/>
  <c r="U4" i="30"/>
  <c r="O5" i="30"/>
  <c r="P5" i="30"/>
  <c r="Q5" i="30"/>
  <c r="R5" i="30"/>
  <c r="S5" i="30"/>
  <c r="T5" i="30"/>
  <c r="U5" i="30"/>
  <c r="O6" i="30"/>
  <c r="P6" i="30"/>
  <c r="Q6" i="30"/>
  <c r="R6" i="30"/>
  <c r="S6" i="30"/>
  <c r="T6" i="30"/>
  <c r="U6" i="30"/>
  <c r="O7" i="30"/>
  <c r="P7" i="30"/>
  <c r="Q7" i="30"/>
  <c r="R7" i="30"/>
  <c r="S7" i="30"/>
  <c r="T7" i="30"/>
  <c r="U7" i="30"/>
  <c r="O8" i="30"/>
  <c r="P8" i="30"/>
  <c r="Q8" i="30"/>
  <c r="R8" i="30"/>
  <c r="S8" i="30"/>
  <c r="T8" i="30"/>
  <c r="U8" i="30"/>
  <c r="G45" i="13"/>
  <c r="F45" i="13" s="1"/>
  <c r="N45" i="13"/>
  <c r="M45" i="13" s="1"/>
  <c r="G46" i="13"/>
  <c r="F46" i="13" s="1"/>
  <c r="N46" i="13"/>
  <c r="M46" i="13" s="1"/>
  <c r="G47" i="13"/>
  <c r="F47" i="13" s="1"/>
  <c r="N47" i="13"/>
  <c r="M47" i="13" s="1"/>
  <c r="G48" i="13"/>
  <c r="F48" i="13" s="1"/>
  <c r="N48" i="13"/>
  <c r="M48" i="13" s="1"/>
  <c r="G49" i="13"/>
  <c r="F49" i="13" s="1"/>
  <c r="N49" i="13"/>
  <c r="M49" i="13" s="1"/>
  <c r="G50" i="13"/>
  <c r="F50" i="13" s="1"/>
  <c r="N50" i="13"/>
  <c r="M50" i="13" s="1"/>
  <c r="G51" i="13"/>
  <c r="F51" i="13" s="1"/>
  <c r="N51" i="13"/>
  <c r="M51" i="13" s="1"/>
  <c r="G52" i="13"/>
  <c r="F52" i="13" s="1"/>
  <c r="N52" i="13"/>
  <c r="M52" i="13" s="1"/>
  <c r="G53" i="13"/>
  <c r="F53" i="13" s="1"/>
  <c r="N53" i="13"/>
  <c r="M53" i="13" s="1"/>
  <c r="G54" i="13"/>
  <c r="F54" i="13" s="1"/>
  <c r="N54" i="13"/>
  <c r="M54" i="13" s="1"/>
  <c r="G55" i="13"/>
  <c r="F55" i="13" s="1"/>
  <c r="N55" i="13"/>
  <c r="M55" i="13" s="1"/>
  <c r="G56" i="13"/>
  <c r="F56" i="13" s="1"/>
  <c r="N56" i="13"/>
  <c r="M56" i="13" s="1"/>
  <c r="D57" i="13"/>
  <c r="G57" i="13"/>
  <c r="F57" i="13" s="1"/>
  <c r="K57" i="13"/>
  <c r="L57" i="13"/>
  <c r="G58" i="13"/>
  <c r="F58" i="13" s="1"/>
  <c r="N58" i="13"/>
  <c r="M58" i="13" s="1"/>
  <c r="B6" i="16"/>
  <c r="B7" i="16"/>
  <c r="B8" i="16"/>
  <c r="B9" i="16"/>
  <c r="B10" i="16"/>
  <c r="B11" i="16"/>
  <c r="B12" i="16"/>
  <c r="B13" i="16"/>
  <c r="B14" i="16"/>
  <c r="B15" i="16"/>
  <c r="M11" i="13"/>
  <c r="M10" i="13"/>
  <c r="F10" i="13"/>
  <c r="E15" i="16"/>
  <c r="N57" i="13" l="1"/>
  <c r="M57" i="13" s="1"/>
  <c r="I14" i="17"/>
  <c r="I9" i="17"/>
  <c r="I8" i="17"/>
  <c r="I7" i="17"/>
  <c r="I6" i="17"/>
  <c r="I10" i="17"/>
  <c r="I11" i="17"/>
  <c r="I12" i="17"/>
  <c r="I13" i="17"/>
  <c r="F11" i="13" l="1"/>
  <c r="D19" i="44"/>
  <c r="B11" i="44" l="1"/>
  <c r="B6" i="17" l="1"/>
  <c r="H4" i="30"/>
  <c r="J10" i="44" l="1"/>
  <c r="L59" i="16" l="1"/>
  <c r="K59" i="16" s="1"/>
  <c r="K15" i="16"/>
  <c r="F59" i="16"/>
  <c r="E59" i="16" s="1"/>
  <c r="C4" i="31"/>
  <c r="D4" i="31"/>
  <c r="E4" i="31"/>
  <c r="F4" i="31"/>
  <c r="G4" i="31"/>
  <c r="H4" i="31"/>
  <c r="I4" i="31"/>
  <c r="J4" i="31"/>
  <c r="C5" i="31"/>
  <c r="D5" i="31"/>
  <c r="E5" i="31"/>
  <c r="F5" i="31"/>
  <c r="G5" i="31"/>
  <c r="I5" i="31"/>
  <c r="J5" i="31"/>
  <c r="C6" i="31"/>
  <c r="D6" i="31"/>
  <c r="E6" i="31"/>
  <c r="F6" i="31"/>
  <c r="G6" i="31"/>
  <c r="H6" i="31"/>
  <c r="I6" i="31"/>
  <c r="J6" i="31"/>
  <c r="C7" i="31"/>
  <c r="D7" i="31"/>
  <c r="E7" i="31"/>
  <c r="F7" i="31"/>
  <c r="G7" i="31"/>
  <c r="H7" i="31"/>
  <c r="I7" i="31"/>
  <c r="J7" i="31"/>
  <c r="C8" i="31"/>
  <c r="D8" i="31"/>
  <c r="E8" i="31"/>
  <c r="F8" i="31"/>
  <c r="G8" i="31"/>
  <c r="H8" i="31"/>
  <c r="I8" i="31"/>
  <c r="J8" i="31"/>
  <c r="C9" i="31"/>
  <c r="D9" i="31"/>
  <c r="E9" i="31"/>
  <c r="F9" i="31"/>
  <c r="G9" i="31"/>
  <c r="H9" i="31"/>
  <c r="I9" i="31"/>
  <c r="J9" i="31"/>
  <c r="C10" i="31"/>
  <c r="D10" i="31"/>
  <c r="E10" i="31"/>
  <c r="F10" i="31"/>
  <c r="G10" i="31"/>
  <c r="H10" i="31"/>
  <c r="I10" i="31"/>
  <c r="J10" i="31"/>
  <c r="C11" i="31"/>
  <c r="D11" i="31"/>
  <c r="E11" i="31"/>
  <c r="F11" i="31"/>
  <c r="G11" i="31"/>
  <c r="H11" i="31"/>
  <c r="I11" i="31"/>
  <c r="J11" i="31"/>
  <c r="C12" i="31"/>
  <c r="D12" i="31"/>
  <c r="E12" i="31"/>
  <c r="F12" i="31"/>
  <c r="G12" i="31"/>
  <c r="H12" i="31"/>
  <c r="I12" i="31"/>
  <c r="J12" i="31"/>
  <c r="C13" i="31"/>
  <c r="D13" i="31"/>
  <c r="E13" i="31"/>
  <c r="F13" i="31"/>
  <c r="G13" i="31"/>
  <c r="H13" i="31"/>
  <c r="I13" i="31"/>
  <c r="J13" i="31"/>
  <c r="I4" i="30"/>
  <c r="B16" i="44" l="1"/>
  <c r="G19" i="13" l="1"/>
  <c r="N16" i="13"/>
  <c r="N18" i="13"/>
  <c r="N19" i="13"/>
  <c r="G17" i="13"/>
  <c r="J16" i="17" l="1"/>
  <c r="J19" i="17" s="1"/>
  <c r="J20" i="17" s="1"/>
  <c r="K35" i="13" l="1"/>
  <c r="Q14" i="45"/>
  <c r="Q22" i="45" l="1"/>
  <c r="P22" i="45" s="1"/>
  <c r="G9" i="13"/>
  <c r="F9" i="13" s="1"/>
  <c r="B17" i="44" l="1"/>
  <c r="B7" i="44"/>
  <c r="C13" i="30" l="1"/>
  <c r="C10" i="30"/>
  <c r="C11" i="30"/>
  <c r="D11" i="30"/>
  <c r="F13" i="30"/>
  <c r="C6" i="30" l="1"/>
  <c r="D6" i="30"/>
  <c r="E6" i="30"/>
  <c r="F6" i="30"/>
  <c r="G6" i="30"/>
  <c r="G13" i="30"/>
  <c r="H13" i="30"/>
  <c r="H12" i="30"/>
  <c r="H10" i="30"/>
  <c r="H7" i="30"/>
  <c r="H5" i="30"/>
  <c r="E10" i="16" l="1"/>
  <c r="F11" i="16"/>
  <c r="E11" i="16" s="1"/>
  <c r="E12" i="16"/>
  <c r="E13" i="16"/>
  <c r="E14" i="16"/>
  <c r="K15" i="18" l="1"/>
  <c r="G7" i="30" l="1"/>
  <c r="G11" i="30"/>
  <c r="F10" i="30"/>
  <c r="C9" i="30"/>
  <c r="C4" i="30"/>
  <c r="J15" i="44" l="1"/>
  <c r="J14" i="44"/>
  <c r="F6" i="16" l="1"/>
  <c r="D4" i="30" l="1"/>
  <c r="C19" i="44" l="1"/>
  <c r="D36" i="13" s="1"/>
  <c r="G4" i="30" l="1"/>
  <c r="F4" i="30"/>
  <c r="H6" i="30" l="1"/>
  <c r="D7" i="30"/>
  <c r="D5" i="30"/>
  <c r="I13" i="30" l="1"/>
  <c r="E4" i="30"/>
  <c r="D8" i="30"/>
  <c r="J7" i="44" l="1"/>
  <c r="J16" i="44"/>
  <c r="J13" i="44"/>
  <c r="G16" i="13" l="1"/>
  <c r="F16" i="13" s="1"/>
  <c r="M16" i="13"/>
  <c r="C5" i="30" l="1"/>
  <c r="C7" i="30"/>
  <c r="C8" i="30"/>
  <c r="C12" i="30"/>
  <c r="I7" i="30" l="1"/>
  <c r="F9" i="30"/>
  <c r="D10" i="30"/>
  <c r="D13" i="30" l="1"/>
  <c r="E13" i="30"/>
  <c r="B14" i="17" l="1"/>
  <c r="E11" i="30" l="1"/>
  <c r="F11" i="30"/>
  <c r="F8" i="30"/>
  <c r="F5" i="30"/>
  <c r="R8" i="44" l="1"/>
  <c r="L29" i="25" s="1"/>
  <c r="B13" i="17" l="1"/>
  <c r="F7" i="30" l="1"/>
  <c r="E8" i="30"/>
  <c r="D12" i="30"/>
  <c r="D9" i="30"/>
  <c r="M14" i="17" l="1"/>
  <c r="L14" i="17" s="1"/>
  <c r="F14" i="17"/>
  <c r="E14" i="17" s="1"/>
  <c r="L13" i="16" l="1"/>
  <c r="K13" i="16" s="1"/>
  <c r="F60" i="16"/>
  <c r="E60" i="16" s="1"/>
  <c r="L57" i="16"/>
  <c r="L58" i="16"/>
  <c r="L60" i="16"/>
  <c r="K60" i="16" s="1"/>
  <c r="I10" i="30"/>
  <c r="I5" i="30"/>
  <c r="I6" i="30"/>
  <c r="I8" i="30"/>
  <c r="I9" i="30"/>
  <c r="I11" i="30"/>
  <c r="I12" i="30"/>
  <c r="H8" i="30"/>
  <c r="H9" i="30"/>
  <c r="H11" i="30"/>
  <c r="G5" i="30"/>
  <c r="G8" i="30"/>
  <c r="G9" i="30"/>
  <c r="G10" i="30"/>
  <c r="G12" i="30"/>
  <c r="F12" i="30"/>
  <c r="E5" i="30"/>
  <c r="E7" i="30"/>
  <c r="E9" i="30"/>
  <c r="E10" i="30"/>
  <c r="E12" i="30"/>
  <c r="O11" i="30" l="1"/>
  <c r="L6" i="16" l="1"/>
  <c r="C16" i="17" l="1"/>
  <c r="D35" i="13" l="1"/>
  <c r="D37" i="13" s="1"/>
  <c r="D34" i="13"/>
  <c r="F8" i="16"/>
  <c r="E8" i="16" s="1"/>
  <c r="B11" i="17" l="1"/>
  <c r="K19" i="44" l="1"/>
  <c r="N15" i="44"/>
  <c r="M15" i="44" s="1"/>
  <c r="F15" i="44"/>
  <c r="K36" i="13" l="1"/>
  <c r="K34" i="13"/>
  <c r="E16" i="16"/>
  <c r="R9" i="44" l="1"/>
  <c r="R10" i="44"/>
  <c r="R11" i="44"/>
  <c r="R12" i="44"/>
  <c r="R13" i="44"/>
  <c r="R14" i="44"/>
  <c r="R15" i="44"/>
  <c r="R16" i="44"/>
  <c r="R7" i="44"/>
  <c r="D16" i="17" l="1"/>
  <c r="L19" i="44" l="1"/>
  <c r="J8" i="44"/>
  <c r="J9" i="44"/>
  <c r="J11" i="44"/>
  <c r="J12" i="44"/>
  <c r="J17" i="44"/>
  <c r="E15" i="44" l="1"/>
  <c r="N17" i="44" l="1"/>
  <c r="M17" i="44" s="1"/>
  <c r="F17" i="44"/>
  <c r="E17" i="44" s="1"/>
  <c r="B20" i="11" l="1"/>
  <c r="N16" i="44"/>
  <c r="L55" i="16" l="1"/>
  <c r="L56" i="16"/>
  <c r="C17" i="16" l="1"/>
  <c r="L7" i="16" l="1"/>
  <c r="K7" i="16" s="1"/>
  <c r="L8" i="16"/>
  <c r="K8" i="16" s="1"/>
  <c r="L9" i="16"/>
  <c r="K9" i="16" s="1"/>
  <c r="L10" i="16"/>
  <c r="K10" i="16" s="1"/>
  <c r="L11" i="16"/>
  <c r="K11" i="16" s="1"/>
  <c r="K12" i="16"/>
  <c r="L14" i="16"/>
  <c r="K14" i="16" s="1"/>
  <c r="B7" i="17" l="1"/>
  <c r="B8" i="17"/>
  <c r="B9" i="17"/>
  <c r="B10" i="17"/>
  <c r="B12" i="17"/>
  <c r="U18" i="44" l="1"/>
  <c r="M16" i="44"/>
  <c r="F14" i="44"/>
  <c r="E14" i="44" s="1"/>
  <c r="F16" i="44"/>
  <c r="E16" i="44" s="1"/>
  <c r="B8" i="44"/>
  <c r="B9" i="44"/>
  <c r="D30" i="25" s="1"/>
  <c r="B10" i="44"/>
  <c r="B12" i="44"/>
  <c r="B13" i="44"/>
  <c r="B14" i="44"/>
  <c r="B15" i="44"/>
  <c r="M12" i="17" l="1"/>
  <c r="D9" i="25"/>
  <c r="D10" i="25"/>
  <c r="K55" i="16"/>
  <c r="K56" i="16"/>
  <c r="K57" i="16"/>
  <c r="F54" i="16"/>
  <c r="E54" i="16" s="1"/>
  <c r="F55" i="16"/>
  <c r="E55" i="16" s="1"/>
  <c r="F56" i="16"/>
  <c r="E56" i="16" s="1"/>
  <c r="F57" i="16"/>
  <c r="E57" i="16" s="1"/>
  <c r="G6" i="13" l="1"/>
  <c r="N14" i="44" l="1"/>
  <c r="M14" i="44" s="1"/>
  <c r="F18" i="44"/>
  <c r="E18" i="44" s="1"/>
  <c r="F6" i="25"/>
  <c r="F7" i="25"/>
  <c r="F8" i="25"/>
  <c r="F9" i="25"/>
  <c r="F10" i="25"/>
  <c r="E6" i="25"/>
  <c r="E7" i="25"/>
  <c r="E8" i="25"/>
  <c r="E9" i="25"/>
  <c r="E10" i="25"/>
  <c r="D6" i="25"/>
  <c r="D7" i="25"/>
  <c r="D8" i="25"/>
  <c r="M9" i="17" l="1"/>
  <c r="L9" i="17" s="1"/>
  <c r="F13" i="17"/>
  <c r="E13" i="17" s="1"/>
  <c r="E9" i="17"/>
  <c r="L53" i="16" l="1"/>
  <c r="K53" i="16" s="1"/>
  <c r="L54" i="16"/>
  <c r="K54" i="16" s="1"/>
  <c r="K58" i="16"/>
  <c r="F53" i="16"/>
  <c r="E53" i="16" s="1"/>
  <c r="F58" i="16"/>
  <c r="E58" i="16" s="1"/>
  <c r="M13" i="17" l="1"/>
  <c r="F10" i="17" l="1"/>
  <c r="E10" i="17" s="1"/>
  <c r="M11" i="17"/>
  <c r="L11" i="17" s="1"/>
  <c r="K32" i="25" l="1"/>
  <c r="K29" i="25"/>
  <c r="K30" i="25"/>
  <c r="K31" i="25"/>
  <c r="K28" i="25"/>
  <c r="L28" i="25" l="1"/>
  <c r="C15" i="18"/>
  <c r="E15" i="18"/>
  <c r="F5" i="18" s="1"/>
  <c r="D5" i="18" l="1"/>
  <c r="F11" i="17" l="1"/>
  <c r="D17" i="16"/>
  <c r="F17" i="16" l="1"/>
  <c r="A24" i="13"/>
  <c r="E12" i="25"/>
  <c r="L10" i="17" l="1"/>
  <c r="E11" i="17"/>
  <c r="M19" i="13" l="1"/>
  <c r="L16" i="16" l="1"/>
  <c r="K16" i="16" s="1"/>
  <c r="K6" i="16"/>
  <c r="L61" i="16"/>
  <c r="K61" i="16" s="1"/>
  <c r="N15" i="13"/>
  <c r="M15" i="13" s="1"/>
  <c r="B9" i="11" l="1"/>
  <c r="B10" i="11"/>
  <c r="B11" i="11"/>
  <c r="B12" i="11"/>
  <c r="B13" i="11"/>
  <c r="B14" i="11"/>
  <c r="B8" i="11"/>
  <c r="L12" i="17" l="1"/>
  <c r="G13" i="13"/>
  <c r="F13" i="13" s="1"/>
  <c r="G14" i="13"/>
  <c r="F14" i="13" s="1"/>
  <c r="G15" i="13"/>
  <c r="F15" i="13" s="1"/>
  <c r="D7" i="18" l="1"/>
  <c r="D11" i="18"/>
  <c r="D9" i="18"/>
  <c r="D14" i="18"/>
  <c r="D6" i="18"/>
  <c r="D10" i="18"/>
  <c r="D8" i="18"/>
  <c r="D12" i="18"/>
  <c r="D13" i="18"/>
  <c r="L30" i="25"/>
  <c r="L31" i="25"/>
  <c r="G29" i="25"/>
  <c r="G30" i="25"/>
  <c r="G31" i="25"/>
  <c r="G28" i="25"/>
  <c r="D29" i="25"/>
  <c r="D31" i="25"/>
  <c r="F61" i="16" l="1"/>
  <c r="E61" i="16" s="1"/>
  <c r="L52" i="16"/>
  <c r="K52" i="16" s="1"/>
  <c r="F52" i="16"/>
  <c r="E52" i="16" s="1"/>
  <c r="L51" i="16"/>
  <c r="K51" i="16" s="1"/>
  <c r="F51" i="16"/>
  <c r="E51" i="16" s="1"/>
  <c r="I30" i="25" l="1"/>
  <c r="I32" i="25"/>
  <c r="I31" i="25"/>
  <c r="I29" i="25"/>
  <c r="L13" i="17" l="1"/>
  <c r="R18" i="16" l="1"/>
  <c r="Q18" i="16"/>
  <c r="F19" i="44" l="1"/>
  <c r="J17" i="16" l="1"/>
  <c r="I17" i="16"/>
  <c r="F12" i="25" l="1"/>
  <c r="A22" i="13"/>
  <c r="L17" i="16"/>
  <c r="K17" i="16" s="1"/>
  <c r="N9" i="13" l="1"/>
  <c r="M9" i="13" s="1"/>
  <c r="I28" i="25" l="1"/>
  <c r="F29" i="25"/>
  <c r="F30" i="25"/>
  <c r="F31" i="25"/>
  <c r="F28" i="25"/>
  <c r="D28" i="25"/>
  <c r="T18" i="44" l="1"/>
  <c r="K33" i="25" s="1"/>
  <c r="S18" i="44"/>
  <c r="F15" i="17" l="1"/>
  <c r="E15" i="17" s="1"/>
  <c r="N20" i="44" l="1"/>
  <c r="M20" i="44" s="1"/>
  <c r="F20" i="44"/>
  <c r="E20" i="44" s="1"/>
  <c r="N18" i="44"/>
  <c r="M18" i="44" s="1"/>
  <c r="F32" i="25"/>
  <c r="N13" i="44"/>
  <c r="M13" i="44" s="1"/>
  <c r="F13" i="44"/>
  <c r="E13" i="44" s="1"/>
  <c r="N12" i="44"/>
  <c r="M12" i="44" s="1"/>
  <c r="F12" i="44"/>
  <c r="E12" i="44" s="1"/>
  <c r="N11" i="44"/>
  <c r="M11" i="44" s="1"/>
  <c r="F11" i="44"/>
  <c r="E11" i="44" s="1"/>
  <c r="N10" i="44"/>
  <c r="M10" i="44" s="1"/>
  <c r="F10" i="44"/>
  <c r="E10" i="44" s="1"/>
  <c r="N9" i="44"/>
  <c r="M9" i="44" s="1"/>
  <c r="F9" i="44"/>
  <c r="E9" i="44" s="1"/>
  <c r="N8" i="44"/>
  <c r="M8" i="44" s="1"/>
  <c r="F8" i="44"/>
  <c r="E8" i="44" s="1"/>
  <c r="N7" i="44"/>
  <c r="M7" i="44" s="1"/>
  <c r="F7" i="44"/>
  <c r="E7" i="44" s="1"/>
  <c r="E9" i="43" l="1"/>
  <c r="O6" i="16" l="1"/>
  <c r="B7" i="41" l="1"/>
  <c r="F12" i="17" l="1"/>
  <c r="E12" i="17" s="1"/>
  <c r="E17" i="16" l="1"/>
  <c r="D18" i="25" l="1"/>
  <c r="I18" i="25" s="1"/>
  <c r="D19" i="25"/>
  <c r="I19" i="25" s="1"/>
  <c r="D20" i="25"/>
  <c r="I20" i="25" s="1"/>
  <c r="F18" i="25"/>
  <c r="F19" i="25"/>
  <c r="F20" i="25"/>
  <c r="H18" i="25"/>
  <c r="H19" i="25"/>
  <c r="H20" i="25"/>
  <c r="K16" i="17"/>
  <c r="I21" i="25"/>
  <c r="D17" i="25"/>
  <c r="I17" i="25" s="1"/>
  <c r="H17" i="25"/>
  <c r="F17" i="25"/>
  <c r="C22" i="25"/>
  <c r="H22" i="25" l="1"/>
  <c r="H21" i="25" s="1"/>
  <c r="F22" i="25"/>
  <c r="F21" i="25" s="1"/>
  <c r="E18" i="25" s="1"/>
  <c r="B18" i="25" s="1"/>
  <c r="A18" i="25" s="1"/>
  <c r="M16" i="17"/>
  <c r="L16" i="17" s="1"/>
  <c r="F16" i="17"/>
  <c r="E16" i="17" s="1"/>
  <c r="I18" i="38"/>
  <c r="J18" i="38"/>
  <c r="E20" i="25" l="1"/>
  <c r="B20" i="25" s="1"/>
  <c r="A20" i="25" s="1"/>
  <c r="E21" i="25"/>
  <c r="E19" i="25"/>
  <c r="B19" i="25" s="1"/>
  <c r="A19" i="25" s="1"/>
  <c r="J36" i="38"/>
  <c r="I36" i="38"/>
  <c r="J31" i="38"/>
  <c r="I31" i="38"/>
  <c r="J24" i="38"/>
  <c r="I24" i="38"/>
  <c r="Y5" i="25" l="1"/>
  <c r="Y6" i="25"/>
  <c r="Y7" i="25"/>
  <c r="Y8" i="25"/>
  <c r="Y9" i="25"/>
  <c r="Y10" i="25"/>
  <c r="Y11" i="25"/>
  <c r="Y12" i="25"/>
  <c r="Y13" i="25"/>
  <c r="Y14" i="25"/>
  <c r="Y15" i="25"/>
  <c r="Y16" i="25"/>
  <c r="Y17" i="25"/>
  <c r="Y18" i="25"/>
  <c r="Y19" i="25"/>
  <c r="Y20" i="25"/>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Y138" i="25"/>
  <c r="Y139" i="25"/>
  <c r="Y140" i="25"/>
  <c r="Y141" i="25"/>
  <c r="Y142" i="25"/>
  <c r="Y143" i="25"/>
  <c r="Y144" i="25"/>
  <c r="Y145" i="25"/>
  <c r="Y146" i="25"/>
  <c r="Y147" i="25"/>
  <c r="Y148" i="25"/>
  <c r="Y149" i="25"/>
  <c r="Y150" i="25"/>
  <c r="Y151" i="25"/>
  <c r="Y152" i="25"/>
  <c r="Y153" i="25"/>
  <c r="Y154" i="25"/>
  <c r="Y155" i="25"/>
  <c r="Y156" i="25"/>
  <c r="Y157" i="25"/>
  <c r="Y158" i="25"/>
  <c r="Y159" i="25"/>
  <c r="Y160" i="25"/>
  <c r="Y161" i="25"/>
  <c r="Y162" i="25"/>
  <c r="Y163" i="25"/>
  <c r="Y164" i="25"/>
  <c r="Y165" i="25"/>
  <c r="Y166" i="25"/>
  <c r="Y167" i="25"/>
  <c r="Y168" i="25"/>
  <c r="Y169" i="25"/>
  <c r="Y170" i="25"/>
  <c r="Y171" i="25"/>
  <c r="Y172" i="25"/>
  <c r="Y173" i="25"/>
  <c r="Y174" i="25"/>
  <c r="Y175" i="25"/>
  <c r="Y176" i="25"/>
  <c r="Y177" i="25"/>
  <c r="Y178" i="25"/>
  <c r="Y179" i="25"/>
  <c r="Y180" i="25"/>
  <c r="Y181" i="25"/>
  <c r="Y182" i="25"/>
  <c r="Y183" i="25"/>
  <c r="Y184" i="25"/>
  <c r="Y185" i="25"/>
  <c r="Y186" i="25"/>
  <c r="Y187" i="25"/>
  <c r="Y188" i="25"/>
  <c r="Y189" i="25"/>
  <c r="Y190" i="25"/>
  <c r="Y191" i="25"/>
  <c r="Y192" i="25"/>
  <c r="Y193" i="25"/>
  <c r="Y194" i="25"/>
  <c r="Y195" i="25"/>
  <c r="Y196" i="25"/>
  <c r="Y197" i="25"/>
  <c r="Y198" i="25"/>
  <c r="Y199" i="25"/>
  <c r="Y200" i="25"/>
  <c r="Y201" i="25"/>
  <c r="Y202" i="25"/>
  <c r="Y203" i="25"/>
  <c r="Y204" i="25"/>
  <c r="Y205" i="25"/>
  <c r="Y206" i="25"/>
  <c r="Y207" i="25"/>
  <c r="Y208" i="25"/>
  <c r="Y209" i="25"/>
  <c r="Y210" i="25"/>
  <c r="Y211" i="25"/>
  <c r="Y212" i="25"/>
  <c r="Y213" i="25"/>
  <c r="Y214" i="25"/>
  <c r="Y215" i="25"/>
  <c r="Y216" i="25"/>
  <c r="Y217" i="25"/>
  <c r="Y218" i="25"/>
  <c r="Y219" i="25"/>
  <c r="Y220" i="25"/>
  <c r="Y221" i="25"/>
  <c r="Y222" i="25"/>
  <c r="Y223" i="25"/>
  <c r="Y224" i="25"/>
  <c r="Y225" i="25"/>
  <c r="Y226" i="25"/>
  <c r="Y227" i="25"/>
  <c r="Y228" i="25"/>
  <c r="Y229" i="25"/>
  <c r="Y230" i="25"/>
  <c r="Y231" i="25"/>
  <c r="Y232" i="25"/>
  <c r="Y233" i="25"/>
  <c r="Y234" i="25"/>
  <c r="Y235" i="25"/>
  <c r="Y236" i="25"/>
  <c r="Y237" i="25"/>
  <c r="Y238" i="25"/>
  <c r="Y239" i="25"/>
  <c r="Y240" i="25"/>
  <c r="Y241" i="25"/>
  <c r="Y242" i="25"/>
  <c r="Y243" i="25"/>
  <c r="Y244" i="25"/>
  <c r="Y245" i="25"/>
  <c r="Y246" i="25"/>
  <c r="Y247" i="25"/>
  <c r="Y248" i="25"/>
  <c r="Y249" i="25"/>
  <c r="Y250" i="25"/>
  <c r="J37" i="38"/>
  <c r="I37" i="38" l="1"/>
  <c r="G21" i="25" l="1"/>
  <c r="G20" i="25"/>
  <c r="N20" i="25" s="1"/>
  <c r="O20" i="25" s="1"/>
  <c r="G19" i="25"/>
  <c r="N19" i="25" s="1"/>
  <c r="O19" i="25" s="1"/>
  <c r="G18" i="25"/>
  <c r="N18" i="25" s="1"/>
  <c r="O18" i="25" s="1"/>
  <c r="G17" i="25"/>
  <c r="N17" i="25" s="1"/>
  <c r="H15" i="11"/>
  <c r="O17" i="25" l="1"/>
  <c r="G22" i="25"/>
  <c r="G23" i="25" s="1"/>
  <c r="N21" i="25" s="1"/>
  <c r="N8" i="13"/>
  <c r="M8" i="13" s="1"/>
  <c r="N6" i="13"/>
  <c r="M6" i="13" s="1"/>
  <c r="F6" i="13"/>
  <c r="G8" i="13"/>
  <c r="F8" i="13" s="1"/>
  <c r="M18" i="13"/>
  <c r="N17" i="13"/>
  <c r="M17" i="13" s="1"/>
  <c r="N14" i="13"/>
  <c r="M14" i="13" s="1"/>
  <c r="N13" i="13"/>
  <c r="M13" i="13" s="1"/>
  <c r="N12" i="13"/>
  <c r="M12" i="13" s="1"/>
  <c r="O21" i="25" l="1"/>
  <c r="O22" i="25" s="1"/>
  <c r="N22" i="25"/>
  <c r="G18" i="13"/>
  <c r="F18" i="13" s="1"/>
  <c r="F17" i="13"/>
  <c r="G12" i="13"/>
  <c r="F12" i="13" s="1"/>
  <c r="A2" i="23" l="1"/>
  <c r="A1" i="23"/>
  <c r="E16" i="25" s="1"/>
  <c r="W250" i="25"/>
  <c r="W249" i="25"/>
  <c r="W248" i="25"/>
  <c r="W247" i="25"/>
  <c r="W246" i="25"/>
  <c r="W245" i="25"/>
  <c r="W244" i="25"/>
  <c r="W243" i="25"/>
  <c r="W242" i="25"/>
  <c r="W241" i="25"/>
  <c r="W240" i="25"/>
  <c r="W239" i="25"/>
  <c r="W238" i="25"/>
  <c r="W237" i="25"/>
  <c r="W236" i="25"/>
  <c r="W235" i="25"/>
  <c r="W234" i="25"/>
  <c r="W233" i="25"/>
  <c r="W232" i="25"/>
  <c r="W231" i="25"/>
  <c r="W230" i="25"/>
  <c r="W229" i="25"/>
  <c r="W228" i="25"/>
  <c r="W227" i="25"/>
  <c r="W226" i="25"/>
  <c r="W225" i="25"/>
  <c r="W224" i="25"/>
  <c r="W223" i="25"/>
  <c r="W222" i="25"/>
  <c r="W221" i="25"/>
  <c r="W220" i="25"/>
  <c r="W219" i="25"/>
  <c r="W218" i="25"/>
  <c r="W217" i="25"/>
  <c r="W216" i="25"/>
  <c r="W215" i="25"/>
  <c r="W214" i="25"/>
  <c r="W213" i="25"/>
  <c r="W212" i="25"/>
  <c r="W211" i="25"/>
  <c r="W210" i="25"/>
  <c r="W209" i="25"/>
  <c r="W208" i="25"/>
  <c r="W207" i="25"/>
  <c r="W206" i="25"/>
  <c r="W205" i="25"/>
  <c r="W204" i="25"/>
  <c r="W203" i="25"/>
  <c r="W202" i="25"/>
  <c r="W201" i="25"/>
  <c r="W200" i="25"/>
  <c r="W199" i="25"/>
  <c r="W198" i="25"/>
  <c r="W197" i="25"/>
  <c r="W196" i="25"/>
  <c r="W195" i="25"/>
  <c r="W194" i="25"/>
  <c r="W193" i="25"/>
  <c r="W192" i="25"/>
  <c r="W191" i="25"/>
  <c r="W190" i="25"/>
  <c r="W189" i="25"/>
  <c r="W188" i="25"/>
  <c r="W187" i="25"/>
  <c r="W186" i="25"/>
  <c r="W185" i="25"/>
  <c r="W184" i="25"/>
  <c r="W183" i="25"/>
  <c r="W182" i="25"/>
  <c r="W181" i="25"/>
  <c r="W180" i="25"/>
  <c r="W179" i="25"/>
  <c r="W178" i="25"/>
  <c r="W177" i="25"/>
  <c r="W176" i="25"/>
  <c r="W175" i="25"/>
  <c r="W174" i="25"/>
  <c r="W173" i="25"/>
  <c r="W172" i="25"/>
  <c r="W171" i="25"/>
  <c r="W170" i="25"/>
  <c r="W169" i="25"/>
  <c r="W168" i="25"/>
  <c r="W167" i="25"/>
  <c r="W166" i="25"/>
  <c r="W165" i="25"/>
  <c r="W164" i="25"/>
  <c r="W163" i="25"/>
  <c r="W162" i="25"/>
  <c r="W161" i="25"/>
  <c r="W160" i="25"/>
  <c r="W159" i="25"/>
  <c r="W158" i="25"/>
  <c r="W157" i="25"/>
  <c r="W156" i="25"/>
  <c r="W155" i="25"/>
  <c r="W154" i="25"/>
  <c r="W153" i="25"/>
  <c r="W152" i="25"/>
  <c r="W151" i="25"/>
  <c r="W150" i="25"/>
  <c r="W149" i="25"/>
  <c r="W148" i="25"/>
  <c r="W147" i="25"/>
  <c r="W146" i="25"/>
  <c r="W145" i="25"/>
  <c r="W144" i="25"/>
  <c r="W143" i="25"/>
  <c r="W142" i="25"/>
  <c r="W141" i="25"/>
  <c r="W140" i="25"/>
  <c r="W139" i="25"/>
  <c r="W138" i="25"/>
  <c r="W137" i="25"/>
  <c r="W136" i="25"/>
  <c r="W135" i="25"/>
  <c r="W134" i="25"/>
  <c r="W133" i="25"/>
  <c r="W132" i="25"/>
  <c r="W131" i="25"/>
  <c r="W130" i="25"/>
  <c r="W129" i="25"/>
  <c r="W128" i="25"/>
  <c r="W127" i="25"/>
  <c r="W126" i="25"/>
  <c r="W125" i="25"/>
  <c r="W124" i="25"/>
  <c r="W123" i="25"/>
  <c r="W122" i="25"/>
  <c r="W121" i="25"/>
  <c r="W120" i="25"/>
  <c r="W119" i="25"/>
  <c r="W118" i="25"/>
  <c r="W117" i="25"/>
  <c r="W116" i="25"/>
  <c r="W115" i="25"/>
  <c r="W114" i="25"/>
  <c r="W113" i="25"/>
  <c r="W112" i="25"/>
  <c r="W111" i="25"/>
  <c r="W110" i="25"/>
  <c r="W109" i="25"/>
  <c r="W108" i="25"/>
  <c r="W107" i="25"/>
  <c r="W106" i="25"/>
  <c r="W105" i="25"/>
  <c r="W104" i="25"/>
  <c r="W103" i="25"/>
  <c r="W102" i="25"/>
  <c r="W101" i="25"/>
  <c r="W100" i="25"/>
  <c r="W99" i="25"/>
  <c r="W98" i="25"/>
  <c r="W97" i="25"/>
  <c r="W96" i="25"/>
  <c r="W95" i="25"/>
  <c r="W94" i="25"/>
  <c r="W93" i="25"/>
  <c r="W92" i="25"/>
  <c r="W91" i="25"/>
  <c r="W90" i="25"/>
  <c r="W89" i="25"/>
  <c r="W88" i="25"/>
  <c r="W87" i="25"/>
  <c r="W86" i="25"/>
  <c r="W85" i="25"/>
  <c r="W84" i="25"/>
  <c r="W83" i="25"/>
  <c r="W82" i="25"/>
  <c r="W81" i="25"/>
  <c r="W80" i="25"/>
  <c r="W79" i="25"/>
  <c r="W78" i="25"/>
  <c r="W77" i="25"/>
  <c r="W76" i="25"/>
  <c r="W75" i="25"/>
  <c r="W74" i="25"/>
  <c r="W73" i="25"/>
  <c r="W72" i="25"/>
  <c r="W71" i="25"/>
  <c r="W70" i="25"/>
  <c r="W69" i="25"/>
  <c r="W68" i="25"/>
  <c r="W67" i="25"/>
  <c r="W66" i="25"/>
  <c r="W65" i="25"/>
  <c r="W64" i="25"/>
  <c r="W63" i="25"/>
  <c r="W62" i="25"/>
  <c r="W61" i="25"/>
  <c r="W60" i="25"/>
  <c r="W59" i="25"/>
  <c r="W58" i="25"/>
  <c r="W57" i="25"/>
  <c r="W56" i="25"/>
  <c r="W55" i="25"/>
  <c r="W54" i="25"/>
  <c r="W53" i="25"/>
  <c r="W52" i="25"/>
  <c r="W51" i="25"/>
  <c r="W50" i="25"/>
  <c r="W49" i="25"/>
  <c r="W48" i="25"/>
  <c r="W47" i="25"/>
  <c r="W46" i="25"/>
  <c r="W45" i="25"/>
  <c r="W44" i="25"/>
  <c r="W43" i="25"/>
  <c r="W42" i="25"/>
  <c r="W41" i="25"/>
  <c r="W40" i="25"/>
  <c r="W39" i="25"/>
  <c r="W38" i="25"/>
  <c r="W37" i="25"/>
  <c r="W36" i="25"/>
  <c r="C33" i="25"/>
  <c r="W35" i="25"/>
  <c r="W34" i="25"/>
  <c r="W33" i="25"/>
  <c r="W32" i="25"/>
  <c r="W31" i="25"/>
  <c r="W30" i="25"/>
  <c r="W29" i="25"/>
  <c r="W28" i="25"/>
  <c r="W27" i="25"/>
  <c r="W26" i="25"/>
  <c r="W25" i="25"/>
  <c r="W24" i="25"/>
  <c r="W23" i="25"/>
  <c r="W22" i="25"/>
  <c r="W21" i="25"/>
  <c r="W20" i="25"/>
  <c r="W19" i="25"/>
  <c r="W18" i="25"/>
  <c r="W17" i="25"/>
  <c r="W16" i="25"/>
  <c r="W15" i="25"/>
  <c r="W14" i="25"/>
  <c r="W13" i="25"/>
  <c r="W12" i="25"/>
  <c r="W11" i="25"/>
  <c r="W10" i="25"/>
  <c r="W8" i="25"/>
  <c r="W7" i="25"/>
  <c r="W6" i="25"/>
  <c r="W5" i="25"/>
  <c r="F5" i="25"/>
  <c r="E5" i="25"/>
  <c r="D5" i="25"/>
  <c r="G15" i="11"/>
  <c r="F15" i="11"/>
  <c r="E34" i="13" s="1"/>
  <c r="E15" i="11"/>
  <c r="D15" i="11"/>
  <c r="C15" i="11"/>
  <c r="M15" i="17"/>
  <c r="L15" i="17" s="1"/>
  <c r="M7" i="17"/>
  <c r="L7" i="17" s="1"/>
  <c r="F7" i="17"/>
  <c r="E7" i="17" s="1"/>
  <c r="M8" i="17"/>
  <c r="L8" i="17" s="1"/>
  <c r="F8" i="17"/>
  <c r="E8" i="17" s="1"/>
  <c r="M6" i="17"/>
  <c r="L6" i="17" s="1"/>
  <c r="F6" i="17"/>
  <c r="E6" i="17" s="1"/>
  <c r="E6" i="16"/>
  <c r="M15" i="18"/>
  <c r="L34" i="13" l="1"/>
  <c r="J31" i="25"/>
  <c r="J29" i="25"/>
  <c r="J28" i="25"/>
  <c r="J30" i="25"/>
  <c r="N14" i="18"/>
  <c r="E11" i="25"/>
  <c r="E13" i="25" s="1"/>
  <c r="G13" i="25" s="1"/>
  <c r="F11" i="25"/>
  <c r="H11" i="25" s="1"/>
  <c r="B3" i="23"/>
  <c r="G16" i="25"/>
  <c r="E27" i="25"/>
  <c r="G27" i="25"/>
  <c r="A20" i="13"/>
  <c r="E45" i="25"/>
  <c r="E46" i="25" s="1"/>
  <c r="G45" i="25"/>
  <c r="G46" i="25" s="1"/>
  <c r="F45" i="25"/>
  <c r="F46" i="25" s="1"/>
  <c r="D45" i="25"/>
  <c r="N13" i="18"/>
  <c r="N11" i="18"/>
  <c r="N9" i="18"/>
  <c r="N7" i="18"/>
  <c r="N12" i="18"/>
  <c r="N10" i="18"/>
  <c r="N8" i="18"/>
  <c r="N6" i="18"/>
  <c r="N5" i="18"/>
  <c r="J32" i="25" l="1"/>
  <c r="H7" i="25"/>
  <c r="G6" i="25"/>
  <c r="G10" i="25"/>
  <c r="H9" i="25"/>
  <c r="G8" i="25"/>
  <c r="G11" i="25"/>
  <c r="H12" i="25"/>
  <c r="H6" i="25"/>
  <c r="H10" i="25"/>
  <c r="H8" i="25"/>
  <c r="G9" i="25"/>
  <c r="G12" i="25"/>
  <c r="F13" i="25"/>
  <c r="H13" i="25" s="1"/>
  <c r="G7" i="25"/>
  <c r="F10" i="18"/>
  <c r="F7" i="18"/>
  <c r="F9" i="18"/>
  <c r="F6" i="18"/>
  <c r="F8" i="18"/>
  <c r="D38" i="25"/>
  <c r="D39" i="25" s="1"/>
  <c r="D46" i="25"/>
  <c r="E47" i="25"/>
  <c r="E48" i="25" s="1"/>
  <c r="G47" i="25"/>
  <c r="G48" i="25" s="1"/>
  <c r="F47" i="25"/>
  <c r="F48" i="25" s="1"/>
  <c r="D47" i="25"/>
  <c r="E38" i="25"/>
  <c r="G38" i="25"/>
  <c r="G39" i="25" s="1"/>
  <c r="F38" i="25"/>
  <c r="F39" i="25" s="1"/>
  <c r="E40" i="25"/>
  <c r="E41" i="25" s="1"/>
  <c r="G40" i="25"/>
  <c r="G41" i="25" s="1"/>
  <c r="F40" i="25"/>
  <c r="F41" i="25" s="1"/>
  <c r="D40" i="25"/>
  <c r="L5" i="18"/>
  <c r="F14" i="18"/>
  <c r="F12" i="18"/>
  <c r="F13" i="18"/>
  <c r="F11" i="18"/>
  <c r="L11" i="18"/>
  <c r="L10" i="18"/>
  <c r="L8" i="18"/>
  <c r="L6" i="18"/>
  <c r="L14" i="18"/>
  <c r="L13" i="18"/>
  <c r="L12" i="18"/>
  <c r="L9" i="18"/>
  <c r="L7" i="18"/>
  <c r="F19" i="13" l="1"/>
  <c r="D48" i="25"/>
  <c r="H45" i="25" s="1"/>
  <c r="H47" i="25"/>
  <c r="E39" i="25"/>
  <c r="D41" i="25"/>
  <c r="H40" i="25" s="1"/>
  <c r="H38" i="25"/>
  <c r="E17" i="25" l="1"/>
  <c r="B17" i="25" s="1"/>
  <c r="A17" i="25" l="1"/>
  <c r="E22" i="25"/>
  <c r="E23" i="25" s="1"/>
  <c r="B21" i="25" s="1"/>
  <c r="A21" i="25" s="1"/>
  <c r="B22" i="25" l="1"/>
  <c r="A22" i="25"/>
  <c r="G5" i="25"/>
  <c r="H5" i="25"/>
  <c r="E19" i="44" l="1"/>
  <c r="F33" i="25"/>
  <c r="E28" i="25" s="1"/>
  <c r="B28" i="25" l="1"/>
  <c r="E30" i="25"/>
  <c r="B30" i="25" s="1"/>
  <c r="A30" i="25" s="1"/>
  <c r="E31" i="25"/>
  <c r="B31" i="25" s="1"/>
  <c r="A31" i="25" s="1"/>
  <c r="E29" i="25"/>
  <c r="B29" i="25" s="1"/>
  <c r="A29" i="25" s="1"/>
  <c r="E32" i="25" l="1"/>
  <c r="E33" i="25" s="1"/>
  <c r="A28" i="25"/>
  <c r="E34" i="25" l="1"/>
  <c r="B32" i="25" s="1"/>
  <c r="A32" i="25" s="1"/>
  <c r="A33" i="25" s="1"/>
  <c r="M19" i="44"/>
  <c r="I33" i="25"/>
  <c r="H29" i="25" l="1"/>
  <c r="N29" i="25" s="1"/>
  <c r="O29" i="25" s="1"/>
  <c r="H31" i="25"/>
  <c r="N31" i="25" s="1"/>
  <c r="O31" i="25" s="1"/>
  <c r="H30" i="25"/>
  <c r="N30" i="25" s="1"/>
  <c r="O30" i="25" s="1"/>
  <c r="H28" i="25"/>
  <c r="B33" i="25"/>
  <c r="J33" i="25"/>
  <c r="J34" i="25" s="1"/>
  <c r="N28" i="25" l="1"/>
  <c r="H32" i="25"/>
  <c r="H33" i="25" s="1"/>
  <c r="H34" i="25" s="1"/>
  <c r="N32" i="25" l="1"/>
  <c r="O32" i="25" s="1"/>
  <c r="O28" i="25"/>
  <c r="O33" i="25" l="1"/>
  <c r="N33" i="25"/>
  <c r="A18" i="13" l="1"/>
</calcChain>
</file>

<file path=xl/sharedStrings.xml><?xml version="1.0" encoding="utf-8"?>
<sst xmlns="http://schemas.openxmlformats.org/spreadsheetml/2006/main" count="1543" uniqueCount="1021">
  <si>
    <t>ALGARCINE</t>
  </si>
  <si>
    <t>CINEMAS DA PRAÇA</t>
  </si>
  <si>
    <t>CINEMAS FONTE NOVA</t>
  </si>
  <si>
    <t>FDO MULTIMÉDIA</t>
  </si>
  <si>
    <t>FILNÁDIA</t>
  </si>
  <si>
    <t>J GOMES &amp; CA</t>
  </si>
  <si>
    <t>MEDEIA FILMES</t>
  </si>
  <si>
    <t>SBC-SPEAN BRIDGE CINEMAS</t>
  </si>
  <si>
    <t>TEATRO JOSÉ LÚCIO</t>
  </si>
  <si>
    <t>FREEPORT CINEMAS</t>
  </si>
  <si>
    <t>RECEITA BRUTA E ESPECTADORES</t>
  </si>
  <si>
    <t>VAR.</t>
  </si>
  <si>
    <t>TOTAL</t>
  </si>
  <si>
    <t>Nº</t>
  </si>
  <si>
    <t>COLUMBIA TRISTAR WARNER</t>
  </si>
  <si>
    <t>UCI</t>
  </si>
  <si>
    <t>TIPO</t>
  </si>
  <si>
    <t>VIRTUAL PRODUÇÃO DE AUDIOVISUAIS</t>
  </si>
  <si>
    <t>MIDAS FILMES</t>
  </si>
  <si>
    <t>ALAMBIQUE</t>
  </si>
  <si>
    <t>CLAP FILMES</t>
  </si>
  <si>
    <t>PRISVIDEO</t>
  </si>
  <si>
    <t>VALENTIM DE CARVALHO MULTIMÉDIA</t>
  </si>
  <si>
    <t>ALAMBIQUE, DESTILARIA DE IDEIAS</t>
  </si>
  <si>
    <t>-</t>
  </si>
  <si>
    <t>CASTELLO LOPES</t>
  </si>
  <si>
    <t>PORTUGAL</t>
  </si>
  <si>
    <t>EUA</t>
  </si>
  <si>
    <t>EXIBIÇÃO CINEMATOGRÁFICA - JANEIRO A AGOSTO - 2009|2010</t>
  </si>
  <si>
    <t xml:space="preserve">FILMES ESTREADOS E EXIBIDOS POR DISTRIBUIDOR </t>
  </si>
  <si>
    <t xml:space="preserve">RECEITA BRUTA E ESPETADORES POR DISTRIBUIDOR </t>
  </si>
  <si>
    <t>MENU</t>
  </si>
  <si>
    <t>SOCORAMA</t>
  </si>
  <si>
    <t>GRAFICO</t>
  </si>
  <si>
    <t>FDO</t>
  </si>
  <si>
    <t>MEDEIA</t>
  </si>
  <si>
    <t>SBC</t>
  </si>
  <si>
    <t>J GOMES</t>
  </si>
  <si>
    <t>FREEPORT</t>
  </si>
  <si>
    <t>FONTE NOVA</t>
  </si>
  <si>
    <t>COLUMBIA</t>
  </si>
  <si>
    <t>VALENTIM DE CARVALHO</t>
  </si>
  <si>
    <t>VIRTUAL</t>
  </si>
  <si>
    <t>ATALANTA</t>
  </si>
  <si>
    <t>CLAP</t>
  </si>
  <si>
    <t>MIDAS</t>
  </si>
  <si>
    <r>
      <t>DISTRIBUIÇÃO CINEMATOGRÁFICA</t>
    </r>
    <r>
      <rPr>
        <b/>
        <sz val="10"/>
        <color indexed="63"/>
        <rFont val="Calibri"/>
        <family val="2"/>
      </rPr>
      <t/>
    </r>
  </si>
  <si>
    <t>AR DE FILMES</t>
  </si>
  <si>
    <t>Boletim Estatístico</t>
  </si>
  <si>
    <t>Janeiro a Outubro de 2010</t>
  </si>
  <si>
    <t>JUMPCUT</t>
  </si>
  <si>
    <t xml:space="preserve">Newsletter </t>
  </si>
  <si>
    <t>FAUX</t>
  </si>
  <si>
    <t>PEPPERVIEW</t>
  </si>
  <si>
    <t>Espanha</t>
  </si>
  <si>
    <t>Argentina</t>
  </si>
  <si>
    <t>Portugal</t>
  </si>
  <si>
    <t>Brasil</t>
  </si>
  <si>
    <t>França</t>
  </si>
  <si>
    <t>Bulgária</t>
  </si>
  <si>
    <t>Alemanha</t>
  </si>
  <si>
    <t>Itália</t>
  </si>
  <si>
    <t>República Checa</t>
  </si>
  <si>
    <t>PRIS AUDIOVISUAIS</t>
  </si>
  <si>
    <t>Suíça</t>
  </si>
  <si>
    <t>Croácia</t>
  </si>
  <si>
    <t>PRIS</t>
  </si>
  <si>
    <t>ANO:</t>
  </si>
  <si>
    <t>Bósnia-Herzegovina</t>
  </si>
  <si>
    <t>Turquia</t>
  </si>
  <si>
    <t>Cabo Verde</t>
  </si>
  <si>
    <t>Ucrânia</t>
  </si>
  <si>
    <t>Polónia</t>
  </si>
  <si>
    <t>BIG PICTURE 2 FILMS</t>
  </si>
  <si>
    <t>Liechtenstein</t>
  </si>
  <si>
    <t>Bélgica</t>
  </si>
  <si>
    <t>Rússia</t>
  </si>
  <si>
    <t>MÊS FIM:</t>
  </si>
  <si>
    <t>MÊS INICIAL:</t>
  </si>
  <si>
    <t>US</t>
  </si>
  <si>
    <t>DISTRIBUIDOR - NOME COMUM</t>
  </si>
  <si>
    <t>NLC</t>
  </si>
  <si>
    <t>FIC</t>
  </si>
  <si>
    <t>DOC</t>
  </si>
  <si>
    <t>FILMES EXIBIDOS
FILMS EXHIBITED</t>
  </si>
  <si>
    <t>OUTROS | OTHERS</t>
  </si>
  <si>
    <t>C.R.I.M.</t>
  </si>
  <si>
    <t>Eslovénia</t>
  </si>
  <si>
    <t>ANIM</t>
  </si>
  <si>
    <t>Albânia</t>
  </si>
  <si>
    <t>Canadá</t>
  </si>
  <si>
    <t>Líbano</t>
  </si>
  <si>
    <t>TIPO | TYPE</t>
  </si>
  <si>
    <t>CMANIM</t>
  </si>
  <si>
    <t>CMDOC</t>
  </si>
  <si>
    <t>LMANIM</t>
  </si>
  <si>
    <t>LMDOC</t>
  </si>
  <si>
    <t>SÉRIEANIM</t>
  </si>
  <si>
    <t>TYPE</t>
  </si>
  <si>
    <t>COUNTRY</t>
  </si>
  <si>
    <t>INGLÊS</t>
  </si>
  <si>
    <t>PORTUGUÊS</t>
  </si>
  <si>
    <t>AD</t>
  </si>
  <si>
    <t>Andorra</t>
  </si>
  <si>
    <t>United Arab Emirates</t>
  </si>
  <si>
    <t>Emiratos Árabes Unidos</t>
  </si>
  <si>
    <t>Afghanistan</t>
  </si>
  <si>
    <t>Afeganistão</t>
  </si>
  <si>
    <t>Antigua and Barbuda</t>
  </si>
  <si>
    <t>Antígua e Barbuda</t>
  </si>
  <si>
    <t>Anguilla</t>
  </si>
  <si>
    <t>Anguila</t>
  </si>
  <si>
    <t>Albania</t>
  </si>
  <si>
    <t>Armenia</t>
  </si>
  <si>
    <t>Arménia</t>
  </si>
  <si>
    <t>Netherlands Antilles</t>
  </si>
  <si>
    <t>Antilhas Holandesas</t>
  </si>
  <si>
    <t>Angola</t>
  </si>
  <si>
    <t>Antarctica</t>
  </si>
  <si>
    <t>Antárctica</t>
  </si>
  <si>
    <t>American Samoa</t>
  </si>
  <si>
    <t>Samoa Americana</t>
  </si>
  <si>
    <t>Austria</t>
  </si>
  <si>
    <t>Áustria</t>
  </si>
  <si>
    <t>Australia</t>
  </si>
  <si>
    <t>Austrália</t>
  </si>
  <si>
    <t>Aruba</t>
  </si>
  <si>
    <t>Aland Islands</t>
  </si>
  <si>
    <t>Ilhas Aland</t>
  </si>
  <si>
    <t>Azerbaijan</t>
  </si>
  <si>
    <t>Azerbaijão</t>
  </si>
  <si>
    <t>Bosnia and Herzegovina</t>
  </si>
  <si>
    <t>Barbados</t>
  </si>
  <si>
    <t>Bangladesh</t>
  </si>
  <si>
    <t>Belgium</t>
  </si>
  <si>
    <t>Burkina Faso</t>
  </si>
  <si>
    <t>Bulgaria</t>
  </si>
  <si>
    <t>Bahrain</t>
  </si>
  <si>
    <t>Barém</t>
  </si>
  <si>
    <t>Burundi</t>
  </si>
  <si>
    <t>Benin</t>
  </si>
  <si>
    <t>Benim</t>
  </si>
  <si>
    <t>Saint Barthélemy</t>
  </si>
  <si>
    <t>São Bartolomeu</t>
  </si>
  <si>
    <t>Bermuda</t>
  </si>
  <si>
    <t>Bermudas</t>
  </si>
  <si>
    <t>Brunei Darussalam</t>
  </si>
  <si>
    <t>Bolivia, Plurinational State of</t>
  </si>
  <si>
    <t>Bolívia, Estado Plurinacional da</t>
  </si>
  <si>
    <t>Brazil</t>
  </si>
  <si>
    <t>Bahamas</t>
  </si>
  <si>
    <t>Bhutan</t>
  </si>
  <si>
    <t>Butão</t>
  </si>
  <si>
    <t>Bouvet Island</t>
  </si>
  <si>
    <t>Ilha Bouvet</t>
  </si>
  <si>
    <t>Botswana</t>
  </si>
  <si>
    <t>Belarus</t>
  </si>
  <si>
    <t>Bielorrússia</t>
  </si>
  <si>
    <t>Belize</t>
  </si>
  <si>
    <t>Canada</t>
  </si>
  <si>
    <t>Cocos (Keeling) Islands</t>
  </si>
  <si>
    <t>Ilhas Cocos (Keeling)</t>
  </si>
  <si>
    <t>Congo, Democratic Republic of the</t>
  </si>
  <si>
    <t>Congo (República Democrática do)</t>
  </si>
  <si>
    <t>Central African Republic</t>
  </si>
  <si>
    <t>Centro-Africana (República)</t>
  </si>
  <si>
    <t>Congo</t>
  </si>
  <si>
    <t>Switzerland</t>
  </si>
  <si>
    <t>Côte d'Ivoire</t>
  </si>
  <si>
    <t>Costa do Marfim</t>
  </si>
  <si>
    <t>Cook Islands</t>
  </si>
  <si>
    <t>Ilhas Cook</t>
  </si>
  <si>
    <t>Chile</t>
  </si>
  <si>
    <t>Cameroon</t>
  </si>
  <si>
    <t>Camarões</t>
  </si>
  <si>
    <t>China</t>
  </si>
  <si>
    <t>Colombia</t>
  </si>
  <si>
    <t>Colômbia</t>
  </si>
  <si>
    <t>Costa Rica</t>
  </si>
  <si>
    <t>Cuba</t>
  </si>
  <si>
    <t>Cape Verde</t>
  </si>
  <si>
    <t>Christmas Island</t>
  </si>
  <si>
    <t>Ilha Christmas</t>
  </si>
  <si>
    <t>Cyprus</t>
  </si>
  <si>
    <t>Chipre</t>
  </si>
  <si>
    <t>Czech Republic</t>
  </si>
  <si>
    <t>Germany</t>
  </si>
  <si>
    <t>Djibouti</t>
  </si>
  <si>
    <t>Jibuti</t>
  </si>
  <si>
    <t>Denmark</t>
  </si>
  <si>
    <t>Dinamarca</t>
  </si>
  <si>
    <t>Dominica</t>
  </si>
  <si>
    <t>Domínica</t>
  </si>
  <si>
    <t>Dominican Republic</t>
  </si>
  <si>
    <t>República Dominicana</t>
  </si>
  <si>
    <t>Algeria</t>
  </si>
  <si>
    <t>Argélia</t>
  </si>
  <si>
    <t>Ecuador</t>
  </si>
  <si>
    <t>Equador</t>
  </si>
  <si>
    <t>Estonia</t>
  </si>
  <si>
    <t>Estónia</t>
  </si>
  <si>
    <t>Egypt</t>
  </si>
  <si>
    <t>Egipto</t>
  </si>
  <si>
    <t>Western Sahara</t>
  </si>
  <si>
    <t>Sara Ocidental</t>
  </si>
  <si>
    <t>Eritrea</t>
  </si>
  <si>
    <t>Eritreia</t>
  </si>
  <si>
    <t>Spain</t>
  </si>
  <si>
    <t>Ethiopia</t>
  </si>
  <si>
    <t>Etiópia</t>
  </si>
  <si>
    <t>Finland</t>
  </si>
  <si>
    <t>Finlândia</t>
  </si>
  <si>
    <t>Fiji</t>
  </si>
  <si>
    <t>Ilhas Fiji</t>
  </si>
  <si>
    <t>Falkland Islands (Malvinas)</t>
  </si>
  <si>
    <t>Ilhas Falkland (Malvinas)</t>
  </si>
  <si>
    <t>Micronesia, Federal States of</t>
  </si>
  <si>
    <t>Micronésia (Estados Federados da)</t>
  </si>
  <si>
    <t>Faroe Islands</t>
  </si>
  <si>
    <t>Ilhas Faroé</t>
  </si>
  <si>
    <t>France</t>
  </si>
  <si>
    <t>Gabon</t>
  </si>
  <si>
    <t>Gabão</t>
  </si>
  <si>
    <t>United Kingdom</t>
  </si>
  <si>
    <t>Reino Unido</t>
  </si>
  <si>
    <t>Grenada</t>
  </si>
  <si>
    <t>Granada</t>
  </si>
  <si>
    <t>Georgia</t>
  </si>
  <si>
    <t>Geórgia</t>
  </si>
  <si>
    <t>French Guiana</t>
  </si>
  <si>
    <t>Guiana Francesa</t>
  </si>
  <si>
    <t>Guernsey</t>
  </si>
  <si>
    <t>Ghana</t>
  </si>
  <si>
    <t>Gana</t>
  </si>
  <si>
    <t>Gibraltar</t>
  </si>
  <si>
    <t>Greenland</t>
  </si>
  <si>
    <t>Gronelândia</t>
  </si>
  <si>
    <t>Gambia</t>
  </si>
  <si>
    <t>Gâmbia</t>
  </si>
  <si>
    <t>Guinea</t>
  </si>
  <si>
    <t>Guiné</t>
  </si>
  <si>
    <t>Guadeloupe</t>
  </si>
  <si>
    <t>Guadalupe</t>
  </si>
  <si>
    <t>Equatorial Guinea</t>
  </si>
  <si>
    <t>Guiné Equatorial</t>
  </si>
  <si>
    <t>Greece</t>
  </si>
  <si>
    <t>Grécia</t>
  </si>
  <si>
    <t>South Georgia and South Sandwich Islands</t>
  </si>
  <si>
    <t>Geórgia do Sul e Ilhas Sandwich</t>
  </si>
  <si>
    <t>Guatemala</t>
  </si>
  <si>
    <t>Guam</t>
  </si>
  <si>
    <t>Guinea-Bissau</t>
  </si>
  <si>
    <t>Guiné-Bissau</t>
  </si>
  <si>
    <t>Guyana</t>
  </si>
  <si>
    <t>Guiana</t>
  </si>
  <si>
    <t>Hong Kong</t>
  </si>
  <si>
    <t>Heard Island and McDonald Islands</t>
  </si>
  <si>
    <t>Ilha Heard e Ilhas Mcdonald</t>
  </si>
  <si>
    <t>Honduras</t>
  </si>
  <si>
    <t>Croatia</t>
  </si>
  <si>
    <t>Haiti</t>
  </si>
  <si>
    <t>Hungary</t>
  </si>
  <si>
    <t>Hungria</t>
  </si>
  <si>
    <t>Indonesia</t>
  </si>
  <si>
    <t>Indonésia</t>
  </si>
  <si>
    <t>Ireland</t>
  </si>
  <si>
    <t>Irlanda</t>
  </si>
  <si>
    <t>Israel</t>
  </si>
  <si>
    <t>Isle of Man</t>
  </si>
  <si>
    <t>Ilha de Man</t>
  </si>
  <si>
    <t>India</t>
  </si>
  <si>
    <t>Índia</t>
  </si>
  <si>
    <t>British Indian Ocean Territory</t>
  </si>
  <si>
    <t>Território Britânico do Oceano Índico</t>
  </si>
  <si>
    <t>Iraq</t>
  </si>
  <si>
    <t>Iraque</t>
  </si>
  <si>
    <t>Iran, Islamic Republic of</t>
  </si>
  <si>
    <t>Irão (República Islâmica)</t>
  </si>
  <si>
    <t>Iceland</t>
  </si>
  <si>
    <t>Islândia</t>
  </si>
  <si>
    <t>Italy</t>
  </si>
  <si>
    <t>Jersey</t>
  </si>
  <si>
    <t>Jamaica</t>
  </si>
  <si>
    <t>Jordan</t>
  </si>
  <si>
    <t>Jordânia</t>
  </si>
  <si>
    <t>Japan</t>
  </si>
  <si>
    <t>Japão</t>
  </si>
  <si>
    <t>Kenya</t>
  </si>
  <si>
    <t>Quénia</t>
  </si>
  <si>
    <t>Kyrgyzstan</t>
  </si>
  <si>
    <t>Quirguizistão</t>
  </si>
  <si>
    <t>Cambodia</t>
  </si>
  <si>
    <t>Camboja</t>
  </si>
  <si>
    <t>Kiribati</t>
  </si>
  <si>
    <t>Comoros</t>
  </si>
  <si>
    <t>Comores</t>
  </si>
  <si>
    <t>Saint Kitts and Nevis</t>
  </si>
  <si>
    <t>São Cristóvão e Nevis</t>
  </si>
  <si>
    <t>Korea, Democratic People's Republic of</t>
  </si>
  <si>
    <t>Coreia (República Popular Democrática da)</t>
  </si>
  <si>
    <t>Korea, Republic of</t>
  </si>
  <si>
    <t>Coreia (República da)</t>
  </si>
  <si>
    <t>Kuwait</t>
  </si>
  <si>
    <t>Cayman Islands</t>
  </si>
  <si>
    <t>Ilhas Caimão</t>
  </si>
  <si>
    <t>Kazakhstan</t>
  </si>
  <si>
    <t>Cazaquistão</t>
  </si>
  <si>
    <t>Lao People's Democratic Republic</t>
  </si>
  <si>
    <t>Laos (República Popular Democrática do)</t>
  </si>
  <si>
    <t>Lebanon</t>
  </si>
  <si>
    <t>Saint Lucia</t>
  </si>
  <si>
    <t>Santa Lúcia</t>
  </si>
  <si>
    <t>Sri Lanka</t>
  </si>
  <si>
    <t>Liberia</t>
  </si>
  <si>
    <t>Libéria</t>
  </si>
  <si>
    <t>Lesotho</t>
  </si>
  <si>
    <t>Lesoto</t>
  </si>
  <si>
    <t>Lithuania</t>
  </si>
  <si>
    <t>Lituânia</t>
  </si>
  <si>
    <t>Luxembourg</t>
  </si>
  <si>
    <t>Luxemburgo</t>
  </si>
  <si>
    <t>Latvia</t>
  </si>
  <si>
    <t>Letónia</t>
  </si>
  <si>
    <t>Libyan Arab Jamahiriya</t>
  </si>
  <si>
    <t>Líbia (Jamahiriya Árabe da)</t>
  </si>
  <si>
    <t>Morocco</t>
  </si>
  <si>
    <t>Marrocos</t>
  </si>
  <si>
    <t>Monaco</t>
  </si>
  <si>
    <t>Mónaco</t>
  </si>
  <si>
    <t>Moldova, Republic of</t>
  </si>
  <si>
    <t>Moldova, República de</t>
  </si>
  <si>
    <t>Montenegro</t>
  </si>
  <si>
    <t>Saint Martin (French part)</t>
  </si>
  <si>
    <t>São Martinho (parte francesa)</t>
  </si>
  <si>
    <t>Madagascar</t>
  </si>
  <si>
    <t>Madagáscar</t>
  </si>
  <si>
    <t>Marshall Islands</t>
  </si>
  <si>
    <t>Ilhas Marshall</t>
  </si>
  <si>
    <t>Macedonia, the former Yugoslav Republic of</t>
  </si>
  <si>
    <t>Macedónia (Antiga República Jugoslava da)</t>
  </si>
  <si>
    <t>Mali</t>
  </si>
  <si>
    <t>Myanmar</t>
  </si>
  <si>
    <t>Mongolia</t>
  </si>
  <si>
    <t>Mongólia</t>
  </si>
  <si>
    <t>Macao</t>
  </si>
  <si>
    <t>Macau</t>
  </si>
  <si>
    <t>Northern Mariana Islands</t>
  </si>
  <si>
    <t>Ilhas Marianas do Norte</t>
  </si>
  <si>
    <t>Martinique</t>
  </si>
  <si>
    <t>Martinica</t>
  </si>
  <si>
    <t>Mauritania</t>
  </si>
  <si>
    <t>Mauritânia</t>
  </si>
  <si>
    <t>Montserrat</t>
  </si>
  <si>
    <t>Monserrate</t>
  </si>
  <si>
    <t>Malta</t>
  </si>
  <si>
    <t>Mauritius</t>
  </si>
  <si>
    <t>Maurícias</t>
  </si>
  <si>
    <t>Maldives</t>
  </si>
  <si>
    <t>Maldivas</t>
  </si>
  <si>
    <t>Malawi</t>
  </si>
  <si>
    <t>Mexico</t>
  </si>
  <si>
    <t>México</t>
  </si>
  <si>
    <t>Malaysia</t>
  </si>
  <si>
    <t>Malásia</t>
  </si>
  <si>
    <t>Mozambique</t>
  </si>
  <si>
    <t>Moçambique</t>
  </si>
  <si>
    <t>Namibia</t>
  </si>
  <si>
    <t>Namíbia</t>
  </si>
  <si>
    <t>New Caledonia</t>
  </si>
  <si>
    <t>Nova Caledónia</t>
  </si>
  <si>
    <t>Niger</t>
  </si>
  <si>
    <t>Norfolk Island</t>
  </si>
  <si>
    <t>Ilha Norfolk</t>
  </si>
  <si>
    <t>Nigeria</t>
  </si>
  <si>
    <t>Nigéria</t>
  </si>
  <si>
    <t>Nicaragua</t>
  </si>
  <si>
    <t>Nicarágua</t>
  </si>
  <si>
    <t>Netherlands</t>
  </si>
  <si>
    <t>Países Baixos</t>
  </si>
  <si>
    <t>Norway</t>
  </si>
  <si>
    <t>Noruega</t>
  </si>
  <si>
    <t>Nepal</t>
  </si>
  <si>
    <t>Nauru</t>
  </si>
  <si>
    <t>Niue</t>
  </si>
  <si>
    <t>New Zealand</t>
  </si>
  <si>
    <t>Nova Zelândia</t>
  </si>
  <si>
    <t>Oman</t>
  </si>
  <si>
    <t>Omã</t>
  </si>
  <si>
    <t>Panama</t>
  </si>
  <si>
    <t>Panamá</t>
  </si>
  <si>
    <t>Peru</t>
  </si>
  <si>
    <t>French Polynesia</t>
  </si>
  <si>
    <t>Polinésia Francesa</t>
  </si>
  <si>
    <t>Papua New Guinea</t>
  </si>
  <si>
    <t>Papuásia-Nova Guiné</t>
  </si>
  <si>
    <t>Philippines</t>
  </si>
  <si>
    <t>Filipinas</t>
  </si>
  <si>
    <t>Pakistan</t>
  </si>
  <si>
    <t>Paquistão</t>
  </si>
  <si>
    <t>Poland</t>
  </si>
  <si>
    <t>Saint Pierre and Miquelon</t>
  </si>
  <si>
    <t>São Pedro e Miquelon</t>
  </si>
  <si>
    <t>Pitcairn</t>
  </si>
  <si>
    <t>Puerto Rico</t>
  </si>
  <si>
    <t>Porto Rico</t>
  </si>
  <si>
    <t>Palestinian Territory, occupied</t>
  </si>
  <si>
    <t>Território Palestiniano Ocupado</t>
  </si>
  <si>
    <t>Palau</t>
  </si>
  <si>
    <t>Paraguay</t>
  </si>
  <si>
    <t>Paraguai</t>
  </si>
  <si>
    <t>Qatar</t>
  </si>
  <si>
    <t>Catar</t>
  </si>
  <si>
    <t>Reunion</t>
  </si>
  <si>
    <t>Reunião</t>
  </si>
  <si>
    <t>Romania</t>
  </si>
  <si>
    <t>Roménia</t>
  </si>
  <si>
    <t>Serbia</t>
  </si>
  <si>
    <t>Sérvia</t>
  </si>
  <si>
    <t>Russian Federation</t>
  </si>
  <si>
    <t>Rwanda</t>
  </si>
  <si>
    <t>Ruanda</t>
  </si>
  <si>
    <t>Saudi Arabia</t>
  </si>
  <si>
    <t>Arábia Saudita</t>
  </si>
  <si>
    <t>Solomon Islands</t>
  </si>
  <si>
    <t>Ilhas Salomão</t>
  </si>
  <si>
    <t>Seychelles</t>
  </si>
  <si>
    <t>Sudan</t>
  </si>
  <si>
    <t>Sudão</t>
  </si>
  <si>
    <t>Sweden</t>
  </si>
  <si>
    <t>Suécia</t>
  </si>
  <si>
    <t>Singapore</t>
  </si>
  <si>
    <t>Singapura</t>
  </si>
  <si>
    <t>Saint Helena</t>
  </si>
  <si>
    <t>Santa Helena</t>
  </si>
  <si>
    <t>Slovenia</t>
  </si>
  <si>
    <t>Svalbard and Jan Mayen</t>
  </si>
  <si>
    <t>Svalbard e a Ilha de Jan Mayen</t>
  </si>
  <si>
    <t>Slovakia</t>
  </si>
  <si>
    <t>Eslováquia</t>
  </si>
  <si>
    <t>Sierra Leone</t>
  </si>
  <si>
    <t>Serra Leoa</t>
  </si>
  <si>
    <t>San Marino</t>
  </si>
  <si>
    <t>São Marino</t>
  </si>
  <si>
    <t>Senegal</t>
  </si>
  <si>
    <t>Somalia</t>
  </si>
  <si>
    <t>Somália</t>
  </si>
  <si>
    <t>Suriname</t>
  </si>
  <si>
    <t>Sao Tome and Principe</t>
  </si>
  <si>
    <t>São Tomé e Príncipe</t>
  </si>
  <si>
    <t>El Salvador</t>
  </si>
  <si>
    <t>Syrian Arab Republic</t>
  </si>
  <si>
    <t>Síria (República Árabe da)</t>
  </si>
  <si>
    <t>Swaziland</t>
  </si>
  <si>
    <t>Suazilândia</t>
  </si>
  <si>
    <t>Turks and Caicos Islands</t>
  </si>
  <si>
    <t>Ilhas Turcas e Caicos</t>
  </si>
  <si>
    <t>Chad</t>
  </si>
  <si>
    <t>Chade</t>
  </si>
  <si>
    <t>French Southern Territories</t>
  </si>
  <si>
    <t>Territórios Franceses do Sul</t>
  </si>
  <si>
    <t>Togo</t>
  </si>
  <si>
    <t>Thailand</t>
  </si>
  <si>
    <t>Tailândia</t>
  </si>
  <si>
    <t>Tajikistan</t>
  </si>
  <si>
    <t>Tajiquistão</t>
  </si>
  <si>
    <t>Tokelau</t>
  </si>
  <si>
    <t>Timor-Leste</t>
  </si>
  <si>
    <t>Timor Leste</t>
  </si>
  <si>
    <t>Turkmenistan</t>
  </si>
  <si>
    <t>Turquemenistão</t>
  </si>
  <si>
    <t>Tunisia</t>
  </si>
  <si>
    <t>Tunísia</t>
  </si>
  <si>
    <t>Tonga</t>
  </si>
  <si>
    <t>Turkey</t>
  </si>
  <si>
    <t>Trinidad and Tobago</t>
  </si>
  <si>
    <t>Trindade e Tobago</t>
  </si>
  <si>
    <t>Tuvalu</t>
  </si>
  <si>
    <t>Taiwan, Province of China</t>
  </si>
  <si>
    <t>Taiwan (Província da China)</t>
  </si>
  <si>
    <t>Tanzania, United Republic of</t>
  </si>
  <si>
    <t>Tanzânia, República Unida da</t>
  </si>
  <si>
    <t>Ukraine</t>
  </si>
  <si>
    <t>Uganda</t>
  </si>
  <si>
    <t>United States Minor Outlying Islands</t>
  </si>
  <si>
    <t>Ilhas Menores Distantes dos Estados Unidos</t>
  </si>
  <si>
    <t>Uruguay</t>
  </si>
  <si>
    <t>Uruguai</t>
  </si>
  <si>
    <t>Uzbekistan</t>
  </si>
  <si>
    <t>Usbequistão</t>
  </si>
  <si>
    <t>Holy See (Vatican City State)</t>
  </si>
  <si>
    <t>Santa Sé (Cidade Estado do Vaticano)</t>
  </si>
  <si>
    <t>Saint Vincent and the Grenadines</t>
  </si>
  <si>
    <t>São Vicente e Granadinas</t>
  </si>
  <si>
    <t>Venezuela, Bolivarian Republic of</t>
  </si>
  <si>
    <t>Venezuela, República Bolivariana da</t>
  </si>
  <si>
    <t>Virgin Islands, British</t>
  </si>
  <si>
    <t>Ilhas Virgens (Britânicas)</t>
  </si>
  <si>
    <t>Virgin Islands, U.S.</t>
  </si>
  <si>
    <t>Ilhas Virgens (Estados Unidos)</t>
  </si>
  <si>
    <t>Viet Nam</t>
  </si>
  <si>
    <t>Vietname</t>
  </si>
  <si>
    <t>Vanuatu</t>
  </si>
  <si>
    <t>Wallis and Futuna</t>
  </si>
  <si>
    <t>Wallis e Futuna (Ilhas)</t>
  </si>
  <si>
    <t>Samoa</t>
  </si>
  <si>
    <t>Yemen</t>
  </si>
  <si>
    <t>Iémen</t>
  </si>
  <si>
    <t>Mayotte</t>
  </si>
  <si>
    <t>South Africa</t>
  </si>
  <si>
    <t>África do Sul</t>
  </si>
  <si>
    <t>Zambia</t>
  </si>
  <si>
    <t>Zâmbia</t>
  </si>
  <si>
    <t>Zimbabwe</t>
  </si>
  <si>
    <t>ISO</t>
  </si>
  <si>
    <t>CURTAS DE ANIMAÇÃO
ANIMATION SHORT FILMS</t>
  </si>
  <si>
    <t>CURTAS DE DOCUMENTÁRIO
DOCUMENTARY SHORT FILMS</t>
  </si>
  <si>
    <t>CURTAS DE FICÇÃO
FICTION SHORT FILMS</t>
  </si>
  <si>
    <t>LONGAS DE ANIMAÇÃO
ANIMATION FEATURE FILMS</t>
  </si>
  <si>
    <t>LONGAS DE DOCUMENTARIO
DOCUMENTARY FEATURE FILMS</t>
  </si>
  <si>
    <t>LONGAS DE FICÇÃO
FICTION FEATURE FILMS</t>
  </si>
  <si>
    <t>SÉRIES DE ANIMAÇÃO
ANIMATION SERIES</t>
  </si>
  <si>
    <t>EVENTO | EVENT</t>
  </si>
  <si>
    <t>PAÍS | COUNTRY</t>
  </si>
  <si>
    <t>JANEIRO</t>
  </si>
  <si>
    <t>PRÉMIOS / MENÇÕES
AWARDS / SPECIAL MENTIONS</t>
  </si>
  <si>
    <t>LANTERNA DE PEDRA FILMES</t>
  </si>
  <si>
    <t>BIG PICTURE</t>
  </si>
  <si>
    <t>LANTERNA</t>
  </si>
  <si>
    <t>EUROPA/ EUA
EUROPE/ US</t>
  </si>
  <si>
    <t>EUROPA
EUROPE</t>
  </si>
  <si>
    <t xml:space="preserve">EUA
US </t>
  </si>
  <si>
    <t>OUTROS
OTHERS</t>
  </si>
  <si>
    <r>
      <t>FILMES ESTREADOS E EXIBIDOS POR ORIGEM - JANEIRO 2012</t>
    </r>
    <r>
      <rPr>
        <sz val="8"/>
        <rFont val="Arquitecta Book"/>
        <family val="2"/>
        <scheme val="minor"/>
      </rPr>
      <t xml:space="preserve">
FILMS RELEASED AND EXHIBITED BY ORIGIN</t>
    </r>
  </si>
  <si>
    <r>
      <t xml:space="preserve">FILMES EXIBIDOS
</t>
    </r>
    <r>
      <rPr>
        <sz val="8"/>
        <rFont val="Arquitecta Book"/>
        <family val="2"/>
        <scheme val="minor"/>
      </rPr>
      <t>FILMS EXHIBITED</t>
    </r>
  </si>
  <si>
    <r>
      <t xml:space="preserve">FILMES ESTREADOS
</t>
    </r>
    <r>
      <rPr>
        <sz val="8"/>
        <rFont val="Arquitecta Book"/>
        <family val="2"/>
        <scheme val="minor"/>
      </rPr>
      <t>FILMS RELEASED</t>
    </r>
  </si>
  <si>
    <r>
      <t xml:space="preserve">RECEITA BRUTA E ESPETADORES POR ORIGEM - JANEIRO 2012
</t>
    </r>
    <r>
      <rPr>
        <sz val="8"/>
        <rFont val="Arquitecta Book"/>
        <family val="2"/>
        <scheme val="minor"/>
      </rPr>
      <t>GBO AND ADMISSIONS BY ORIGIN</t>
    </r>
  </si>
  <si>
    <r>
      <t xml:space="preserve">RECEITA BRUTA
</t>
    </r>
    <r>
      <rPr>
        <sz val="8"/>
        <rFont val="Arquitecta Book"/>
        <family val="2"/>
        <scheme val="minor"/>
      </rPr>
      <t>GBO</t>
    </r>
  </si>
  <si>
    <t>SÉRIES DE FICÇÃO
FICTION SERIES</t>
  </si>
  <si>
    <t>LEOPARDO FILMES</t>
  </si>
  <si>
    <t>CMFIC</t>
  </si>
  <si>
    <t>LMFIC</t>
  </si>
  <si>
    <t>SÉRIEFIC</t>
  </si>
  <si>
    <t>PRODUÇÃO | PRODUCTION</t>
  </si>
  <si>
    <t>LONGAS DE FICÇÃO | FICTION FILMS Total</t>
  </si>
  <si>
    <t>CURTAS DE FICÇÃO | SHORT FILMS Total</t>
  </si>
  <si>
    <t>DOCUMENTÁRIOS | DOCUMENTARIES Total</t>
  </si>
  <si>
    <t>ANIMAÇÃO | ANIMATION Total</t>
  </si>
  <si>
    <r>
      <t xml:space="preserve">DESENVOLVIMENTO DE DOCUMENTÁRIOS
</t>
    </r>
    <r>
      <rPr>
        <sz val="9"/>
        <color theme="0" tint="-0.249977111117893"/>
        <rFont val="Arquitecta Book"/>
        <family val="2"/>
        <scheme val="minor"/>
      </rPr>
      <t>DEVELOPMENT OF DOCUMENTARY</t>
    </r>
  </si>
  <si>
    <r>
      <t xml:space="preserve">ESCRITA DE ARGUMENTOS
</t>
    </r>
    <r>
      <rPr>
        <sz val="9"/>
        <color theme="0" tint="-0.249977111117893"/>
        <rFont val="Arquitecta Book"/>
        <family val="2"/>
        <scheme val="minor"/>
      </rPr>
      <t>SCRIPT WRITING</t>
    </r>
  </si>
  <si>
    <r>
      <t xml:space="preserve">EM DESENVOLVIMENTO
</t>
    </r>
    <r>
      <rPr>
        <sz val="9"/>
        <color theme="0" tint="-0.249977111117893"/>
        <rFont val="Arquitecta Book"/>
        <family val="2"/>
        <scheme val="minor"/>
      </rPr>
      <t>UNDER DEVELOPMENT</t>
    </r>
  </si>
  <si>
    <r>
      <rPr>
        <b/>
        <sz val="9"/>
        <color theme="0"/>
        <rFont val="Arquitecta Book"/>
        <family val="2"/>
        <scheme val="minor"/>
      </rPr>
      <t>Nº DE PROJETOS</t>
    </r>
    <r>
      <rPr>
        <sz val="9"/>
        <color theme="0"/>
        <rFont val="Arquitecta Book"/>
        <family val="2"/>
        <scheme val="minor"/>
      </rPr>
      <t xml:space="preserve">
</t>
    </r>
    <r>
      <rPr>
        <sz val="9"/>
        <color theme="0" tint="-0.249977111117893"/>
        <rFont val="Arquitecta Book"/>
        <family val="2"/>
        <scheme val="minor"/>
      </rPr>
      <t>NUMBER OF PROJECTS</t>
    </r>
  </si>
  <si>
    <r>
      <rPr>
        <b/>
        <sz val="9"/>
        <color theme="0"/>
        <rFont val="Arquitecta Book"/>
        <family val="2"/>
        <scheme val="minor"/>
      </rPr>
      <t>VALOR A PAGAR</t>
    </r>
    <r>
      <rPr>
        <sz val="9"/>
        <color theme="0"/>
        <rFont val="Arquitecta Book"/>
        <family val="2"/>
        <scheme val="minor"/>
      </rPr>
      <t xml:space="preserve">
</t>
    </r>
    <r>
      <rPr>
        <sz val="9"/>
        <color theme="0" tint="-0.249977111117893"/>
        <rFont val="Arquitecta Book"/>
        <family val="2"/>
        <scheme val="minor"/>
      </rPr>
      <t>PAYMENTS DUE BY ICA</t>
    </r>
  </si>
  <si>
    <r>
      <t>CRIAÇÃO</t>
    </r>
    <r>
      <rPr>
        <sz val="11"/>
        <color theme="0" tint="-0.249977111117893"/>
        <rFont val="Arquitecta Book"/>
        <family val="2"/>
        <scheme val="minor"/>
      </rPr>
      <t xml:space="preserve"> | DEVELOPMENT</t>
    </r>
  </si>
  <si>
    <t>Fic</t>
  </si>
  <si>
    <t>Doc</t>
  </si>
  <si>
    <t>Anim</t>
  </si>
  <si>
    <r>
      <t xml:space="preserve">LONGAS DE FICÇÃO | </t>
    </r>
    <r>
      <rPr>
        <sz val="9"/>
        <color theme="0" tint="-0.249977111117893"/>
        <rFont val="Arquitecta Book"/>
        <family val="2"/>
        <scheme val="minor"/>
      </rPr>
      <t>FICTION FILMS</t>
    </r>
  </si>
  <si>
    <r>
      <t xml:space="preserve">ANIMAÇÃO | </t>
    </r>
    <r>
      <rPr>
        <sz val="9"/>
        <color theme="0" tint="-0.34998626667073579"/>
        <rFont val="Arquitecta Book"/>
        <family val="2"/>
        <scheme val="minor"/>
      </rPr>
      <t>ANIMATION</t>
    </r>
  </si>
  <si>
    <r>
      <t xml:space="preserve">DOCUMENTÁRIOS | </t>
    </r>
    <r>
      <rPr>
        <sz val="9"/>
        <color theme="0" tint="-0.34998626667073579"/>
        <rFont val="Arquitecta Book"/>
        <family val="2"/>
        <scheme val="minor"/>
      </rPr>
      <t>DOCUMENTARIES</t>
    </r>
  </si>
  <si>
    <r>
      <t xml:space="preserve">CURTAS DE FICÇÃO | </t>
    </r>
    <r>
      <rPr>
        <sz val="9"/>
        <color theme="0" tint="-0.34998626667073579"/>
        <rFont val="Arquitecta Book"/>
        <family val="2"/>
        <scheme val="minor"/>
      </rPr>
      <t>SHORT FILMS</t>
    </r>
  </si>
  <si>
    <t>EM PRODUÇÃO | IN PRODUCTION</t>
  </si>
  <si>
    <t>EM CONCURSO | COMPETITION UNDERWAY</t>
  </si>
  <si>
    <t>EM DESENVOLVIMENTO | UNDER DEVELOPMENT</t>
  </si>
  <si>
    <t>Exp</t>
  </si>
  <si>
    <t>CMEXP</t>
  </si>
  <si>
    <t>CURTA EXPERIMENTAL
EXPERIMENTAL SHORT FILM</t>
  </si>
  <si>
    <r>
      <t xml:space="preserve">DESENVOLVIMENTO DE ANIMAÇÃO
</t>
    </r>
    <r>
      <rPr>
        <sz val="9"/>
        <color theme="0" tint="-0.249977111117893"/>
        <rFont val="Arquitecta Book"/>
        <family val="2"/>
        <scheme val="minor"/>
      </rPr>
      <t>DEVELOPMENT OF ANIMATION</t>
    </r>
  </si>
  <si>
    <r>
      <t xml:space="preserve">A CONTRATUALIZAR
</t>
    </r>
    <r>
      <rPr>
        <sz val="9"/>
        <color theme="0" tint="-0.249977111117893"/>
        <rFont val="Arquitecta Book"/>
        <family val="2"/>
        <scheme val="minor"/>
      </rPr>
      <t>WAITING FOR CONTRACTUALLY</t>
    </r>
  </si>
  <si>
    <r>
      <t>CONCURSO A DECORRER</t>
    </r>
    <r>
      <rPr>
        <sz val="9"/>
        <color theme="0" tint="-0.249977111117893"/>
        <rFont val="Arquitecta Book"/>
        <family val="2"/>
        <scheme val="minor"/>
      </rPr>
      <t xml:space="preserve"> | COMPETITION UNDERWAY</t>
    </r>
  </si>
  <si>
    <r>
      <t>A CONTRATUALIZAR</t>
    </r>
    <r>
      <rPr>
        <sz val="9"/>
        <color theme="0" tint="-0.249977111117893"/>
        <rFont val="Arquitecta Book"/>
        <family val="2"/>
        <scheme val="minor"/>
      </rPr>
      <t xml:space="preserve"> | NOT YET CONTRACTED</t>
    </r>
  </si>
  <si>
    <r>
      <t>PRÉ-PRODUÇÃO</t>
    </r>
    <r>
      <rPr>
        <sz val="9"/>
        <color theme="0" tint="-0.249977111117893"/>
        <rFont val="Arquitecta Book"/>
        <family val="2"/>
        <scheme val="minor"/>
      </rPr>
      <t xml:space="preserve"> | PRE PRODUCTION</t>
    </r>
  </si>
  <si>
    <r>
      <t>PÓS-PRODUÇÃO</t>
    </r>
    <r>
      <rPr>
        <sz val="9"/>
        <color theme="0" tint="-0.249977111117893"/>
        <rFont val="Arquitecta Book"/>
        <family val="2"/>
        <scheme val="minor"/>
      </rPr>
      <t xml:space="preserve"> | POST PRODUCTION</t>
    </r>
  </si>
  <si>
    <r>
      <t>FASE DE RODAGEM</t>
    </r>
    <r>
      <rPr>
        <sz val="9"/>
        <color theme="0" tint="-0.249977111117893"/>
        <rFont val="Arquitecta Book"/>
        <family val="2"/>
        <scheme val="minor"/>
      </rPr>
      <t xml:space="preserve"> | SHOOTING STAGE</t>
    </r>
  </si>
  <si>
    <t>REC BRUTA 2012</t>
  </si>
  <si>
    <t>CONTROLO</t>
  </si>
  <si>
    <t>ESPETADORES 2012</t>
  </si>
  <si>
    <t>Nº EXIBIDOS</t>
  </si>
  <si>
    <t>Nº ESTREADOS</t>
  </si>
  <si>
    <r>
      <t>CONCLUÍDO (cvp)</t>
    </r>
    <r>
      <rPr>
        <sz val="9"/>
        <color theme="0" tint="-0.249977111117893"/>
        <rFont val="Arquitecta Book"/>
        <family val="2"/>
        <scheme val="minor"/>
      </rPr>
      <t xml:space="preserve"> | CONCLUDED (with accounts payable)</t>
    </r>
  </si>
  <si>
    <r>
      <t>EM PRODUÇÃO</t>
    </r>
    <r>
      <rPr>
        <sz val="9"/>
        <color theme="0" tint="-0.249977111117893"/>
        <rFont val="Arquitecta Book"/>
        <family val="2"/>
        <scheme val="minor"/>
      </rPr>
      <t xml:space="preserve"> | IN PRODUCTION</t>
    </r>
  </si>
  <si>
    <r>
      <t>APOIO DO ICA À PRODUÇÃO - SETEMBRO 2012</t>
    </r>
    <r>
      <rPr>
        <sz val="12"/>
        <color theme="0" tint="-0.249977111117893"/>
        <rFont val="Arquitecta Book"/>
        <family val="2"/>
        <scheme val="minor"/>
      </rPr>
      <t xml:space="preserve"> | FINANCIAL SUPPORT TO PRODUCTION - SEPTEMBER 2012</t>
    </r>
  </si>
  <si>
    <r>
      <t>APOIO DO ICA À CRIAÇÃO - SETEMBRO 2012</t>
    </r>
    <r>
      <rPr>
        <sz val="12"/>
        <color theme="0" tint="-0.249977111117893"/>
        <rFont val="Arquitecta Book"/>
        <family val="2"/>
        <scheme val="minor"/>
      </rPr>
      <t xml:space="preserve"> | FINANCIAL SUPPORT TO DEVELOPMENT - SEPTEMBER 2012</t>
    </r>
  </si>
  <si>
    <t>LEOPARDO</t>
  </si>
  <si>
    <t>OUTSIDER FILMS</t>
  </si>
  <si>
    <t xml:space="preserve">OUTSIDER </t>
  </si>
  <si>
    <t>FICÇÃO</t>
  </si>
  <si>
    <t>SUB-TOTAL</t>
  </si>
  <si>
    <r>
      <t xml:space="preserve">ESPECTADORES
</t>
    </r>
    <r>
      <rPr>
        <sz val="8"/>
        <rFont val="Arquitecta Book"/>
        <family val="2"/>
        <scheme val="minor"/>
      </rPr>
      <t>ADMISSIONS</t>
    </r>
  </si>
  <si>
    <t xml:space="preserve"> </t>
  </si>
  <si>
    <t>VENDETTA FILMES</t>
  </si>
  <si>
    <t>VENDETTA</t>
  </si>
  <si>
    <t>JAN | JAN</t>
  </si>
  <si>
    <t>FEV | FEB</t>
  </si>
  <si>
    <t>MAR | MAR</t>
  </si>
  <si>
    <t>ABR | APR</t>
  </si>
  <si>
    <t>MAI | MAY</t>
  </si>
  <si>
    <t>JUN | JUN</t>
  </si>
  <si>
    <t>JUL | JUL</t>
  </si>
  <si>
    <t>AGO | AUG</t>
  </si>
  <si>
    <t>SET | SEP</t>
  </si>
  <si>
    <t>OUT | OCT</t>
  </si>
  <si>
    <t>NOV| NOV</t>
  </si>
  <si>
    <t>DEZ | DEC</t>
  </si>
  <si>
    <r>
      <rPr>
        <b/>
        <sz val="9"/>
        <color theme="1"/>
        <rFont val="Arquitecta Book"/>
        <family val="2"/>
        <scheme val="minor"/>
      </rPr>
      <t>TÍTULO</t>
    </r>
    <r>
      <rPr>
        <b/>
        <sz val="9"/>
        <color theme="0"/>
        <rFont val="Arquitecta Book"/>
        <family val="2"/>
        <scheme val="minor"/>
      </rPr>
      <t xml:space="preserve">
</t>
    </r>
    <r>
      <rPr>
        <sz val="9"/>
        <color theme="1" tint="0.499984740745262"/>
        <rFont val="Arquitecta Book"/>
        <family val="2"/>
        <scheme val="minor"/>
      </rPr>
      <t>TITLE</t>
    </r>
  </si>
  <si>
    <r>
      <rPr>
        <b/>
        <sz val="9"/>
        <color theme="1"/>
        <rFont val="Arquitecta Book"/>
        <family val="2"/>
        <scheme val="minor"/>
      </rPr>
      <t>REALIZADOR</t>
    </r>
    <r>
      <rPr>
        <b/>
        <sz val="9"/>
        <color theme="0"/>
        <rFont val="Arquitecta Book"/>
        <family val="2"/>
        <scheme val="minor"/>
      </rPr>
      <t xml:space="preserve">
</t>
    </r>
    <r>
      <rPr>
        <sz val="9"/>
        <color theme="1" tint="0.499984740745262"/>
        <rFont val="Arquitecta Book"/>
        <family val="2"/>
        <scheme val="minor"/>
      </rPr>
      <t>DIRECTOR</t>
    </r>
  </si>
  <si>
    <r>
      <rPr>
        <b/>
        <sz val="9"/>
        <color theme="1"/>
        <rFont val="Arquitecta Book"/>
        <family val="2"/>
        <scheme val="minor"/>
      </rPr>
      <t>TIPO</t>
    </r>
    <r>
      <rPr>
        <b/>
        <sz val="9"/>
        <color theme="0"/>
        <rFont val="Arquitecta Book"/>
        <family val="2"/>
        <scheme val="minor"/>
      </rPr>
      <t xml:space="preserve">
</t>
    </r>
    <r>
      <rPr>
        <sz val="9"/>
        <color theme="1" tint="0.499984740745262"/>
        <rFont val="Arquitecta Book"/>
        <family val="2"/>
        <scheme val="minor"/>
      </rPr>
      <t>TYPE</t>
    </r>
  </si>
  <si>
    <r>
      <rPr>
        <b/>
        <sz val="9"/>
        <color theme="1"/>
        <rFont val="Arquitecta Book"/>
        <family val="2"/>
        <scheme val="minor"/>
      </rPr>
      <t>ORIGEM</t>
    </r>
    <r>
      <rPr>
        <b/>
        <sz val="9"/>
        <color theme="0"/>
        <rFont val="Arquitecta Book"/>
        <family val="2"/>
        <scheme val="minor"/>
      </rPr>
      <t xml:space="preserve">
</t>
    </r>
    <r>
      <rPr>
        <sz val="9"/>
        <color theme="1" tint="0.499984740745262"/>
        <rFont val="Arquitecta Book"/>
        <family val="2"/>
        <scheme val="minor"/>
      </rPr>
      <t>ORIGIN</t>
    </r>
  </si>
  <si>
    <r>
      <rPr>
        <b/>
        <sz val="9"/>
        <color theme="1"/>
        <rFont val="Arquitecta Book"/>
        <family val="2"/>
        <scheme val="minor"/>
      </rPr>
      <t>DISTRIBUIDOR</t>
    </r>
    <r>
      <rPr>
        <b/>
        <sz val="9"/>
        <color theme="0"/>
        <rFont val="Arquitecta Book"/>
        <family val="2"/>
        <scheme val="minor"/>
      </rPr>
      <t xml:space="preserve">
</t>
    </r>
    <r>
      <rPr>
        <sz val="9"/>
        <color theme="1" tint="0.499984740745262"/>
        <rFont val="Arquitecta Book"/>
        <family val="2"/>
        <scheme val="minor"/>
      </rPr>
      <t>DISTRIBUTOR</t>
    </r>
  </si>
  <si>
    <r>
      <rPr>
        <b/>
        <sz val="9"/>
        <color theme="1"/>
        <rFont val="Arquitecta Book"/>
        <family val="2"/>
        <scheme val="minor"/>
      </rPr>
      <t>DATA DE ESTREIA</t>
    </r>
    <r>
      <rPr>
        <b/>
        <sz val="9"/>
        <color theme="0"/>
        <rFont val="Arquitecta Book"/>
        <family val="2"/>
        <scheme val="minor"/>
      </rPr>
      <t xml:space="preserve">
</t>
    </r>
    <r>
      <rPr>
        <sz val="9"/>
        <color theme="1" tint="0.499984740745262"/>
        <rFont val="Arquitecta Book"/>
        <family val="2"/>
        <scheme val="minor"/>
      </rPr>
      <t>RELEASE DATE</t>
    </r>
  </si>
  <si>
    <r>
      <rPr>
        <b/>
        <sz val="9"/>
        <color theme="1"/>
        <rFont val="Arquitecta Book"/>
        <family val="2"/>
        <scheme val="minor"/>
      </rPr>
      <t>ESPECTADORES</t>
    </r>
    <r>
      <rPr>
        <b/>
        <sz val="9"/>
        <color theme="0"/>
        <rFont val="Arquitecta Book"/>
        <family val="2"/>
        <scheme val="minor"/>
      </rPr>
      <t xml:space="preserve">
</t>
    </r>
    <r>
      <rPr>
        <sz val="9"/>
        <color theme="1" tint="0.499984740745262"/>
        <rFont val="Arquitecta Book"/>
        <family val="2"/>
        <scheme val="minor"/>
      </rPr>
      <t>ADMISSIONS</t>
    </r>
  </si>
  <si>
    <r>
      <rPr>
        <b/>
        <sz val="9"/>
        <color theme="1"/>
        <rFont val="Arquitecta Book"/>
        <family val="2"/>
        <scheme val="minor"/>
      </rPr>
      <t>RECEITA BRUTA</t>
    </r>
    <r>
      <rPr>
        <b/>
        <sz val="9"/>
        <color theme="0"/>
        <rFont val="Arquitecta Book"/>
        <family val="2"/>
        <scheme val="minor"/>
      </rPr>
      <t xml:space="preserve">
</t>
    </r>
    <r>
      <rPr>
        <sz val="9"/>
        <color theme="1" tint="0.499984740745262"/>
        <rFont val="Arquitecta Book"/>
        <family val="2"/>
        <scheme val="minor"/>
      </rPr>
      <t>GBO</t>
    </r>
  </si>
  <si>
    <t>JANUARY TO DECEMBER 2013</t>
  </si>
  <si>
    <t>Ano</t>
  </si>
  <si>
    <t>MÊS2</t>
  </si>
  <si>
    <t>(Tudo)</t>
  </si>
  <si>
    <t>C/S Premio</t>
  </si>
  <si>
    <t>C/ Prémio</t>
  </si>
  <si>
    <t>Rótulos de Linha</t>
  </si>
  <si>
    <t>nº</t>
  </si>
  <si>
    <t>Vídeo Clip</t>
  </si>
  <si>
    <t>FILME |TITLE
REALIZADOR | DIRECTOR</t>
  </si>
  <si>
    <t>DI</t>
  </si>
  <si>
    <t>ID</t>
  </si>
  <si>
    <t>C</t>
  </si>
  <si>
    <t>Tabu
Miguel Gomes</t>
  </si>
  <si>
    <t>Curta vencedora de Janeiro</t>
  </si>
  <si>
    <t>Brasil | Brazil</t>
  </si>
  <si>
    <t>Espanha | Spain</t>
  </si>
  <si>
    <t>LONGAS DE DOCUMENTÁRIO
DOCUMENTARY FEATURE FILMS</t>
  </si>
  <si>
    <t>E agora? Lembra-me
Joaquim Pinto</t>
  </si>
  <si>
    <t>Nicolau Breyner</t>
  </si>
  <si>
    <t>Ukbar Filmes</t>
  </si>
  <si>
    <t>Um Fim do Mundo</t>
  </si>
  <si>
    <t>Pedro Pinho</t>
  </si>
  <si>
    <r>
      <rPr>
        <b/>
        <sz val="12"/>
        <color theme="1"/>
        <rFont val="Arquitecta Book"/>
        <family val="2"/>
        <scheme val="minor"/>
      </rPr>
      <t>OBRAS CINEMATOGRÁFICAS PRODUZIDAS - 2013</t>
    </r>
    <r>
      <rPr>
        <sz val="12"/>
        <color theme="1"/>
        <rFont val="Arquitecta Book"/>
        <family val="2"/>
        <scheme val="minor"/>
      </rPr>
      <t xml:space="preserve">
</t>
    </r>
    <r>
      <rPr>
        <sz val="11"/>
        <color theme="1"/>
        <rFont val="Arquitecta Book"/>
        <family val="2"/>
        <scheme val="minor"/>
      </rPr>
      <t>DOMESTIC FILMS PRODUCED</t>
    </r>
  </si>
  <si>
    <r>
      <t xml:space="preserve">CONCURSOS E PROJETOS EM CURSO - JANEIRO 2014
</t>
    </r>
    <r>
      <rPr>
        <sz val="11"/>
        <color theme="1"/>
        <rFont val="Arquitecta Book"/>
        <family val="2"/>
        <scheme val="minor"/>
      </rPr>
      <t>COMPETITION AND PROJECTS UNDERWAY - JANUARY 2014</t>
    </r>
  </si>
  <si>
    <t>DADOS</t>
  </si>
  <si>
    <t>CRIAÇÃO | DEVELOPMENT</t>
  </si>
  <si>
    <t>ÁREA APOIO</t>
  </si>
  <si>
    <t>PRODUÇÃO</t>
  </si>
  <si>
    <t>CRIAÇÃO</t>
  </si>
  <si>
    <t>SITUAÇÃO</t>
  </si>
  <si>
    <t>(Itens múltiplos)</t>
  </si>
  <si>
    <t>ANO ENTREGA</t>
  </si>
  <si>
    <t>VALOR A PAGAR |
PAYMENTS DUE BY ICA</t>
  </si>
  <si>
    <t>Rótulos de Coluna</t>
  </si>
  <si>
    <t>METRAGEM</t>
  </si>
  <si>
    <t xml:space="preserve">TÍTULO | TITLE </t>
  </si>
  <si>
    <t>REALIZADOR | DIRECTOR</t>
  </si>
  <si>
    <t>PRODUTOR | PRODUCER</t>
  </si>
  <si>
    <t>N.º DE PROJETOS
Nº OF PROJECTS</t>
  </si>
  <si>
    <t>Total VALOR A PAGAR | PAYMENTS DUE BY ICA</t>
  </si>
  <si>
    <t>Total Nº DE PROJETOS | NUMBER OF PROJECTS</t>
  </si>
  <si>
    <t>LONGA METRAGEM
FEATURE FILM</t>
  </si>
  <si>
    <t>Bobô</t>
  </si>
  <si>
    <t>Inês Oliveira</t>
  </si>
  <si>
    <t>David &amp; Golias</t>
  </si>
  <si>
    <t>VALOR A PAGAR | PAYMENTS DUE BY ICA</t>
  </si>
  <si>
    <t>Nº DE PROJETOS | NUMBER OF PROJECTS</t>
  </si>
  <si>
    <t>Campo de Flamingos Sem Flamingos</t>
  </si>
  <si>
    <t>André Príncipe</t>
  </si>
  <si>
    <t>O Som e a Fúria</t>
  </si>
  <si>
    <t>ESCRITA DE ARGUMENTOS 
SCRIPT WRITING</t>
  </si>
  <si>
    <t>Cara a Cara</t>
  </si>
  <si>
    <t>Margarida Leitão</t>
  </si>
  <si>
    <t>DESENVOLVIMENTO DE DOCUMENTÁRIOS
DEVELOPMENT OF DOCUMENTARY</t>
  </si>
  <si>
    <t>Pedro Costa</t>
  </si>
  <si>
    <t>DESENVOLVIMENTO DE ANIMAÇÃO
DEVELOPMENT OF ANIMATION</t>
  </si>
  <si>
    <t>De Armas e Bagagens</t>
  </si>
  <si>
    <t>Ana Martins</t>
  </si>
  <si>
    <t>Real Ficção</t>
  </si>
  <si>
    <t>Total Geral</t>
  </si>
  <si>
    <t>E Agora? Lembra-me</t>
  </si>
  <si>
    <t>Joaquim Pinto</t>
  </si>
  <si>
    <t>Estrada 47</t>
  </si>
  <si>
    <t>Vicente Ferraz</t>
  </si>
  <si>
    <t>Stopline Films</t>
  </si>
  <si>
    <t>PROGRAMA DE APOIO</t>
  </si>
  <si>
    <t>Imanol Uribe</t>
  </si>
  <si>
    <t>Fado Filmes</t>
  </si>
  <si>
    <t>Night Train to Lisbon</t>
  </si>
  <si>
    <t>Bille August</t>
  </si>
  <si>
    <t>Cinemate</t>
  </si>
  <si>
    <t>PROGRAMA DE APOIO
(AGRUPADO)</t>
  </si>
  <si>
    <t>SITUAÇÃO2</t>
  </si>
  <si>
    <t>Nº DE PROJETOS
NUMBER OF PROJECTS</t>
  </si>
  <si>
    <t>VALOR A PAGAR
PAYMENTS DUE BY ICA</t>
  </si>
  <si>
    <t>Imagine</t>
  </si>
  <si>
    <t>Andrzej Jakimowski</t>
  </si>
  <si>
    <t>Filmes do Tejo II</t>
  </si>
  <si>
    <t>ESCRITA DE ARGUMENTOS</t>
  </si>
  <si>
    <t>A CONTRATUALIZAR
AGREEMENT TO SIGN</t>
  </si>
  <si>
    <t>TIPO GRAF</t>
  </si>
  <si>
    <t>João Botelho</t>
  </si>
  <si>
    <t>Ar de Filmes</t>
  </si>
  <si>
    <t>OUTRAS SITUAÇÕES | OTHER SITUATIONS</t>
  </si>
  <si>
    <t>LONGAS DE FICÇÃO | FICTION FILMS</t>
  </si>
  <si>
    <t>A CONTRATUALIZAR | AGREEMENT TO SIGN</t>
  </si>
  <si>
    <t>Michael Sturminger</t>
  </si>
  <si>
    <t>Alfama Films</t>
  </si>
  <si>
    <t>DESENVOLVIMENTO DE DOCUMENTÁRIOS</t>
  </si>
  <si>
    <t>PRÉ-PRODUÇÃO | PRE PRODUCTION</t>
  </si>
  <si>
    <t>N.º DE PROJECTOS PREVISIONAIS
Nº OF PROJECTS (PREVISIONAL)</t>
  </si>
  <si>
    <t>CURTA METRAGEM
SHORT FILM</t>
  </si>
  <si>
    <t>Ana (Um Palíndromo)</t>
  </si>
  <si>
    <t>Joana Toste</t>
  </si>
  <si>
    <t>Sardinha em Lata</t>
  </si>
  <si>
    <t>EM DESENVOLVIMENTO
WORK IN PROGRESS</t>
  </si>
  <si>
    <t>FASE DE RODAGEM | SHOOTING STAGE</t>
  </si>
  <si>
    <t>Aqui a Batalha de Yaguajay - Sobreviventes</t>
  </si>
  <si>
    <t>Angelo Torres</t>
  </si>
  <si>
    <t>DESENVOLVIMENTO DE ANIMAÇÃO</t>
  </si>
  <si>
    <t>Gambozinos</t>
  </si>
  <si>
    <t>João Nicolau</t>
  </si>
  <si>
    <t>PÓS-PRODUÇÃO | POST PRODUCTION</t>
  </si>
  <si>
    <t>LONGAS | FEATURE FILMS</t>
  </si>
  <si>
    <t>André Marques</t>
  </si>
  <si>
    <t>Bando à Parte</t>
  </si>
  <si>
    <t>CURTAS | SHORT FILMS</t>
  </si>
  <si>
    <t>O Antropomorfo</t>
  </si>
  <si>
    <t>Vítor Alves / Miguel Aguiar</t>
  </si>
  <si>
    <t>Lx Filmes</t>
  </si>
  <si>
    <t>O Canto dos 4 Caminhos</t>
  </si>
  <si>
    <t>Nuno Amorim</t>
  </si>
  <si>
    <t>Animais</t>
  </si>
  <si>
    <t>CURTAS DE FICÇÃO | SHORT FILMS</t>
  </si>
  <si>
    <t>Onde Está a Tia? (Crossover)</t>
  </si>
  <si>
    <t>(em branco)</t>
  </si>
  <si>
    <t>Rei Inútil</t>
  </si>
  <si>
    <t>Telmo Churro</t>
  </si>
  <si>
    <t>Rodrigo Areias</t>
  </si>
  <si>
    <t>*Dados previsionais | Previsional data</t>
  </si>
  <si>
    <t>A Minha Casinha</t>
  </si>
  <si>
    <t>Raquel Atalaia</t>
  </si>
  <si>
    <t>Animegas</t>
  </si>
  <si>
    <t>Terratreme Filmes</t>
  </si>
  <si>
    <t>Francisco Botelho</t>
  </si>
  <si>
    <t>DOCUMENTÁRIOS | DOCUMENTARIES</t>
  </si>
  <si>
    <t>CONCURSO A DECORRER* | OPEN PROCEDURES*</t>
  </si>
  <si>
    <t>LONGAS</t>
  </si>
  <si>
    <t>ANIMAÇÃO | ANIMATION</t>
  </si>
  <si>
    <t>CURTAS</t>
  </si>
  <si>
    <t>*Dados previsionais | Prvisional data</t>
  </si>
  <si>
    <t>CINEPLACE</t>
  </si>
  <si>
    <t>REGISTOS</t>
  </si>
  <si>
    <t>PRÉMIOS DO CINEMA PORTUGUÊS - JANEIRO 2014
PORTUGUESE FILMS AWARDED - JANUARY 2014</t>
  </si>
  <si>
    <t>Prémio ABRACCINE - Associação Brasileira de Críticos de Cinema para Melhores Filmes de 2013</t>
  </si>
  <si>
    <t>Melhor Longa-Metragem Estrangeiro</t>
  </si>
  <si>
    <t>Como tu!
Afonso Oliveira</t>
  </si>
  <si>
    <t>Shortcutz Xpress Viseu #15</t>
  </si>
  <si>
    <t>Tormenta
Francisco Carvalho</t>
  </si>
  <si>
    <t>Shortcutz Lisboa #158</t>
  </si>
  <si>
    <t>Zinegoak - Festival Internacional de Cine y Artes Escénicas Gay-Lesbian-Trans de Bilbao</t>
  </si>
  <si>
    <t xml:space="preserve">Mejor Largometraje Documental
Documentales </t>
  </si>
  <si>
    <t>NOS LUSOMUNDO CINEMAS</t>
  </si>
  <si>
    <t>NOS</t>
  </si>
  <si>
    <t>NOS LUSOMUNDO AUDIOVISUAIS</t>
  </si>
  <si>
    <t>NOS Lusomundo Audiovisuais</t>
  </si>
  <si>
    <t>Big Picture 2 Films</t>
  </si>
  <si>
    <t>DESENVOLVIMENTO DE PROJETO</t>
  </si>
  <si>
    <t>ESCRITA E DESENVOLVIMENTO</t>
  </si>
  <si>
    <t>Miel de Naranjas</t>
  </si>
  <si>
    <t>Cavalo Dinheiro</t>
  </si>
  <si>
    <t>Optec</t>
  </si>
  <si>
    <t>Os Maias - Cenas da Vida Romântica</t>
  </si>
  <si>
    <t>Grazing the Sky</t>
  </si>
  <si>
    <t>Horácio Alcalá</t>
  </si>
  <si>
    <t>Casanova Variations</t>
  </si>
  <si>
    <t>Cinema</t>
  </si>
  <si>
    <t>Luminita(estreou com a LM "Quando a Noite Cai em Bucareste ou Metabolismo")</t>
  </si>
  <si>
    <t>O Pesadelo de João</t>
  </si>
  <si>
    <t>Pris Audiovisuais</t>
  </si>
  <si>
    <r>
      <t xml:space="preserve">FILMES </t>
    </r>
    <r>
      <rPr>
        <sz val="8"/>
        <color theme="0" tint="-0.499984740745262"/>
        <rFont val="Arquitecta Book"/>
        <family val="2"/>
        <scheme val="minor"/>
      </rPr>
      <t>ESTREADOS</t>
    </r>
    <r>
      <rPr>
        <sz val="8"/>
        <rFont val="Arquitecta Book"/>
        <family val="2"/>
        <scheme val="minor"/>
      </rPr>
      <t xml:space="preserve">
FILMS RELEASED</t>
    </r>
  </si>
  <si>
    <t>APOIO MAIUSCULAS</t>
  </si>
  <si>
    <t>APOIO MAISCULAS</t>
  </si>
  <si>
    <t>apoio maiusculas</t>
  </si>
  <si>
    <t>Cinemundo</t>
  </si>
  <si>
    <t>Midas Filmes</t>
  </si>
  <si>
    <t>Leopardo Filmes</t>
  </si>
  <si>
    <t>Nos Lusomundo Cinemas</t>
  </si>
  <si>
    <t>NLC - Cinema City</t>
  </si>
  <si>
    <t>Socorama</t>
  </si>
  <si>
    <t>Medeia Filmes</t>
  </si>
  <si>
    <t>Algarcine</t>
  </si>
  <si>
    <t>Cinemas Cinemax</t>
  </si>
  <si>
    <t>First Pick</t>
  </si>
  <si>
    <t>Lisboa</t>
  </si>
  <si>
    <t>Norte</t>
  </si>
  <si>
    <t>Centro</t>
  </si>
  <si>
    <t>Algarve</t>
  </si>
  <si>
    <t>Alentejo</t>
  </si>
  <si>
    <t>Madeira</t>
  </si>
  <si>
    <t>Açores</t>
  </si>
  <si>
    <t>Porto</t>
  </si>
  <si>
    <t>Setúbal</t>
  </si>
  <si>
    <t>Braga</t>
  </si>
  <si>
    <t>Faro</t>
  </si>
  <si>
    <t>Coimbra</t>
  </si>
  <si>
    <t>Aveiro</t>
  </si>
  <si>
    <t>Leiria</t>
  </si>
  <si>
    <t>Viseu</t>
  </si>
  <si>
    <t>Santarém</t>
  </si>
  <si>
    <t>Vila Real</t>
  </si>
  <si>
    <t>Viana do Castelo</t>
  </si>
  <si>
    <t>Castelo Branco</t>
  </si>
  <si>
    <t>Guarda</t>
  </si>
  <si>
    <t>Beja</t>
  </si>
  <si>
    <t>Évora</t>
  </si>
  <si>
    <t>Portalegre</t>
  </si>
  <si>
    <t>NLC - CINEMA CITY</t>
  </si>
  <si>
    <t>CINEMUNDO</t>
  </si>
  <si>
    <t>OUTROS</t>
  </si>
  <si>
    <r>
      <t>JANEIRO</t>
    </r>
    <r>
      <rPr>
        <sz val="12"/>
        <color theme="1" tint="0.499984740745262"/>
        <rFont val="Arquitecta Book"/>
        <family val="2"/>
        <scheme val="minor"/>
      </rPr>
      <t xml:space="preserve"> | JANUARY</t>
    </r>
  </si>
  <si>
    <r>
      <t>SETEMBRO</t>
    </r>
    <r>
      <rPr>
        <sz val="12"/>
        <color theme="1" tint="0.499984740745262"/>
        <rFont val="Arquitecta Book"/>
        <family val="2"/>
        <scheme val="minor"/>
      </rPr>
      <t xml:space="preserve"> | SEPTEMBER</t>
    </r>
  </si>
  <si>
    <r>
      <t>NOVEMBRO</t>
    </r>
    <r>
      <rPr>
        <sz val="12"/>
        <color theme="1" tint="0.499984740745262"/>
        <rFont val="Arquitecta Book"/>
        <family val="2"/>
        <scheme val="minor"/>
      </rPr>
      <t xml:space="preserve"> | NOVEMBER</t>
    </r>
  </si>
  <si>
    <r>
      <t>DEZEMBRO</t>
    </r>
    <r>
      <rPr>
        <sz val="12"/>
        <color theme="1" tint="0.499984740745262"/>
        <rFont val="Arquitecta Book"/>
        <family val="2"/>
        <scheme val="minor"/>
      </rPr>
      <t xml:space="preserve"> | DECEMBER</t>
    </r>
  </si>
  <si>
    <r>
      <t>FEVEREIRO</t>
    </r>
    <r>
      <rPr>
        <sz val="12"/>
        <color theme="1" tint="0.499984740745262"/>
        <rFont val="Arquitecta Book"/>
        <family val="2"/>
        <scheme val="minor"/>
      </rPr>
      <t xml:space="preserve"> | FEBRUARY</t>
    </r>
  </si>
  <si>
    <r>
      <t>MARÇO</t>
    </r>
    <r>
      <rPr>
        <sz val="12"/>
        <color theme="1" tint="0.499984740745262"/>
        <rFont val="Arquitecta Book"/>
        <family val="2"/>
        <scheme val="minor"/>
      </rPr>
      <t xml:space="preserve"> | MARCH</t>
    </r>
  </si>
  <si>
    <r>
      <t>ABRIL</t>
    </r>
    <r>
      <rPr>
        <sz val="12"/>
        <color theme="1" tint="0.499984740745262"/>
        <rFont val="Arquitecta Book"/>
        <family val="2"/>
        <scheme val="minor"/>
      </rPr>
      <t xml:space="preserve"> | APRIL</t>
    </r>
  </si>
  <si>
    <r>
      <t>MAIO</t>
    </r>
    <r>
      <rPr>
        <sz val="12"/>
        <color theme="1" tint="0.499984740745262"/>
        <rFont val="Arquitecta Book"/>
        <family val="2"/>
        <scheme val="minor"/>
      </rPr>
      <t xml:space="preserve"> | MAY</t>
    </r>
  </si>
  <si>
    <r>
      <t>JUNHO</t>
    </r>
    <r>
      <rPr>
        <sz val="12"/>
        <color theme="1" tint="0.499984740745262"/>
        <rFont val="Arquitecta Book"/>
        <family val="2"/>
        <scheme val="minor"/>
      </rPr>
      <t xml:space="preserve"> | JUNE</t>
    </r>
  </si>
  <si>
    <r>
      <t>OUTUBRO</t>
    </r>
    <r>
      <rPr>
        <sz val="12"/>
        <color theme="1" tint="0.499984740745262"/>
        <rFont val="Arquitecta Book"/>
        <family val="2"/>
        <scheme val="minor"/>
      </rPr>
      <t xml:space="preserve"> | OCTOBER</t>
    </r>
  </si>
  <si>
    <r>
      <t xml:space="preserve">ABRIL </t>
    </r>
    <r>
      <rPr>
        <sz val="12"/>
        <color theme="1" tint="0.499984740745262"/>
        <rFont val="Arquitecta Book"/>
        <family val="2"/>
        <scheme val="minor"/>
      </rPr>
      <t>| APRIL</t>
    </r>
  </si>
  <si>
    <r>
      <t>JULHO</t>
    </r>
    <r>
      <rPr>
        <sz val="12"/>
        <color theme="1" tint="0.499984740745262"/>
        <rFont val="Arquitecta Book"/>
        <family val="2"/>
        <scheme val="minor"/>
      </rPr>
      <t xml:space="preserve"> | JULY</t>
    </r>
  </si>
  <si>
    <r>
      <t>AGOSTO</t>
    </r>
    <r>
      <rPr>
        <sz val="12"/>
        <color theme="1" tint="0.499984740745262"/>
        <rFont val="Arquitecta Book"/>
        <family val="2"/>
        <scheme val="minor"/>
      </rPr>
      <t xml:space="preserve"> | AUGUST</t>
    </r>
  </si>
  <si>
    <r>
      <rPr>
        <sz val="10"/>
        <color theme="1"/>
        <rFont val="Arquitecta Bold"/>
        <family val="3"/>
        <scheme val="major"/>
      </rPr>
      <t>JANEIRO</t>
    </r>
    <r>
      <rPr>
        <sz val="10"/>
        <color theme="1"/>
        <rFont val="Arquitecta Book"/>
        <family val="3"/>
        <scheme val="minor"/>
      </rPr>
      <t xml:space="preserve"> | JANUARY</t>
    </r>
  </si>
  <si>
    <r>
      <rPr>
        <sz val="10"/>
        <color theme="1"/>
        <rFont val="Arquitecta Bold"/>
        <family val="3"/>
        <scheme val="major"/>
      </rPr>
      <t>FEVEREIRO</t>
    </r>
    <r>
      <rPr>
        <sz val="10"/>
        <color theme="1"/>
        <rFont val="Arquitecta Book"/>
        <family val="2"/>
        <scheme val="minor"/>
      </rPr>
      <t xml:space="preserve"> | FEBRUARY</t>
    </r>
  </si>
  <si>
    <r>
      <rPr>
        <sz val="10"/>
        <color theme="1"/>
        <rFont val="Arquitecta Bold"/>
        <family val="3"/>
        <scheme val="major"/>
      </rPr>
      <t>MARÇO</t>
    </r>
    <r>
      <rPr>
        <sz val="10"/>
        <color theme="1"/>
        <rFont val="Arquitecta Book"/>
        <family val="2"/>
        <scheme val="minor"/>
      </rPr>
      <t xml:space="preserve"> | MARCH</t>
    </r>
  </si>
  <si>
    <r>
      <rPr>
        <sz val="10"/>
        <color theme="1"/>
        <rFont val="Arquitecta Bold"/>
        <family val="3"/>
        <scheme val="major"/>
      </rPr>
      <t>ABRIL</t>
    </r>
    <r>
      <rPr>
        <sz val="10"/>
        <color theme="1"/>
        <rFont val="Arquitecta Book"/>
        <family val="2"/>
        <scheme val="minor"/>
      </rPr>
      <t xml:space="preserve"> | APRIL</t>
    </r>
  </si>
  <si>
    <r>
      <rPr>
        <sz val="10"/>
        <color theme="1"/>
        <rFont val="Arquitecta Bold"/>
        <family val="3"/>
        <scheme val="major"/>
      </rPr>
      <t>MAIO</t>
    </r>
    <r>
      <rPr>
        <sz val="10"/>
        <color theme="1"/>
        <rFont val="Arquitecta Book"/>
        <family val="2"/>
        <scheme val="minor"/>
      </rPr>
      <t xml:space="preserve"> | MAY</t>
    </r>
  </si>
  <si>
    <r>
      <rPr>
        <sz val="10"/>
        <color theme="1"/>
        <rFont val="Arquitecta Bold"/>
        <family val="3"/>
        <scheme val="major"/>
      </rPr>
      <t>JUNHO</t>
    </r>
    <r>
      <rPr>
        <sz val="10"/>
        <color theme="1"/>
        <rFont val="Arquitecta Book"/>
        <family val="2"/>
        <scheme val="minor"/>
      </rPr>
      <t xml:space="preserve"> | JUNE</t>
    </r>
  </si>
  <si>
    <r>
      <rPr>
        <sz val="10"/>
        <color theme="1"/>
        <rFont val="Arquitecta Bold"/>
        <family val="3"/>
        <scheme val="major"/>
      </rPr>
      <t>JULHO</t>
    </r>
    <r>
      <rPr>
        <sz val="10"/>
        <color theme="1"/>
        <rFont val="Arquitecta Book"/>
        <family val="2"/>
        <scheme val="minor"/>
      </rPr>
      <t xml:space="preserve"> | JULY</t>
    </r>
  </si>
  <si>
    <r>
      <rPr>
        <sz val="10"/>
        <color theme="1"/>
        <rFont val="Arquitecta Bold"/>
        <family val="3"/>
        <scheme val="major"/>
      </rPr>
      <t>AGOSTO</t>
    </r>
    <r>
      <rPr>
        <sz val="10"/>
        <color theme="1"/>
        <rFont val="Arquitecta Book"/>
        <family val="2"/>
        <scheme val="minor"/>
      </rPr>
      <t xml:space="preserve"> | AUGUST</t>
    </r>
  </si>
  <si>
    <r>
      <rPr>
        <sz val="10"/>
        <color theme="1"/>
        <rFont val="Arquitecta Bold"/>
        <family val="3"/>
        <scheme val="major"/>
      </rPr>
      <t>SETEMBRO</t>
    </r>
    <r>
      <rPr>
        <sz val="10"/>
        <color theme="1"/>
        <rFont val="Arquitecta Book"/>
        <family val="2"/>
        <scheme val="minor"/>
      </rPr>
      <t xml:space="preserve"> | SEPTEMBER</t>
    </r>
  </si>
  <si>
    <r>
      <rPr>
        <sz val="10"/>
        <color theme="1"/>
        <rFont val="Arquitecta Bold"/>
        <family val="3"/>
        <scheme val="major"/>
      </rPr>
      <t>OUTUBRO</t>
    </r>
    <r>
      <rPr>
        <sz val="10"/>
        <color theme="1"/>
        <rFont val="Arquitecta Book"/>
        <family val="2"/>
        <scheme val="minor"/>
      </rPr>
      <t xml:space="preserve"> | OCTOBER</t>
    </r>
  </si>
  <si>
    <r>
      <rPr>
        <sz val="10"/>
        <color theme="1"/>
        <rFont val="Arquitecta Bold"/>
        <family val="3"/>
        <scheme val="major"/>
      </rPr>
      <t>DEZEMBRO</t>
    </r>
    <r>
      <rPr>
        <sz val="10"/>
        <color theme="1"/>
        <rFont val="Arquitecta Book"/>
        <family val="2"/>
        <scheme val="minor"/>
      </rPr>
      <t xml:space="preserve"> | DECEMBER</t>
    </r>
  </si>
  <si>
    <r>
      <t xml:space="preserve">RECEITA BRUTA - EVOLUÇÃO MENSAL
</t>
    </r>
    <r>
      <rPr>
        <sz val="10"/>
        <color theme="0" tint="-0.249977111117893"/>
        <rFont val="Arquitecta Book"/>
        <family val="2"/>
        <scheme val="minor"/>
      </rPr>
      <t>GBO - MONTHLY EVOLUTION</t>
    </r>
  </si>
  <si>
    <r>
      <t xml:space="preserve">ESPECTADORES - EVOLUÇÃO MENSAL
</t>
    </r>
    <r>
      <rPr>
        <sz val="10"/>
        <color theme="0" tint="-0.249977111117893"/>
        <rFont val="Arquitecta Book"/>
        <family val="2"/>
        <scheme val="minor"/>
      </rPr>
      <t>ADMISSIONS - MONTHLY EVOLUTION</t>
    </r>
  </si>
  <si>
    <r>
      <t xml:space="preserve">RANKING DOS FILMES MAIS VISTOS
</t>
    </r>
    <r>
      <rPr>
        <sz val="10"/>
        <color theme="0" tint="-0.249977111117893"/>
        <rFont val="Arquitecta Book"/>
        <family val="2"/>
        <scheme val="minor"/>
      </rPr>
      <t>TOP 10 FILMS</t>
    </r>
  </si>
  <si>
    <r>
      <t xml:space="preserve">RANKING DOS FILMES NACIONAIS EXIBIDOS
</t>
    </r>
    <r>
      <rPr>
        <sz val="10"/>
        <color theme="0" tint="-0.249977111117893"/>
        <rFont val="Arquitecta Book"/>
        <family val="2"/>
        <scheme val="minor"/>
      </rPr>
      <t>TOP DOMESTIC FILMS</t>
    </r>
  </si>
  <si>
    <r>
      <t xml:space="preserve">FILMES ESTREADOS E EXIBIDOS POR DISTRIBUIDOR
</t>
    </r>
    <r>
      <rPr>
        <sz val="10"/>
        <color theme="0" tint="-0.249977111117893"/>
        <rFont val="Arquitecta Book"/>
        <family val="2"/>
        <scheme val="minor"/>
      </rPr>
      <t>FILMS RELEASED AND EXHIBITED BY DISTRIBUTOR</t>
    </r>
  </si>
  <si>
    <r>
      <t xml:space="preserve">RECEITA BRUTA POR DISTRIBUIDOR
</t>
    </r>
    <r>
      <rPr>
        <sz val="10"/>
        <color theme="0" tint="-0.249977111117893"/>
        <rFont val="Arquitecta Book"/>
        <family val="2"/>
        <scheme val="minor"/>
      </rPr>
      <t>GBO BY DISTRIBUTOR</t>
    </r>
  </si>
  <si>
    <r>
      <t xml:space="preserve">ESPECTADORES POR DISTRIBUIDOR
</t>
    </r>
    <r>
      <rPr>
        <sz val="10"/>
        <color theme="0" tint="-0.249977111117893"/>
        <rFont val="Arquitecta Book"/>
        <family val="2"/>
        <scheme val="minor"/>
      </rPr>
      <t>ADMISSIONS BY DISTRIBUTOR</t>
    </r>
  </si>
  <si>
    <r>
      <t xml:space="preserve">FILMES ESTREADOS E EXIBIDOS POR ORIGEM
</t>
    </r>
    <r>
      <rPr>
        <sz val="10"/>
        <color theme="0" tint="-0.249977111117893"/>
        <rFont val="Arquitecta Book"/>
        <family val="2"/>
        <scheme val="minor"/>
      </rPr>
      <t>FILMS RELEASED AND EXHIBITED BY ORIGIN</t>
    </r>
  </si>
  <si>
    <r>
      <rPr>
        <b/>
        <sz val="10"/>
        <color theme="0"/>
        <rFont val="Arquitecta Book"/>
        <family val="2"/>
        <scheme val="minor"/>
      </rPr>
      <t>RECEITA BRUTA E ESPECTADORES POR ORIGEM</t>
    </r>
    <r>
      <rPr>
        <sz val="10"/>
        <color theme="0"/>
        <rFont val="Arquitecta Book"/>
        <family val="2"/>
        <scheme val="minor"/>
      </rPr>
      <t xml:space="preserve">
</t>
    </r>
    <r>
      <rPr>
        <sz val="10"/>
        <color theme="0" tint="-0.249977111117893"/>
        <rFont val="Arquitecta Book"/>
        <family val="2"/>
        <scheme val="minor"/>
      </rPr>
      <t>GBO AND ADMISSIONS BY ORIGIN</t>
    </r>
  </si>
  <si>
    <r>
      <rPr>
        <b/>
        <sz val="10"/>
        <color theme="0"/>
        <rFont val="Arquitecta Book"/>
        <family val="2"/>
        <scheme val="minor"/>
      </rPr>
      <t>RECEITA BRUTA POR EXIBIDOR</t>
    </r>
    <r>
      <rPr>
        <sz val="10"/>
        <color theme="0"/>
        <rFont val="Arquitecta Book"/>
        <family val="2"/>
        <scheme val="minor"/>
      </rPr>
      <t xml:space="preserve">
</t>
    </r>
    <r>
      <rPr>
        <sz val="10"/>
        <color theme="0" tint="-0.249977111117893"/>
        <rFont val="Arquitecta Book"/>
        <family val="2"/>
        <scheme val="minor"/>
      </rPr>
      <t>GBO BY EXHIBITOR</t>
    </r>
  </si>
  <si>
    <r>
      <rPr>
        <b/>
        <sz val="10"/>
        <color theme="0"/>
        <rFont val="Arquitecta Book"/>
        <family val="2"/>
        <scheme val="minor"/>
      </rPr>
      <t>ESPECTADORES POR EXIBIDOR</t>
    </r>
    <r>
      <rPr>
        <sz val="10"/>
        <color theme="0"/>
        <rFont val="Arquitecta Book"/>
        <family val="2"/>
        <scheme val="minor"/>
      </rPr>
      <t xml:space="preserve">
</t>
    </r>
    <r>
      <rPr>
        <sz val="10"/>
        <color theme="0" tint="-0.249977111117893"/>
        <rFont val="Arquitecta Book"/>
        <family val="2"/>
        <scheme val="minor"/>
      </rPr>
      <t>ADMISSIONS BY EXHIBITOR</t>
    </r>
  </si>
  <si>
    <r>
      <rPr>
        <b/>
        <sz val="10"/>
        <color theme="0"/>
        <rFont val="Arquitecta Book"/>
        <family val="2"/>
        <scheme val="minor"/>
      </rPr>
      <t>EXIBIÇÃO CINEMATOGRÁFICA</t>
    </r>
    <r>
      <rPr>
        <sz val="10"/>
        <color theme="0"/>
        <rFont val="Arquitecta Book"/>
        <family val="2"/>
        <scheme val="minor"/>
      </rPr>
      <t xml:space="preserve">
</t>
    </r>
    <r>
      <rPr>
        <sz val="10"/>
        <color theme="0" tint="-0.249977111117893"/>
        <rFont val="Arquitecta Book"/>
        <family val="2"/>
        <scheme val="minor"/>
      </rPr>
      <t>EXHIBITION</t>
    </r>
  </si>
  <si>
    <r>
      <rPr>
        <b/>
        <sz val="10"/>
        <color theme="0"/>
        <rFont val="Arquitecta Book"/>
        <family val="2"/>
        <scheme val="minor"/>
      </rPr>
      <t>OBRAS CINEMATOGRÁFICAS PRODUZIDAS</t>
    </r>
    <r>
      <rPr>
        <sz val="10"/>
        <color theme="0"/>
        <rFont val="Arquitecta Book"/>
        <family val="2"/>
        <scheme val="minor"/>
      </rPr>
      <t xml:space="preserve">
</t>
    </r>
    <r>
      <rPr>
        <sz val="10"/>
        <color theme="0" tint="-0.249977111117893"/>
        <rFont val="Arquitecta Book"/>
        <family val="2"/>
        <scheme val="minor"/>
      </rPr>
      <t>DOMESTIC FILMS PRODUCED</t>
    </r>
  </si>
  <si>
    <r>
      <rPr>
        <b/>
        <sz val="12"/>
        <color theme="1"/>
        <rFont val="Arquitecta Book"/>
        <family val="2"/>
        <scheme val="minor"/>
      </rPr>
      <t>APOIO DO ICA À CRIAÇÃO</t>
    </r>
    <r>
      <rPr>
        <sz val="12"/>
        <color theme="1"/>
        <rFont val="Arquitecta Book"/>
        <family val="2"/>
        <scheme val="minor"/>
      </rPr>
      <t xml:space="preserve">
FINANCIAL SUPPORT TO DEVELOPMENT</t>
    </r>
  </si>
  <si>
    <t>APOIO DO ICA À PRODUÇÃO
FINANCIAL SUPPORT TO PRODUCTION</t>
  </si>
  <si>
    <r>
      <rPr>
        <b/>
        <sz val="12"/>
        <color theme="1"/>
        <rFont val="Arquitecta Book"/>
        <family val="2"/>
        <scheme val="minor"/>
      </rPr>
      <t>PRÉMIOS DO CINEMA PORTUGUÊS</t>
    </r>
    <r>
      <rPr>
        <sz val="12"/>
        <color theme="1"/>
        <rFont val="Arquitecta Book"/>
        <family val="2"/>
        <scheme val="minor"/>
      </rPr>
      <t xml:space="preserve">
PORTUGUESE FILMS AWARDED</t>
    </r>
  </si>
  <si>
    <t>DISTRIBUIDOR | DISTRIBUTOR</t>
  </si>
  <si>
    <t>*Filmes de longa metragem | Feature films</t>
  </si>
  <si>
    <t>EXIBIDOR | EXHIBITOR</t>
  </si>
  <si>
    <t>REGIÃO
REGION</t>
  </si>
  <si>
    <t>DISTRITO
DISTRICT</t>
  </si>
  <si>
    <t>FILMES ESTREADOS | FILMS RELEASED</t>
  </si>
  <si>
    <t>FILMES EXIBIDOS | FILMS EXHIBITED</t>
  </si>
  <si>
    <r>
      <rPr>
        <sz val="9"/>
        <color rgb="FFFFFF00"/>
        <rFont val="Arquitecta Bold"/>
        <family val="3"/>
        <scheme val="major"/>
      </rPr>
      <t>TÍTULO</t>
    </r>
    <r>
      <rPr>
        <sz val="9"/>
        <color rgb="FFFFFF00"/>
        <rFont val="Arquitecta Book"/>
        <family val="2"/>
        <scheme val="minor"/>
      </rPr>
      <t xml:space="preserve">
TITLE</t>
    </r>
  </si>
  <si>
    <r>
      <rPr>
        <sz val="9"/>
        <color rgb="FFFFFF00"/>
        <rFont val="Arquitecta Bold"/>
        <family val="3"/>
        <scheme val="major"/>
      </rPr>
      <t>REALIZADOR</t>
    </r>
    <r>
      <rPr>
        <sz val="9"/>
        <color rgb="FFFFFF00"/>
        <rFont val="Arquitecta Book"/>
        <family val="2"/>
        <scheme val="minor"/>
      </rPr>
      <t xml:space="preserve">
DIRECTOR</t>
    </r>
  </si>
  <si>
    <r>
      <rPr>
        <sz val="9"/>
        <color rgb="FFFFFF00"/>
        <rFont val="Arquitecta Bold"/>
        <family val="3"/>
        <scheme val="major"/>
      </rPr>
      <t>ORIGEM</t>
    </r>
    <r>
      <rPr>
        <sz val="9"/>
        <color rgb="FFFFFF00"/>
        <rFont val="Arquitecta Book"/>
        <family val="2"/>
        <scheme val="minor"/>
      </rPr>
      <t xml:space="preserve">
ORIGIN</t>
    </r>
  </si>
  <si>
    <r>
      <rPr>
        <sz val="9"/>
        <color rgb="FFFFFF00"/>
        <rFont val="Arquitecta Bold"/>
        <family val="3"/>
        <scheme val="major"/>
      </rPr>
      <t>DISTRIBUIDOR</t>
    </r>
    <r>
      <rPr>
        <sz val="9"/>
        <color rgb="FFFFFF00"/>
        <rFont val="Arquitecta Book"/>
        <family val="2"/>
        <scheme val="minor"/>
      </rPr>
      <t xml:space="preserve">
DISTRIBUTOR</t>
    </r>
  </si>
  <si>
    <r>
      <rPr>
        <sz val="9"/>
        <color rgb="FFFFFF00"/>
        <rFont val="Arquitecta Bold"/>
        <family val="3"/>
        <scheme val="major"/>
      </rPr>
      <t>DATA DE ESTREIA</t>
    </r>
    <r>
      <rPr>
        <sz val="9"/>
        <color rgb="FFFFFF00"/>
        <rFont val="Arquitecta Book"/>
        <family val="2"/>
        <scheme val="minor"/>
      </rPr>
      <t xml:space="preserve">
RELEASE DATE</t>
    </r>
  </si>
  <si>
    <r>
      <rPr>
        <sz val="9"/>
        <color rgb="FFFFFF00"/>
        <rFont val="Arquitecta Bold"/>
        <family val="3"/>
        <scheme val="major"/>
      </rPr>
      <t>ESPECTADORES</t>
    </r>
    <r>
      <rPr>
        <sz val="9"/>
        <color rgb="FFFFFF00"/>
        <rFont val="Arquitecta Book"/>
        <family val="2"/>
        <scheme val="minor"/>
      </rPr>
      <t xml:space="preserve">
ADMISSIONS</t>
    </r>
  </si>
  <si>
    <r>
      <rPr>
        <sz val="9"/>
        <color rgb="FFFFFF00"/>
        <rFont val="Arquitecta Bold"/>
        <family val="3"/>
        <scheme val="major"/>
      </rPr>
      <t>RECEITA BRUTA</t>
    </r>
    <r>
      <rPr>
        <sz val="9"/>
        <color rgb="FFFFFF00"/>
        <rFont val="Arquitecta Book"/>
        <family val="2"/>
        <scheme val="minor"/>
      </rPr>
      <t xml:space="preserve">
GBO</t>
    </r>
  </si>
  <si>
    <r>
      <rPr>
        <sz val="9"/>
        <color rgb="FFFFFF00"/>
        <rFont val="Arquitecta Bold"/>
        <family val="3"/>
        <scheme val="major"/>
      </rPr>
      <t>TIPO</t>
    </r>
    <r>
      <rPr>
        <sz val="9"/>
        <color rgb="FFFFFF00"/>
        <rFont val="Arquitecta Book"/>
        <family val="2"/>
        <scheme val="minor"/>
      </rPr>
      <t xml:space="preserve">
TYPE</t>
    </r>
  </si>
  <si>
    <r>
      <rPr>
        <sz val="9"/>
        <color rgb="FFFFFF00"/>
        <rFont val="Arquitecta Bold"/>
        <family val="3"/>
        <scheme val="major"/>
      </rPr>
      <t>DISTRIBUIDOR</t>
    </r>
    <r>
      <rPr>
        <sz val="9"/>
        <color rgb="FFFFFF00"/>
        <rFont val="Arquitecta Book"/>
        <family val="2"/>
        <scheme val="minor"/>
      </rPr>
      <t xml:space="preserve"> | DISTRIBUTOR</t>
    </r>
  </si>
  <si>
    <r>
      <rPr>
        <sz val="9"/>
        <color rgb="FFFFFF00"/>
        <rFont val="Arquitecta Bold"/>
        <family val="3"/>
        <scheme val="major"/>
      </rPr>
      <t>FILMES ESTREADOS</t>
    </r>
    <r>
      <rPr>
        <sz val="9"/>
        <color rgb="FFFFFF00"/>
        <rFont val="Arquitecta Book"/>
        <family val="2"/>
        <scheme val="minor"/>
      </rPr>
      <t xml:space="preserve"> | FILMS RELEASED</t>
    </r>
  </si>
  <si>
    <r>
      <rPr>
        <sz val="9"/>
        <color rgb="FFFFFF00"/>
        <rFont val="Arquitecta Bold"/>
        <family val="3"/>
        <scheme val="major"/>
      </rPr>
      <t>FILMES EXIBIDOS</t>
    </r>
    <r>
      <rPr>
        <sz val="9"/>
        <color rgb="FFFFFF00"/>
        <rFont val="Arquitecta Book"/>
        <family val="2"/>
        <scheme val="minor"/>
      </rPr>
      <t xml:space="preserve"> | FILMS EXHIBITED</t>
    </r>
  </si>
  <si>
    <r>
      <rPr>
        <sz val="9"/>
        <color rgb="FFFFFF00"/>
        <rFont val="Arquitecta Bold"/>
        <family val="3"/>
        <scheme val="major"/>
      </rPr>
      <t>QUOTA</t>
    </r>
    <r>
      <rPr>
        <sz val="9"/>
        <color rgb="FFFFFF00"/>
        <rFont val="Arquitecta Book"/>
        <family val="2"/>
        <scheme val="minor"/>
      </rPr>
      <t xml:space="preserve">
SHARE</t>
    </r>
  </si>
  <si>
    <r>
      <rPr>
        <sz val="9"/>
        <color rgb="FFFFFF00"/>
        <rFont val="Arquitecta Bold"/>
        <family val="3"/>
        <scheme val="major"/>
      </rPr>
      <t>EXIBIDOR</t>
    </r>
    <r>
      <rPr>
        <sz val="9"/>
        <color rgb="FFFFFF00"/>
        <rFont val="Arquitecta Book"/>
        <family val="2"/>
        <scheme val="minor"/>
      </rPr>
      <t xml:space="preserve"> | EXHIBITOR</t>
    </r>
  </si>
  <si>
    <r>
      <rPr>
        <sz val="9"/>
        <color rgb="FFFFFF00"/>
        <rFont val="Arquitecta Bold"/>
        <family val="3"/>
        <scheme val="major"/>
      </rPr>
      <t>RECINTOS</t>
    </r>
    <r>
      <rPr>
        <sz val="9"/>
        <color rgb="FFFFFF00"/>
        <rFont val="Arquitecta Book"/>
        <family val="2"/>
        <scheme val="minor"/>
      </rPr>
      <t xml:space="preserve"> | SITES</t>
    </r>
  </si>
  <si>
    <r>
      <rPr>
        <sz val="9"/>
        <color rgb="FFFFFF00"/>
        <rFont val="Arquitecta Bold"/>
        <family val="3"/>
        <scheme val="major"/>
      </rPr>
      <t>ECRÃS</t>
    </r>
    <r>
      <rPr>
        <sz val="9"/>
        <color rgb="FFFFFF00"/>
        <rFont val="Arquitecta Book"/>
        <family val="2"/>
        <scheme val="minor"/>
      </rPr>
      <t xml:space="preserve"> | SCREENS</t>
    </r>
  </si>
  <si>
    <r>
      <rPr>
        <sz val="9"/>
        <color rgb="FFFFFF00"/>
        <rFont val="Arquitecta Bold"/>
        <family val="3"/>
        <scheme val="major"/>
      </rPr>
      <t>LUGARES</t>
    </r>
    <r>
      <rPr>
        <sz val="9"/>
        <color rgb="FFFFFF00"/>
        <rFont val="Arquitecta Book"/>
        <family val="2"/>
        <scheme val="minor"/>
      </rPr>
      <t xml:space="preserve"> | SEATS</t>
    </r>
  </si>
  <si>
    <r>
      <rPr>
        <sz val="9"/>
        <color theme="1"/>
        <rFont val="Arquitecta Bold"/>
        <family val="3"/>
        <scheme val="major"/>
      </rPr>
      <t>OUTROS</t>
    </r>
    <r>
      <rPr>
        <sz val="9"/>
        <color theme="1"/>
        <rFont val="Arquitecta Book"/>
        <family val="2"/>
        <scheme val="minor"/>
      </rPr>
      <t xml:space="preserve"> | OTHERS</t>
    </r>
  </si>
  <si>
    <r>
      <rPr>
        <sz val="9"/>
        <color rgb="FFFFFF00"/>
        <rFont val="Arquitecta Bold"/>
        <family val="3"/>
        <scheme val="major"/>
      </rPr>
      <t>REGIÃO</t>
    </r>
    <r>
      <rPr>
        <sz val="9"/>
        <color rgb="FFFFFF00"/>
        <rFont val="Arquitecta Book"/>
        <family val="3"/>
        <scheme val="minor"/>
      </rPr>
      <t xml:space="preserve">
REGION</t>
    </r>
  </si>
  <si>
    <r>
      <rPr>
        <sz val="9"/>
        <color rgb="FFFFFF00"/>
        <rFont val="Arquitecta Bold"/>
        <family val="3"/>
        <scheme val="major"/>
      </rPr>
      <t>RECINTOS</t>
    </r>
    <r>
      <rPr>
        <sz val="9"/>
        <color rgb="FFFFFF00"/>
        <rFont val="Arquitecta Book"/>
        <family val="3"/>
        <scheme val="minor"/>
      </rPr>
      <t xml:space="preserve">
SITES</t>
    </r>
  </si>
  <si>
    <r>
      <rPr>
        <sz val="9"/>
        <color rgb="FFFFFF00"/>
        <rFont val="Arquitecta Bold"/>
        <family val="3"/>
        <scheme val="major"/>
      </rPr>
      <t>ECRÃS</t>
    </r>
    <r>
      <rPr>
        <sz val="9"/>
        <color rgb="FFFFFF00"/>
        <rFont val="Arquitecta Book"/>
        <family val="3"/>
        <scheme val="minor"/>
      </rPr>
      <t xml:space="preserve">
SCREENS</t>
    </r>
  </si>
  <si>
    <r>
      <rPr>
        <sz val="9"/>
        <color rgb="FFFFFF00"/>
        <rFont val="Arquitecta Bold"/>
        <family val="3"/>
        <scheme val="major"/>
      </rPr>
      <t>LUGARES</t>
    </r>
    <r>
      <rPr>
        <sz val="9"/>
        <color rgb="FFFFFF00"/>
        <rFont val="Arquitecta Book"/>
        <family val="3"/>
        <scheme val="minor"/>
      </rPr>
      <t xml:space="preserve">
SEATS</t>
    </r>
  </si>
  <si>
    <r>
      <rPr>
        <sz val="9"/>
        <color rgb="FFFFFF00"/>
        <rFont val="Arquitecta Bold"/>
        <family val="3"/>
        <scheme val="major"/>
      </rPr>
      <t>RECEITA BRUTA</t>
    </r>
    <r>
      <rPr>
        <sz val="9"/>
        <color rgb="FFFFFF00"/>
        <rFont val="Arquitecta Book"/>
        <family val="3"/>
        <scheme val="minor"/>
      </rPr>
      <t xml:space="preserve">
GBO</t>
    </r>
  </si>
  <si>
    <r>
      <rPr>
        <sz val="9"/>
        <color rgb="FFFFFF00"/>
        <rFont val="Arquitecta Bold"/>
        <family val="3"/>
        <scheme val="major"/>
      </rPr>
      <t>ESPECTADORES</t>
    </r>
    <r>
      <rPr>
        <sz val="9"/>
        <color rgb="FFFFFF00"/>
        <rFont val="Arquitecta Book"/>
        <family val="3"/>
        <scheme val="minor"/>
      </rPr>
      <t xml:space="preserve">
ADMISSIONS</t>
    </r>
  </si>
  <si>
    <r>
      <rPr>
        <sz val="9"/>
        <color rgb="FFFFFF00"/>
        <rFont val="Arquitecta Bold"/>
        <family val="3"/>
        <scheme val="major"/>
      </rPr>
      <t>SESSÕES</t>
    </r>
    <r>
      <rPr>
        <sz val="9"/>
        <color rgb="FFFFFF00"/>
        <rFont val="Arquitecta Book"/>
        <family val="3"/>
        <scheme val="minor"/>
      </rPr>
      <t xml:space="preserve">
SCREENINGS</t>
    </r>
  </si>
  <si>
    <r>
      <rPr>
        <sz val="9"/>
        <color rgb="FFFFFF00"/>
        <rFont val="Arquitecta Bold"/>
        <family val="3"/>
        <scheme val="major"/>
      </rPr>
      <t>DISTRITO</t>
    </r>
    <r>
      <rPr>
        <sz val="9"/>
        <color rgb="FFFFFF00"/>
        <rFont val="Arquitecta Book"/>
        <family val="3"/>
        <scheme val="minor"/>
      </rPr>
      <t xml:space="preserve">
DISTRICT</t>
    </r>
  </si>
  <si>
    <t>Nota: Referente a obras apoiadas à produção pelo ICA e com cópia final entregue neste Instituto no presente ano.
Note: Refers to the production works supported by the ICA and the final copy delivered at the Institute in the presente year.</t>
  </si>
  <si>
    <r>
      <rPr>
        <sz val="9"/>
        <color theme="1"/>
        <rFont val="Arquitecta Bold"/>
        <family val="3"/>
        <scheme val="major"/>
      </rPr>
      <t>FICÇÃO</t>
    </r>
    <r>
      <rPr>
        <sz val="9"/>
        <color theme="1"/>
        <rFont val="Arquitecta Book"/>
        <family val="2"/>
        <scheme val="minor"/>
      </rPr>
      <t xml:space="preserve"> | FICTION</t>
    </r>
  </si>
  <si>
    <r>
      <rPr>
        <sz val="9"/>
        <color theme="1"/>
        <rFont val="Arquitecta Bold"/>
        <family val="3"/>
        <scheme val="major"/>
      </rPr>
      <t>ANIMAÇÃO</t>
    </r>
    <r>
      <rPr>
        <sz val="9"/>
        <color theme="1"/>
        <rFont val="Arquitecta Book"/>
        <family val="2"/>
        <scheme val="minor"/>
      </rPr>
      <t xml:space="preserve"> | ANIMATION</t>
    </r>
  </si>
  <si>
    <r>
      <rPr>
        <sz val="9"/>
        <color theme="1"/>
        <rFont val="Arquitecta Bold"/>
        <family val="3"/>
        <scheme val="major"/>
      </rPr>
      <t>DOCUMENTÁRIO</t>
    </r>
    <r>
      <rPr>
        <sz val="9"/>
        <color theme="1"/>
        <rFont val="Arquitecta Book"/>
        <family val="2"/>
        <scheme val="minor"/>
      </rPr>
      <t xml:space="preserve"> | DOCUMENTARY</t>
    </r>
  </si>
  <si>
    <r>
      <rPr>
        <sz val="9"/>
        <color rgb="FFFFFF00"/>
        <rFont val="Arquitecta Bold"/>
        <family val="3"/>
        <scheme val="major"/>
      </rPr>
      <t>FILMES ESTREADOS</t>
    </r>
    <r>
      <rPr>
        <sz val="9"/>
        <color rgb="FFFFFF00"/>
        <rFont val="Arquitecta Book"/>
        <family val="2"/>
        <scheme val="minor"/>
      </rPr>
      <t xml:space="preserve">
FILMS RELEASED</t>
    </r>
  </si>
  <si>
    <r>
      <rPr>
        <sz val="9"/>
        <color rgb="FFFFFF00"/>
        <rFont val="Arquitecta Bold"/>
        <family val="3"/>
        <scheme val="major"/>
      </rPr>
      <t>FILMES EXIBIDOS</t>
    </r>
    <r>
      <rPr>
        <sz val="9"/>
        <color rgb="FFFFFF00"/>
        <rFont val="Arquitecta Book"/>
        <family val="2"/>
        <scheme val="minor"/>
      </rPr>
      <t xml:space="preserve">
FILMS EXHIBITED</t>
    </r>
  </si>
  <si>
    <r>
      <rPr>
        <sz val="12"/>
        <color theme="1"/>
        <rFont val="Arquitecta Bold"/>
        <family val="3"/>
        <scheme val="major"/>
      </rPr>
      <t>DADOS POR REGIÃO</t>
    </r>
    <r>
      <rPr>
        <sz val="12"/>
        <color theme="1"/>
        <rFont val="Arquitecta Book"/>
        <family val="3"/>
        <scheme val="minor"/>
      </rPr>
      <t xml:space="preserve"> | DATA BY REGIONS</t>
    </r>
  </si>
  <si>
    <r>
      <rPr>
        <sz val="12"/>
        <color theme="1"/>
        <rFont val="Arquitecta Bold"/>
        <family val="3"/>
        <scheme val="major"/>
      </rPr>
      <t>DADOS POR DISTRITO</t>
    </r>
    <r>
      <rPr>
        <sz val="12"/>
        <color theme="1"/>
        <rFont val="Arquitecta Book"/>
        <family val="3"/>
        <scheme val="minor"/>
      </rPr>
      <t xml:space="preserve"> | DATA BY DISTRICT</t>
    </r>
  </si>
  <si>
    <r>
      <rPr>
        <sz val="10"/>
        <color rgb="FFFFFF00"/>
        <rFont val="Arquitecta Bold"/>
        <family val="3"/>
        <scheme val="major"/>
      </rPr>
      <t>MÊS</t>
    </r>
    <r>
      <rPr>
        <sz val="10"/>
        <color rgb="FFFFFF00"/>
        <rFont val="Arquitecta Book"/>
        <family val="2"/>
        <scheme val="minor"/>
      </rPr>
      <t xml:space="preserve"> | MONTH</t>
    </r>
  </si>
  <si>
    <r>
      <rPr>
        <sz val="9"/>
        <color rgb="FFFFFF00"/>
        <rFont val="Arquitecta Bold"/>
        <family val="3"/>
        <scheme val="major"/>
      </rPr>
      <t>PRODUTOR</t>
    </r>
    <r>
      <rPr>
        <sz val="9"/>
        <color rgb="FFFFFF00"/>
        <rFont val="Arquitecta Book"/>
        <family val="2"/>
        <scheme val="minor"/>
      </rPr>
      <t xml:space="preserve">
PRODUCER</t>
    </r>
  </si>
  <si>
    <r>
      <t>EXIBIDOR</t>
    </r>
    <r>
      <rPr>
        <sz val="9"/>
        <color rgb="FFFFFF00"/>
        <rFont val="Arquitecta Book"/>
        <family val="3"/>
        <scheme val="minor"/>
      </rPr>
      <t xml:space="preserve"> | EXHIBITOR</t>
    </r>
  </si>
  <si>
    <t>Ficção</t>
  </si>
  <si>
    <t>Documentário</t>
  </si>
  <si>
    <t>Animação</t>
  </si>
  <si>
    <t>Espetáculo</t>
  </si>
  <si>
    <t>N/D</t>
  </si>
  <si>
    <t>Cinebox</t>
  </si>
  <si>
    <r>
      <rPr>
        <sz val="10"/>
        <color theme="1"/>
        <rFont val="Arquitecta Bold"/>
        <family val="3"/>
        <scheme val="major"/>
      </rPr>
      <t>NOVEMBRO</t>
    </r>
    <r>
      <rPr>
        <sz val="10"/>
        <color theme="1"/>
        <rFont val="Arquitecta Book"/>
        <family val="2"/>
        <scheme val="minor"/>
      </rPr>
      <t xml:space="preserve"> | NOVEMBER</t>
    </r>
  </si>
  <si>
    <t>RECINTOS | SCREENS</t>
  </si>
  <si>
    <t>TÍTULO ORIGINAL</t>
  </si>
  <si>
    <t>TÍTULO PT</t>
  </si>
  <si>
    <t>REALIZADOR</t>
  </si>
  <si>
    <t>DISTRIBUIDORA</t>
  </si>
  <si>
    <t>DATA ESTREIA</t>
  </si>
  <si>
    <t>ESPECTADORES</t>
  </si>
  <si>
    <t>RECEITA BRUTA</t>
  </si>
  <si>
    <t>VERIFICAR SE ESTÁ DECRESCENTE</t>
  </si>
  <si>
    <r>
      <t xml:space="preserve">EUROPA </t>
    </r>
    <r>
      <rPr>
        <sz val="9"/>
        <color theme="1" tint="0.499984740745262"/>
        <rFont val="Arquitecta Book"/>
        <family val="3"/>
        <scheme val="minor"/>
      </rPr>
      <t>| EUROPE</t>
    </r>
  </si>
  <si>
    <r>
      <t>COPROD. EUROPA</t>
    </r>
    <r>
      <rPr>
        <sz val="9"/>
        <color theme="1" tint="0.499984740745262"/>
        <rFont val="Arquitecta Book"/>
        <family val="3"/>
        <scheme val="minor"/>
      </rPr>
      <t xml:space="preserve"> | COPROD. EUROPE</t>
    </r>
  </si>
  <si>
    <r>
      <t xml:space="preserve">COPROD. EUROPA/ OUTROS </t>
    </r>
    <r>
      <rPr>
        <sz val="9"/>
        <color theme="1" tint="0.499984740745262"/>
        <rFont val="Arquitecta Book"/>
        <family val="3"/>
        <scheme val="minor"/>
      </rPr>
      <t>| COPROD. EUROPE/OTHERS</t>
    </r>
  </si>
  <si>
    <r>
      <t>COPROD. EUROPA/ EUA</t>
    </r>
    <r>
      <rPr>
        <sz val="9"/>
        <color theme="1"/>
        <rFont val="Arquitecta Book"/>
        <family val="3"/>
        <scheme val="minor"/>
      </rPr>
      <t xml:space="preserve"> </t>
    </r>
    <r>
      <rPr>
        <sz val="9"/>
        <color theme="1" tint="0.499984740745262"/>
        <rFont val="Arquitecta Book"/>
        <family val="3"/>
        <scheme val="minor"/>
      </rPr>
      <t>| COPROD. EUROPE/US</t>
    </r>
  </si>
  <si>
    <r>
      <t>EUA</t>
    </r>
    <r>
      <rPr>
        <sz val="9"/>
        <color theme="1"/>
        <rFont val="Arquitecta Book"/>
        <family val="3"/>
        <scheme val="minor"/>
      </rPr>
      <t xml:space="preserve"> </t>
    </r>
    <r>
      <rPr>
        <sz val="9"/>
        <color theme="1" tint="0.499984740745262"/>
        <rFont val="Arquitecta Book"/>
        <family val="3"/>
        <scheme val="minor"/>
      </rPr>
      <t>| US</t>
    </r>
  </si>
  <si>
    <r>
      <t xml:space="preserve">EUA </t>
    </r>
    <r>
      <rPr>
        <sz val="9"/>
        <color theme="1" tint="0.499984740745262"/>
        <rFont val="Arquitecta Book"/>
        <family val="3"/>
        <scheme val="minor"/>
      </rPr>
      <t>| US</t>
    </r>
  </si>
  <si>
    <r>
      <t xml:space="preserve">COPROD. EUA/ OUTROS </t>
    </r>
    <r>
      <rPr>
        <sz val="9"/>
        <color theme="1" tint="0.499984740745262"/>
        <rFont val="Arquitecta Book"/>
        <family val="3"/>
        <scheme val="minor"/>
      </rPr>
      <t>| COPROD. US/OTHERS</t>
    </r>
  </si>
  <si>
    <r>
      <t>OUTROS</t>
    </r>
    <r>
      <rPr>
        <sz val="9"/>
        <color theme="1" tint="0.499984740745262"/>
        <rFont val="Arquitecta Book"/>
        <family val="3"/>
        <scheme val="minor"/>
      </rPr>
      <t xml:space="preserve"> | OTHERS</t>
    </r>
  </si>
  <si>
    <r>
      <t>EUROPA</t>
    </r>
    <r>
      <rPr>
        <sz val="9"/>
        <color theme="1"/>
        <rFont val="Arquitecta Book"/>
        <family val="3"/>
        <scheme val="minor"/>
      </rPr>
      <t xml:space="preserve"> </t>
    </r>
    <r>
      <rPr>
        <sz val="9"/>
        <color theme="1" tint="0.499984740745262"/>
        <rFont val="Arquitecta Book"/>
        <family val="3"/>
        <scheme val="minor"/>
      </rPr>
      <t>| EUROPE</t>
    </r>
  </si>
  <si>
    <r>
      <rPr>
        <sz val="9"/>
        <color theme="1"/>
        <rFont val="Arquitecta Bold"/>
        <family val="3"/>
        <scheme val="major"/>
      </rPr>
      <t>LONGA METRAGEM</t>
    </r>
    <r>
      <rPr>
        <sz val="9"/>
        <color theme="1"/>
        <rFont val="Arquitecta Book"/>
        <family val="2"/>
        <scheme val="minor"/>
      </rPr>
      <t xml:space="preserve"> | FEATURE FILM</t>
    </r>
  </si>
  <si>
    <t>Alambique</t>
  </si>
  <si>
    <t>FILMS4YOU</t>
  </si>
  <si>
    <t>Outros</t>
  </si>
  <si>
    <r>
      <rPr>
        <sz val="9"/>
        <color theme="1"/>
        <rFont val="Arquitecta Bold"/>
        <family val="3"/>
        <scheme val="major"/>
      </rPr>
      <t>LONGAS METRAGENS</t>
    </r>
    <r>
      <rPr>
        <sz val="9"/>
        <color theme="1"/>
        <rFont val="Arquitecta Book"/>
        <family val="2"/>
        <scheme val="minor"/>
      </rPr>
      <t xml:space="preserve"> | FEATURE FILM</t>
    </r>
  </si>
  <si>
    <r>
      <rPr>
        <sz val="9"/>
        <color theme="1"/>
        <rFont val="Arquitecta Bold"/>
        <family val="3"/>
        <scheme val="major"/>
      </rPr>
      <t>CURTAS METRAGENS</t>
    </r>
    <r>
      <rPr>
        <sz val="9"/>
        <color theme="1"/>
        <rFont val="Arquitecta Book"/>
        <family val="2"/>
        <scheme val="minor"/>
      </rPr>
      <t xml:space="preserve"> | SHORT FILM</t>
    </r>
  </si>
  <si>
    <r>
      <rPr>
        <sz val="9"/>
        <color theme="1"/>
        <rFont val="Arquitecta Bold"/>
        <family val="3"/>
        <scheme val="major"/>
      </rPr>
      <t>CURTA METRAGEM</t>
    </r>
    <r>
      <rPr>
        <sz val="9"/>
        <color theme="1"/>
        <rFont val="Arquitecta Book"/>
        <family val="2"/>
        <scheme val="minor"/>
      </rPr>
      <t xml:space="preserve"> | SHORT FILM</t>
    </r>
  </si>
  <si>
    <t>Check Totals</t>
  </si>
  <si>
    <t>Cineplace</t>
  </si>
  <si>
    <t>Films4you</t>
  </si>
  <si>
    <t>NOS Lusomundo Cinemas</t>
  </si>
  <si>
    <t>Nitrato Filmes</t>
  </si>
  <si>
    <t>Adriano Mendes</t>
  </si>
  <si>
    <t>Zêzere</t>
  </si>
  <si>
    <t>Filmes do Gajo</t>
  </si>
  <si>
    <t>US, CA</t>
  </si>
  <si>
    <t>Outsider Films</t>
  </si>
  <si>
    <t>Bragança</t>
  </si>
  <si>
    <t>US, GB</t>
  </si>
  <si>
    <t>US, CA, GB</t>
  </si>
  <si>
    <t>A Metamorfose dos Pássaros</t>
  </si>
  <si>
    <t>Catarina Vasconcelos</t>
  </si>
  <si>
    <t>No Comboio Produções</t>
  </si>
  <si>
    <t>Irregular</t>
  </si>
  <si>
    <t>Diogo Morgado</t>
  </si>
  <si>
    <t>Spider-Man: No Way Home</t>
  </si>
  <si>
    <t>Homem-Aranha: Sem Volta a Casa</t>
  </si>
  <si>
    <t>Jon Watts</t>
  </si>
  <si>
    <t>US, IS</t>
  </si>
  <si>
    <t>Encanto</t>
  </si>
  <si>
    <t>Byron Howard, Jared Bush, Charise Castro Smith</t>
  </si>
  <si>
    <t>Sing 2</t>
  </si>
  <si>
    <t>Cantar! 2</t>
  </si>
  <si>
    <t>Garth Jennings</t>
  </si>
  <si>
    <t>US, FR, JP</t>
  </si>
  <si>
    <t>House of Gucci</t>
  </si>
  <si>
    <t>Casa Gucci</t>
  </si>
  <si>
    <t>Ridley Scott</t>
  </si>
  <si>
    <t>The Matrix Resurrections</t>
  </si>
  <si>
    <t>Matrix Resurrections</t>
  </si>
  <si>
    <t>Lana Wachowski</t>
  </si>
  <si>
    <r>
      <t xml:space="preserve">RANKING DOS FILMES MAIS VISTOS - DEZEMBRO 2021
</t>
    </r>
    <r>
      <rPr>
        <sz val="12"/>
        <color theme="1"/>
        <rFont val="Arquitecta Book"/>
        <family val="3"/>
        <scheme val="minor"/>
      </rPr>
      <t>TOP 5 FILMS - DECEMBER 2021</t>
    </r>
  </si>
  <si>
    <t>Kintop</t>
  </si>
  <si>
    <r>
      <rPr>
        <sz val="12"/>
        <color theme="1"/>
        <rFont val="Arquitecta Bold"/>
        <family val="3"/>
        <scheme val="major"/>
      </rPr>
      <t>RECEITA BRUTA - EVOLUÇÃO MENSAL - 2021/2022</t>
    </r>
    <r>
      <rPr>
        <sz val="12"/>
        <color theme="1"/>
        <rFont val="Arquitecta Book"/>
        <family val="2"/>
        <scheme val="minor"/>
      </rPr>
      <t xml:space="preserve">
</t>
    </r>
    <r>
      <rPr>
        <sz val="12"/>
        <color theme="1"/>
        <rFont val="Arquitecta Book"/>
        <family val="3"/>
        <scheme val="minor"/>
      </rPr>
      <t>GBO - MONTHLY EVOLUTION 2021/2022</t>
    </r>
  </si>
  <si>
    <r>
      <rPr>
        <sz val="12"/>
        <color theme="1"/>
        <rFont val="Arquitecta Bold"/>
        <family val="3"/>
        <scheme val="major"/>
      </rPr>
      <t>ESPECTADORES - EVOLUÇÃO MENSAL - 2021/2022</t>
    </r>
    <r>
      <rPr>
        <sz val="12"/>
        <color theme="1"/>
        <rFont val="Arquitecta Book"/>
        <family val="2"/>
        <scheme val="minor"/>
      </rPr>
      <t xml:space="preserve">
</t>
    </r>
    <r>
      <rPr>
        <sz val="12"/>
        <color theme="1"/>
        <rFont val="Arquitecta Book"/>
        <family val="3"/>
        <scheme val="minor"/>
      </rPr>
      <t>ADMISSIONS - MONTHLY EVOLUTION - 2021/2022</t>
    </r>
  </si>
  <si>
    <r>
      <t xml:space="preserve">RANKING DOS FILMES MAIS VISTOS - 2022
</t>
    </r>
    <r>
      <rPr>
        <sz val="12"/>
        <color theme="1"/>
        <rFont val="Arquitecta Book"/>
        <family val="3"/>
        <scheme val="minor"/>
      </rPr>
      <t>TOP 10 FILMS - 2022</t>
    </r>
  </si>
  <si>
    <r>
      <rPr>
        <sz val="12"/>
        <color theme="1"/>
        <rFont val="Arquitecta Bold"/>
        <family val="3"/>
        <scheme val="major"/>
      </rPr>
      <t>RANKING DOS FILMES NACIONAIS EXIBIDOS - 2022*</t>
    </r>
    <r>
      <rPr>
        <sz val="12"/>
        <color theme="1"/>
        <rFont val="Arquitecta Book"/>
        <family val="2"/>
        <scheme val="minor"/>
      </rPr>
      <t xml:space="preserve">
TOP DOMESTIC FILMS - 2022*</t>
    </r>
  </si>
  <si>
    <r>
      <rPr>
        <sz val="12"/>
        <color theme="1"/>
        <rFont val="Arquitecta Bold"/>
        <family val="3"/>
        <scheme val="major"/>
      </rPr>
      <t>FILMES ESTREADOS E EXIBIDOS POR DISTRIBUIDOR -   2021/2022 *</t>
    </r>
    <r>
      <rPr>
        <sz val="12"/>
        <color theme="1"/>
        <rFont val="Arquitecta Book"/>
        <family val="2"/>
        <scheme val="minor"/>
      </rPr>
      <t xml:space="preserve">
</t>
    </r>
    <r>
      <rPr>
        <sz val="11"/>
        <color theme="1"/>
        <rFont val="Arquitecta Book"/>
        <family val="3"/>
        <scheme val="minor"/>
      </rPr>
      <t>FILMS RELEASED AND EXHIBITED BY DISTRIBUTOR -  2021/2022 *</t>
    </r>
  </si>
  <si>
    <r>
      <rPr>
        <sz val="12"/>
        <color theme="1"/>
        <rFont val="Arquitecta Bold"/>
        <family val="3"/>
        <scheme val="major"/>
      </rPr>
      <t>RECEITA BRUTA POR DISTRIBUIDOR -  2021/2022</t>
    </r>
    <r>
      <rPr>
        <sz val="12"/>
        <color theme="1"/>
        <rFont val="Arquitecta Book"/>
        <family val="2"/>
        <scheme val="minor"/>
      </rPr>
      <t xml:space="preserve">
</t>
    </r>
    <r>
      <rPr>
        <sz val="11"/>
        <color theme="1"/>
        <rFont val="Arquitecta Book"/>
        <family val="3"/>
        <scheme val="minor"/>
      </rPr>
      <t>GBO BY DISTRIBUTOR -  2021/2022</t>
    </r>
  </si>
  <si>
    <r>
      <rPr>
        <sz val="12"/>
        <color theme="1"/>
        <rFont val="Arquitecta Bold"/>
        <family val="3"/>
        <scheme val="major"/>
      </rPr>
      <t>ESPECTADORES POR DISTRIBUIDOR - 2021/2022</t>
    </r>
    <r>
      <rPr>
        <sz val="12"/>
        <color theme="1"/>
        <rFont val="Arquitecta Book"/>
        <family val="3"/>
        <scheme val="minor"/>
      </rPr>
      <t xml:space="preserve">
</t>
    </r>
    <r>
      <rPr>
        <sz val="11"/>
        <color theme="1"/>
        <rFont val="Arquitecta Book"/>
        <family val="3"/>
        <scheme val="minor"/>
      </rPr>
      <t>ADMISSIONS BY DISTRIBUTOR - 2021/2022</t>
    </r>
  </si>
  <si>
    <r>
      <rPr>
        <sz val="12"/>
        <color theme="1"/>
        <rFont val="Arquitecta Bold"/>
        <family val="3"/>
        <scheme val="major"/>
      </rPr>
      <t>RECEITA BRUTA E ESPECTADORES POR ORIGEM - 2022</t>
    </r>
    <r>
      <rPr>
        <sz val="12"/>
        <color theme="1"/>
        <rFont val="Arquitecta Book"/>
        <family val="2"/>
        <scheme val="minor"/>
      </rPr>
      <t xml:space="preserve">
GBO AND ADMISSIONS BY ORIGIN - 2022</t>
    </r>
  </si>
  <si>
    <r>
      <rPr>
        <sz val="12"/>
        <color theme="1"/>
        <rFont val="Arquitecta Bold"/>
        <family val="3"/>
        <scheme val="major"/>
      </rPr>
      <t>FILMES ESTREADOS E EXIBIDOS POR ORIGEM - 2022 *</t>
    </r>
    <r>
      <rPr>
        <sz val="12"/>
        <color theme="1"/>
        <rFont val="Arquitecta Book"/>
        <family val="2"/>
        <scheme val="minor"/>
      </rPr>
      <t xml:space="preserve">
FILMS RELEASED AND EXHIBITED BY ORIGIN - 2022 *</t>
    </r>
  </si>
  <si>
    <r>
      <rPr>
        <sz val="12"/>
        <color theme="1"/>
        <rFont val="Arquitecta Bold"/>
        <family val="3"/>
        <scheme val="major"/>
      </rPr>
      <t>RECEITA BRUTA POR EXIBIDOR - 2021/2022</t>
    </r>
    <r>
      <rPr>
        <sz val="12"/>
        <color theme="1"/>
        <rFont val="Arquitecta Book"/>
        <family val="2"/>
        <scheme val="minor"/>
      </rPr>
      <t xml:space="preserve">
GBO BY EXHIBITOR - 2021/2022</t>
    </r>
  </si>
  <si>
    <r>
      <rPr>
        <sz val="12"/>
        <color theme="1"/>
        <rFont val="Arquitecta Bold"/>
        <family val="3"/>
        <scheme val="major"/>
      </rPr>
      <t>ESPECTADORES POR EXIBIDOR - 2021/2022</t>
    </r>
    <r>
      <rPr>
        <sz val="12"/>
        <color theme="1"/>
        <rFont val="Arquitecta Book"/>
        <family val="2"/>
        <scheme val="minor"/>
      </rPr>
      <t xml:space="preserve">
ADMISSIONS BY EXHIBITOR - 2021/2022</t>
    </r>
  </si>
  <si>
    <r>
      <rPr>
        <sz val="12"/>
        <color theme="1"/>
        <rFont val="Arquitecta Bold"/>
        <family val="3"/>
        <scheme val="major"/>
      </rPr>
      <t>RECINTOS, ECRÃS E LUGARES POR EXIBIDOR - 2022</t>
    </r>
    <r>
      <rPr>
        <sz val="12"/>
        <color theme="1"/>
        <rFont val="Arquitecta Book"/>
        <family val="2"/>
        <scheme val="minor"/>
      </rPr>
      <t xml:space="preserve">
SITES, SCREENS AND SEATS BY EXHIBITOR - 2022</t>
    </r>
  </si>
  <si>
    <r>
      <rPr>
        <sz val="12"/>
        <color theme="1"/>
        <rFont val="Arquitecta Bold"/>
        <family val="3"/>
        <scheme val="major"/>
      </rPr>
      <t>EXIBIÇÃO CINEMATOGRÁFICA - 2022</t>
    </r>
    <r>
      <rPr>
        <sz val="12"/>
        <color theme="1"/>
        <rFont val="Arquitecta Book"/>
        <family val="3"/>
        <scheme val="minor"/>
      </rPr>
      <t xml:space="preserve"> | EXHIBITION 2022</t>
    </r>
  </si>
  <si>
    <r>
      <rPr>
        <sz val="12"/>
        <color theme="1"/>
        <rFont val="Arquitecta Bold"/>
        <family val="3"/>
        <scheme val="major"/>
      </rPr>
      <t>OBRAS CINEMATOGRÁFICAS PRODUZIDAS - 2013/2022</t>
    </r>
    <r>
      <rPr>
        <sz val="12"/>
        <color theme="1"/>
        <rFont val="Arquitecta Book"/>
        <family val="2"/>
        <scheme val="minor"/>
      </rPr>
      <t xml:space="preserve">
</t>
    </r>
    <r>
      <rPr>
        <sz val="11"/>
        <color theme="1"/>
        <rFont val="Arquitecta Book"/>
        <family val="2"/>
        <scheme val="minor"/>
      </rPr>
      <t>DOMESTIC FILMS PRODUCED - 2013/2022</t>
    </r>
  </si>
  <si>
    <t>Scream</t>
  </si>
  <si>
    <t>Gritos</t>
  </si>
  <si>
    <t>Matt Bettinelli-Olpin, Tyler Gillett</t>
  </si>
  <si>
    <t>The King's Man</t>
  </si>
  <si>
    <t>The King's Man: O Início</t>
  </si>
  <si>
    <t>Matthew Vaughn</t>
  </si>
  <si>
    <t>Licorice Pizza</t>
  </si>
  <si>
    <t>Paul Thomas Anderson</t>
  </si>
  <si>
    <t>Clifford the Big Red Dog</t>
  </si>
  <si>
    <t>Clifford - O Cão Vermelho</t>
  </si>
  <si>
    <t>Walt Becker</t>
  </si>
  <si>
    <t>El buen patrón</t>
  </si>
  <si>
    <t>O Bom Patrão</t>
  </si>
  <si>
    <t>Fernando León de Aranoa</t>
  </si>
  <si>
    <t>ES</t>
  </si>
  <si>
    <t>28½</t>
  </si>
  <si>
    <t>Pelas Sombras</t>
  </si>
  <si>
    <t>Catarina Mourão</t>
  </si>
  <si>
    <t>O Ano da Morte de Ricardo Reis</t>
  </si>
  <si>
    <t>A Távola de Rocha</t>
  </si>
  <si>
    <t>Samuel G. Barbosa</t>
  </si>
  <si>
    <t>Peixe-Lua</t>
  </si>
  <si>
    <t>José Álvaro Morais</t>
  </si>
  <si>
    <t>Serpentário</t>
  </si>
  <si>
    <t>Carlos Conceição</t>
  </si>
  <si>
    <t>Portugal, Angola</t>
  </si>
  <si>
    <t>Curtas Metragens</t>
  </si>
  <si>
    <t>O Delfim</t>
  </si>
  <si>
    <t>Fernando Lopes</t>
  </si>
  <si>
    <t>Portugal, França</t>
  </si>
  <si>
    <t>Al Berto</t>
  </si>
  <si>
    <t>Vicente Alves do Ó</t>
  </si>
  <si>
    <t>20212</t>
  </si>
  <si>
    <t>2022</t>
  </si>
  <si>
    <t>A Boneca de Kafka</t>
  </si>
  <si>
    <t>Bruno Simões</t>
  </si>
  <si>
    <t>Animanostra</t>
  </si>
  <si>
    <t>My Dear</t>
  </si>
  <si>
    <t>Aragon Yao</t>
  </si>
  <si>
    <t>A Criança</t>
  </si>
  <si>
    <t>África Vermelha</t>
  </si>
  <si>
    <t>Marguerite de Hillerin, Félix Dutilloy-Liégeais</t>
  </si>
  <si>
    <t>Alexandre Markov</t>
  </si>
  <si>
    <r>
      <rPr>
        <sz val="12"/>
        <color theme="1"/>
        <rFont val="Arquitecta Bold"/>
        <family val="3"/>
        <scheme val="major"/>
      </rPr>
      <t>OBRAS CINEMATOGRÁFICAS PRODUZIDAS - 2022</t>
    </r>
    <r>
      <rPr>
        <sz val="12"/>
        <color theme="1"/>
        <rFont val="Arquitecta Book"/>
        <family val="2"/>
        <scheme val="minor"/>
      </rPr>
      <t xml:space="preserve">
</t>
    </r>
    <r>
      <rPr>
        <sz val="11"/>
        <color theme="1"/>
        <rFont val="Arquitecta Book"/>
        <family val="2"/>
        <scheme val="minor"/>
      </rPr>
      <t>DOMESTIC FILMS PRODUCED - 2022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</si>
</sst>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0"/>
    <numFmt numFmtId="165" formatCode="###,##0.00"/>
    <numFmt numFmtId="166" formatCode="0.0%"/>
    <numFmt numFmtId="167" formatCode="[$€-2]\ #,##0.00"/>
    <numFmt numFmtId="168" formatCode="dd/mm/yyyy;@"/>
    <numFmt numFmtId="169" formatCode="_-* #,##0.00\ [$€-1]_-;\-* #,##0.00\ [$€-1]_-;_-* &quot;-&quot;??\ [$€-1]_-"/>
    <numFmt numFmtId="170" formatCode="#,##0.0%"/>
    <numFmt numFmtId="171" formatCode="0.000%"/>
    <numFmt numFmtId="172" formatCode="#.##000"/>
    <numFmt numFmtId="173" formatCode="[$-F400]h:mm:ss\ AM/PM"/>
  </numFmts>
  <fonts count="138" x14ac:knownFonts="1">
    <font>
      <sz val="10"/>
      <name val="Arial"/>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1"/>
      <color theme="1"/>
      <name val="Arquitecta Book"/>
      <family val="2"/>
      <scheme val="minor"/>
    </font>
    <font>
      <sz val="10"/>
      <name val="Arial"/>
      <family val="2"/>
    </font>
    <font>
      <b/>
      <sz val="10"/>
      <color indexed="63"/>
      <name val="Calibri"/>
      <family val="2"/>
    </font>
    <font>
      <sz val="11"/>
      <color theme="1"/>
      <name val="Arquitecta Book"/>
      <family val="2"/>
      <scheme val="minor"/>
    </font>
    <font>
      <sz val="10"/>
      <name val="Arquitecta Book"/>
      <family val="2"/>
      <scheme val="minor"/>
    </font>
    <font>
      <sz val="9"/>
      <name val="Arquitecta Book"/>
      <family val="2"/>
      <scheme val="minor"/>
    </font>
    <font>
      <b/>
      <sz val="9"/>
      <name val="Arquitecta Book"/>
      <family val="2"/>
      <scheme val="minor"/>
    </font>
    <font>
      <sz val="8"/>
      <name val="Arquitecta Book"/>
      <family val="2"/>
      <scheme val="minor"/>
    </font>
    <font>
      <sz val="9"/>
      <color theme="1"/>
      <name val="Arquitecta Book"/>
      <family val="2"/>
      <scheme val="minor"/>
    </font>
    <font>
      <sz val="8"/>
      <color theme="0"/>
      <name val="Arquitecta Book"/>
      <family val="2"/>
      <scheme val="minor"/>
    </font>
    <font>
      <sz val="10"/>
      <color theme="0"/>
      <name val="Arquitecta Book"/>
      <family val="2"/>
      <scheme val="minor"/>
    </font>
    <font>
      <b/>
      <sz val="12"/>
      <color theme="0"/>
      <name val="Arquitecta Book"/>
      <family val="2"/>
      <scheme val="minor"/>
    </font>
    <font>
      <sz val="24"/>
      <color theme="0"/>
      <name val="Arquitecta Book"/>
      <family val="2"/>
      <scheme val="minor"/>
    </font>
    <font>
      <sz val="26"/>
      <color theme="0"/>
      <name val="Arquitecta Book"/>
      <family val="2"/>
      <scheme val="minor"/>
    </font>
    <font>
      <sz val="24"/>
      <name val="Arquitecta Book"/>
      <family val="2"/>
      <scheme val="minor"/>
    </font>
    <font>
      <b/>
      <sz val="28"/>
      <color theme="0"/>
      <name val="Arquitecta Book"/>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i/>
      <sz val="22"/>
      <color theme="0"/>
      <name val="Arquitecta Book"/>
      <family val="2"/>
      <scheme val="minor"/>
    </font>
    <font>
      <sz val="4"/>
      <color rgb="FF99CCFF"/>
      <name val="Arquitecta Book"/>
      <family val="2"/>
      <scheme val="minor"/>
    </font>
    <font>
      <sz val="10"/>
      <color rgb="FF99CCFF"/>
      <name val="Arquitecta Book"/>
      <family val="2"/>
      <scheme val="minor"/>
    </font>
    <font>
      <b/>
      <sz val="12"/>
      <color theme="1"/>
      <name val="Arquitecta Book"/>
      <family val="2"/>
      <scheme val="minor"/>
    </font>
    <font>
      <b/>
      <sz val="10"/>
      <color theme="0"/>
      <name val="Arquitecta Book"/>
      <family val="2"/>
      <scheme val="minor"/>
    </font>
    <font>
      <b/>
      <sz val="11"/>
      <color theme="0"/>
      <name val="Arquitecta Book"/>
      <family val="2"/>
      <scheme val="minor"/>
    </font>
    <font>
      <sz val="11"/>
      <color theme="0"/>
      <name val="Arquitecta Book"/>
      <family val="2"/>
      <scheme val="minor"/>
    </font>
    <font>
      <sz val="8"/>
      <name val="Comic Sans MS"/>
      <family val="4"/>
    </font>
    <font>
      <sz val="9"/>
      <color theme="0"/>
      <name val="Arquitecta Book"/>
      <family val="2"/>
      <scheme val="minor"/>
    </font>
    <font>
      <b/>
      <sz val="9"/>
      <color theme="0"/>
      <name val="Arquitecta Book"/>
      <family val="2"/>
      <scheme val="minor"/>
    </font>
    <font>
      <sz val="9"/>
      <color theme="0" tint="-0.249977111117893"/>
      <name val="Arquitecta Book"/>
      <family val="2"/>
      <scheme val="minor"/>
    </font>
    <font>
      <sz val="11"/>
      <color theme="0" tint="-0.249977111117893"/>
      <name val="Arquitecta Book"/>
      <family val="2"/>
      <scheme val="minor"/>
    </font>
    <font>
      <b/>
      <sz val="9"/>
      <color rgb="FFFFC000"/>
      <name val="Arquitecta Book"/>
      <family val="2"/>
      <scheme val="minor"/>
    </font>
    <font>
      <sz val="22"/>
      <color theme="0"/>
      <name val="Arquitecta Book"/>
      <family val="2"/>
      <scheme val="minor"/>
    </font>
    <font>
      <sz val="14"/>
      <color theme="0"/>
      <name val="Arquitecta Book"/>
      <family val="2"/>
      <scheme val="minor"/>
    </font>
    <font>
      <b/>
      <sz val="10"/>
      <color rgb="FFFFC000"/>
      <name val="Arquitecta Book"/>
      <family val="2"/>
      <scheme val="minor"/>
    </font>
    <font>
      <b/>
      <sz val="9"/>
      <color theme="1"/>
      <name val="Arquitecta Book"/>
      <family val="2"/>
      <scheme val="minor"/>
    </font>
    <font>
      <sz val="12"/>
      <color theme="0" tint="-0.249977111117893"/>
      <name val="Arquitecta Book"/>
      <family val="2"/>
      <scheme val="minor"/>
    </font>
    <font>
      <sz val="9"/>
      <name val="Arquitecta Book"/>
      <family val="2"/>
      <scheme val="minor"/>
    </font>
    <font>
      <sz val="12"/>
      <name val="Arquitecta Book"/>
      <family val="2"/>
      <scheme val="minor"/>
    </font>
    <font>
      <b/>
      <sz val="8"/>
      <name val="Arquitecta Book"/>
      <family val="2"/>
      <scheme val="minor"/>
    </font>
    <font>
      <b/>
      <sz val="14"/>
      <color theme="0"/>
      <name val="Arquitecta Book"/>
      <family val="2"/>
      <scheme val="minor"/>
    </font>
    <font>
      <b/>
      <sz val="18"/>
      <color theme="0"/>
      <name val="Arquitecta Book"/>
      <family val="2"/>
      <scheme val="minor"/>
    </font>
    <font>
      <sz val="9"/>
      <color theme="0" tint="-0.34998626667073579"/>
      <name val="Arquitecta Book"/>
      <family val="2"/>
      <scheme val="minor"/>
    </font>
    <font>
      <sz val="10"/>
      <name val="Arquitecta Book"/>
      <family val="2"/>
      <scheme val="minor"/>
    </font>
    <font>
      <sz val="8.5"/>
      <color indexed="0"/>
      <name val="Arial Narrow"/>
      <family val="2"/>
    </font>
    <font>
      <sz val="9"/>
      <name val="Arquitecta Book"/>
      <family val="2"/>
      <scheme val="minor"/>
    </font>
    <font>
      <sz val="10"/>
      <color rgb="FFFF0000"/>
      <name val="Arquitecta Book"/>
      <family val="2"/>
      <scheme val="minor"/>
    </font>
    <font>
      <sz val="9"/>
      <name val="Arquitecta Book"/>
      <family val="2"/>
      <scheme val="minor"/>
    </font>
    <font>
      <sz val="11"/>
      <name val="Arquitecta Book"/>
      <family val="2"/>
      <scheme val="minor"/>
    </font>
    <font>
      <b/>
      <sz val="9"/>
      <color theme="4"/>
      <name val="Arquitecta Book"/>
      <family val="2"/>
      <scheme val="minor"/>
    </font>
    <font>
      <sz val="9"/>
      <color theme="1" tint="0.499984740745262"/>
      <name val="Arquitecta Book"/>
      <family val="2"/>
      <scheme val="minor"/>
    </font>
    <font>
      <b/>
      <sz val="11"/>
      <color theme="1"/>
      <name val="Arquitecta Book"/>
      <family val="2"/>
      <scheme val="minor"/>
    </font>
    <font>
      <sz val="10"/>
      <color theme="1"/>
      <name val="Arquitecta Book"/>
      <family val="2"/>
      <scheme val="minor"/>
    </font>
    <font>
      <sz val="8"/>
      <color theme="1"/>
      <name val="Arquitecta Book"/>
      <family val="2"/>
      <scheme val="minor"/>
    </font>
    <font>
      <sz val="14"/>
      <color theme="1"/>
      <name val="Arquitecta Book"/>
      <family val="2"/>
      <scheme val="minor"/>
    </font>
    <font>
      <sz val="22"/>
      <color theme="1"/>
      <name val="Arquitecta Book"/>
      <family val="2"/>
      <scheme val="minor"/>
    </font>
    <font>
      <sz val="12"/>
      <color theme="1"/>
      <name val="Arquitecta Book"/>
      <family val="2"/>
      <scheme val="minor"/>
    </font>
    <font>
      <sz val="12"/>
      <color theme="1" tint="0.499984740745262"/>
      <name val="Arquitecta Book"/>
      <family val="2"/>
      <scheme val="minor"/>
    </font>
    <font>
      <u/>
      <sz val="10"/>
      <color theme="10"/>
      <name val="Arial"/>
      <family val="2"/>
    </font>
    <font>
      <sz val="22"/>
      <color theme="0" tint="-0.249977111117893"/>
      <name val="Arquitecta Book"/>
      <family val="2"/>
      <scheme val="minor"/>
    </font>
    <font>
      <sz val="12"/>
      <color theme="0"/>
      <name val="Arquitecta Book"/>
      <family val="2"/>
      <scheme val="minor"/>
    </font>
    <font>
      <b/>
      <sz val="14"/>
      <color theme="1"/>
      <name val="Arquitecta Book"/>
      <family val="2"/>
      <scheme val="minor"/>
    </font>
    <font>
      <sz val="8.5"/>
      <name val="Calibri"/>
      <family val="2"/>
    </font>
    <font>
      <sz val="18"/>
      <color theme="1"/>
      <name val="Arquitecta Book"/>
      <family val="2"/>
      <scheme val="minor"/>
    </font>
    <font>
      <u/>
      <sz val="11"/>
      <color theme="10"/>
      <name val="Calibri"/>
      <family val="2"/>
    </font>
    <font>
      <u/>
      <sz val="18"/>
      <color theme="1"/>
      <name val="Calibri"/>
      <family val="2"/>
    </font>
    <font>
      <sz val="36"/>
      <color theme="1"/>
      <name val="Arquitecta Book"/>
      <family val="2"/>
      <scheme val="minor"/>
    </font>
    <font>
      <sz val="10"/>
      <color theme="0" tint="-0.249977111117893"/>
      <name val="Arquitecta Book"/>
      <family val="2"/>
      <scheme val="minor"/>
    </font>
    <font>
      <b/>
      <sz val="8.5"/>
      <color rgb="FFFFFFFF"/>
      <name val="Calibri"/>
      <family val="2"/>
    </font>
    <font>
      <sz val="9"/>
      <color theme="1"/>
      <name val="Arial"/>
      <family val="2"/>
    </font>
    <font>
      <sz val="8"/>
      <color theme="0" tint="-0.499984740745262"/>
      <name val="Arquitecta Book"/>
      <family val="2"/>
      <scheme val="minor"/>
    </font>
    <font>
      <sz val="12"/>
      <name val="Arquitecta Book"/>
      <family val="3"/>
    </font>
    <font>
      <sz val="12"/>
      <color theme="4"/>
      <name val="Arquitecta Book"/>
      <family val="2"/>
      <scheme val="minor"/>
    </font>
    <font>
      <sz val="10"/>
      <name val="Wingdings 3"/>
      <family val="1"/>
      <charset val="2"/>
    </font>
    <font>
      <sz val="12"/>
      <name val="Calibri"/>
      <family val="2"/>
    </font>
    <font>
      <sz val="12"/>
      <color theme="1"/>
      <name val="Calibri"/>
      <family val="2"/>
    </font>
    <font>
      <sz val="12"/>
      <color theme="1"/>
      <name val="Arquitecta Bold"/>
      <family val="3"/>
      <scheme val="major"/>
    </font>
    <font>
      <sz val="12"/>
      <color theme="1"/>
      <name val="Arquitecta Book"/>
      <family val="3"/>
      <scheme val="minor"/>
    </font>
    <font>
      <sz val="10"/>
      <color rgb="FFFFFF00"/>
      <name val="Arquitecta Book"/>
      <family val="2"/>
      <scheme val="minor"/>
    </font>
    <font>
      <sz val="10"/>
      <color theme="1"/>
      <name val="Arquitecta Bold"/>
      <family val="3"/>
      <scheme val="major"/>
    </font>
    <font>
      <sz val="10"/>
      <color theme="1"/>
      <name val="Arquitecta Book"/>
      <family val="3"/>
      <scheme val="minor"/>
    </font>
    <font>
      <sz val="10"/>
      <color theme="0"/>
      <name val="Wingdings 3"/>
      <family val="1"/>
      <charset val="2"/>
    </font>
    <font>
      <sz val="10"/>
      <color rgb="FFFFFF00"/>
      <name val="Arquitecta Bold"/>
      <family val="3"/>
      <scheme val="major"/>
    </font>
    <font>
      <sz val="10"/>
      <name val="Arquitecta Bold"/>
      <family val="3"/>
      <scheme val="major"/>
    </font>
    <font>
      <sz val="12"/>
      <color rgb="FF99CCFF"/>
      <name val="Arquitecta Book"/>
      <family val="2"/>
      <scheme val="minor"/>
    </font>
    <font>
      <b/>
      <sz val="10"/>
      <color theme="2" tint="-0.249977111117893"/>
      <name val="Arquitecta Book"/>
      <family val="2"/>
      <scheme val="minor"/>
    </font>
    <font>
      <sz val="24"/>
      <color theme="1"/>
      <name val="Arquitecta Book"/>
      <family val="2"/>
      <scheme val="minor"/>
    </font>
    <font>
      <sz val="9"/>
      <color theme="1"/>
      <name val="Arquitecta Bold"/>
      <family val="3"/>
      <scheme val="major"/>
    </font>
    <font>
      <sz val="9"/>
      <color theme="1"/>
      <name val="Arquitecta Book"/>
      <family val="3"/>
      <scheme val="minor"/>
    </font>
    <font>
      <sz val="26"/>
      <color theme="1"/>
      <name val="Arquitecta Book"/>
      <family val="2"/>
      <scheme val="minor"/>
    </font>
    <font>
      <sz val="10"/>
      <color theme="1"/>
      <name val="Calibri"/>
      <family val="2"/>
    </font>
    <font>
      <sz val="10"/>
      <color theme="1"/>
      <name val="Wingdings 3"/>
      <family val="1"/>
      <charset val="2"/>
    </font>
    <font>
      <sz val="11"/>
      <color theme="1"/>
      <name val="Arquitecta Book"/>
      <family val="3"/>
      <scheme val="minor"/>
    </font>
    <font>
      <sz val="15"/>
      <color theme="1"/>
      <name val="Arquitecta Book"/>
      <family val="3"/>
      <scheme val="minor"/>
    </font>
    <font>
      <sz val="9"/>
      <color theme="1"/>
      <name val="Wingdings 3"/>
      <family val="1"/>
      <charset val="2"/>
    </font>
    <font>
      <sz val="9"/>
      <color rgb="FFFFFF00"/>
      <name val="Arquitecta Bold"/>
      <family val="3"/>
      <scheme val="major"/>
    </font>
    <font>
      <sz val="9"/>
      <color rgb="FFFFFF00"/>
      <name val="Arquitecta Book"/>
      <family val="2"/>
      <scheme val="minor"/>
    </font>
    <font>
      <sz val="9"/>
      <color rgb="FFFFFF00"/>
      <name val="Wingdings 3"/>
      <family val="1"/>
      <charset val="2"/>
    </font>
    <font>
      <sz val="10"/>
      <color rgb="FFFFFF00"/>
      <name val="Wingdings 3"/>
      <family val="1"/>
      <charset val="2"/>
    </font>
    <font>
      <sz val="9"/>
      <color rgb="FFFFFF00"/>
      <name val="Arquitecta Book"/>
      <family val="3"/>
      <scheme val="minor"/>
    </font>
    <font>
      <sz val="9"/>
      <color theme="1"/>
      <name val="Calibri"/>
      <family val="2"/>
    </font>
    <font>
      <b/>
      <sz val="9"/>
      <color rgb="FFFFFF00"/>
      <name val="Arquitecta Bold"/>
      <family val="3"/>
      <scheme val="major"/>
    </font>
    <font>
      <b/>
      <sz val="10"/>
      <color rgb="FFFFFF00"/>
      <name val="Arquitecta Bold"/>
      <family val="3"/>
      <scheme val="major"/>
    </font>
    <font>
      <sz val="16"/>
      <color theme="1"/>
      <name val="Arquitecta Book"/>
      <family val="2"/>
      <scheme val="minor"/>
    </font>
    <font>
      <sz val="10"/>
      <name val="Arquitecta Book"/>
      <family val="3"/>
      <scheme val="minor"/>
    </font>
    <font>
      <sz val="8"/>
      <name val="Arquitecta Book"/>
      <family val="3"/>
      <scheme val="minor"/>
    </font>
    <font>
      <sz val="8"/>
      <color theme="1" tint="0.499984740745262"/>
      <name val="Arquitecta Book"/>
      <family val="3"/>
      <scheme val="minor"/>
    </font>
    <font>
      <sz val="9"/>
      <color theme="1" tint="0.499984740745262"/>
      <name val="Arquitecta Book"/>
      <family val="3"/>
      <scheme val="minor"/>
    </font>
    <font>
      <sz val="9"/>
      <name val="Arquitecta Book"/>
      <family val="3"/>
      <scheme val="minor"/>
    </font>
    <font>
      <b/>
      <sz val="10"/>
      <color theme="9" tint="-0.499984740745262"/>
      <name val="Arquitecta Book"/>
      <family val="3"/>
      <scheme val="minor"/>
    </font>
    <font>
      <sz val="11"/>
      <name val="Calibri"/>
      <family val="2"/>
    </font>
    <font>
      <sz val="11"/>
      <color rgb="FF000000"/>
      <name val="Calibri"/>
      <family val="2"/>
    </font>
    <font>
      <sz val="9"/>
      <color theme="1"/>
      <name val="Arquitecta Book"/>
      <family val="3"/>
      <scheme val="minor"/>
    </font>
  </fonts>
  <fills count="34">
    <fill>
      <patternFill patternType="none"/>
    </fill>
    <fill>
      <patternFill patternType="gray125"/>
    </fill>
    <fill>
      <patternFill patternType="solid">
        <fgColor theme="2"/>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9CCFF"/>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rgb="FFA0A0A0"/>
      </patternFill>
    </fill>
    <fill>
      <patternFill patternType="solid">
        <fgColor theme="1" tint="0.499984740745262"/>
        <bgColor indexed="64"/>
      </patternFill>
    </fill>
    <fill>
      <patternFill patternType="solid">
        <fgColor theme="0" tint="-0.499984740745262"/>
        <bgColor indexed="64"/>
      </patternFill>
    </fill>
  </fills>
  <borders count="49">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style="medium">
        <color indexed="64"/>
      </bottom>
      <diagonal/>
    </border>
    <border>
      <left/>
      <right/>
      <top style="thin">
        <color theme="1"/>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77111117893"/>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24994659260841701"/>
      </top>
      <bottom/>
      <diagonal/>
    </border>
    <border>
      <left style="thin">
        <color theme="0" tint="-0.249977111117893"/>
      </left>
      <right/>
      <top/>
      <bottom/>
      <diagonal/>
    </border>
    <border>
      <left style="thin">
        <color indexed="8"/>
      </left>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theme="0" tint="-0.14996795556505021"/>
      </top>
      <bottom style="thin">
        <color theme="0" tint="-0.14993743705557422"/>
      </bottom>
      <diagonal/>
    </border>
    <border>
      <left style="thin">
        <color theme="1" tint="0.499984740745262"/>
      </left>
      <right/>
      <top/>
      <bottom/>
      <diagonal/>
    </border>
    <border>
      <left style="thin">
        <color theme="1" tint="0.499984740745262"/>
      </left>
      <right/>
      <top/>
      <bottom style="thin">
        <color theme="0" tint="-0.14996795556505021"/>
      </bottom>
      <diagonal/>
    </border>
    <border>
      <left style="thin">
        <color theme="1" tint="0.499984740745262"/>
      </left>
      <right/>
      <top style="thin">
        <color theme="0" tint="-0.14996795556505021"/>
      </top>
      <bottom style="thin">
        <color theme="0" tint="-0.14996795556505021"/>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style="thin">
        <color indexed="65"/>
      </top>
      <bottom/>
      <diagonal/>
    </border>
    <border>
      <left/>
      <right/>
      <top style="thin">
        <color indexed="65"/>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theme="0" tint="-0.14993743705557422"/>
      </top>
      <bottom style="thin">
        <color theme="0" tint="-0.14996795556505021"/>
      </bottom>
      <diagonal/>
    </border>
    <border>
      <left/>
      <right/>
      <top style="thin">
        <color rgb="FFD9D9D9"/>
      </top>
      <bottom style="thin">
        <color rgb="FFD9D9D9"/>
      </bottom>
      <diagonal/>
    </border>
    <border>
      <left/>
      <right/>
      <top style="thin">
        <color theme="0" tint="-0.14993743705557422"/>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s>
  <cellStyleXfs count="68">
    <xf numFmtId="0" fontId="0" fillId="0" borderId="0"/>
    <xf numFmtId="0" fontId="14" fillId="0" borderId="0"/>
    <xf numFmtId="0" fontId="12" fillId="0" borderId="0"/>
    <xf numFmtId="0" fontId="12" fillId="0" borderId="0"/>
    <xf numFmtId="9" fontId="12" fillId="0" borderId="0" applyFont="0" applyFill="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8" fillId="14"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21" borderId="0" applyNumberFormat="0" applyBorder="0" applyAlignment="0" applyProtection="0"/>
    <xf numFmtId="0" fontId="29" fillId="5" borderId="0" applyNumberFormat="0" applyBorder="0" applyAlignment="0" applyProtection="0"/>
    <xf numFmtId="0" fontId="30" fillId="22" borderId="2" applyNumberFormat="0" applyAlignment="0" applyProtection="0"/>
    <xf numFmtId="0" fontId="31" fillId="23" borderId="3" applyNumberFormat="0" applyAlignment="0" applyProtection="0"/>
    <xf numFmtId="0" fontId="32" fillId="0" borderId="0" applyNumberFormat="0" applyFill="0" applyBorder="0" applyAlignment="0" applyProtection="0"/>
    <xf numFmtId="0" fontId="33" fillId="6" borderId="0" applyNumberFormat="0" applyBorder="0" applyAlignment="0" applyProtection="0"/>
    <xf numFmtId="0" fontId="34" fillId="0" borderId="4" applyNumberFormat="0" applyFill="0" applyAlignment="0" applyProtection="0"/>
    <xf numFmtId="0" fontId="35" fillId="0" borderId="5"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37" fillId="9" borderId="2" applyNumberFormat="0" applyAlignment="0" applyProtection="0"/>
    <xf numFmtId="0" fontId="38" fillId="0" borderId="7" applyNumberFormat="0" applyFill="0" applyAlignment="0" applyProtection="0"/>
    <xf numFmtId="0" fontId="39" fillId="24" borderId="0" applyNumberFormat="0" applyBorder="0" applyAlignment="0" applyProtection="0"/>
    <xf numFmtId="0" fontId="12" fillId="25" borderId="8" applyNumberFormat="0" applyFont="0" applyAlignment="0" applyProtection="0"/>
    <xf numFmtId="0" fontId="40" fillId="22" borderId="9"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9" fontId="43" fillId="0" borderId="0" applyFont="0" applyFill="0" applyBorder="0" applyAlignment="0" applyProtection="0"/>
    <xf numFmtId="0" fontId="12" fillId="0" borderId="0"/>
    <xf numFmtId="0" fontId="51" fillId="0" borderId="0">
      <alignment horizontal="center" vertical="center" wrapText="1"/>
    </xf>
    <xf numFmtId="169" fontId="12" fillId="0" borderId="0" applyFont="0" applyFill="0" applyBorder="0" applyAlignment="0" applyProtection="0"/>
    <xf numFmtId="0" fontId="12" fillId="0" borderId="0"/>
    <xf numFmtId="0" fontId="12" fillId="0" borderId="0"/>
    <xf numFmtId="0" fontId="12" fillId="0" borderId="0"/>
    <xf numFmtId="0" fontId="11" fillId="0" borderId="0"/>
    <xf numFmtId="0" fontId="69" fillId="29" borderId="25">
      <alignment vertical="center"/>
    </xf>
    <xf numFmtId="0" fontId="10" fillId="0" borderId="0"/>
    <xf numFmtId="0" fontId="83" fillId="0" borderId="0" applyNumberFormat="0" applyFill="0" applyBorder="0" applyAlignment="0" applyProtection="0"/>
    <xf numFmtId="0" fontId="9" fillId="0" borderId="0"/>
    <xf numFmtId="0" fontId="87" fillId="0" borderId="0"/>
    <xf numFmtId="0" fontId="8" fillId="0" borderId="0"/>
    <xf numFmtId="0" fontId="89" fillId="0" borderId="0" applyNumberFormat="0" applyFill="0" applyBorder="0" applyAlignment="0" applyProtection="0">
      <alignment vertical="top"/>
      <protection locked="0"/>
    </xf>
    <xf numFmtId="0" fontId="12" fillId="0" borderId="0"/>
    <xf numFmtId="0" fontId="7" fillId="0" borderId="0"/>
    <xf numFmtId="0" fontId="6" fillId="0" borderId="0"/>
    <xf numFmtId="0" fontId="93" fillId="31" borderId="40">
      <alignment horizontal="center" vertical="center"/>
    </xf>
    <xf numFmtId="0" fontId="96" fillId="0" borderId="0"/>
    <xf numFmtId="0" fontId="4" fillId="0" borderId="0"/>
    <xf numFmtId="0" fontId="3" fillId="0" borderId="0"/>
    <xf numFmtId="0" fontId="2" fillId="0" borderId="0"/>
  </cellStyleXfs>
  <cellXfs count="652">
    <xf numFmtId="0" fontId="0" fillId="0" borderId="0" xfId="0"/>
    <xf numFmtId="0" fontId="16" fillId="0" borderId="0" xfId="0" applyFont="1" applyAlignment="1">
      <alignment vertical="center"/>
    </xf>
    <xf numFmtId="167" fontId="16" fillId="0" borderId="0" xfId="2" applyNumberFormat="1" applyFont="1" applyAlignment="1">
      <alignment horizontal="center" vertical="center" wrapText="1"/>
    </xf>
    <xf numFmtId="0" fontId="21" fillId="3" borderId="0" xfId="0" applyFont="1" applyFill="1" applyAlignment="1">
      <alignment vertical="center"/>
    </xf>
    <xf numFmtId="0" fontId="24" fillId="3" borderId="0" xfId="0" applyFont="1" applyFill="1" applyAlignment="1">
      <alignment vertical="center"/>
    </xf>
    <xf numFmtId="0" fontId="23" fillId="3" borderId="0" xfId="0" applyFont="1" applyFill="1" applyAlignment="1">
      <alignment vertical="center" wrapText="1"/>
    </xf>
    <xf numFmtId="0" fontId="15" fillId="0" borderId="0" xfId="0" applyFont="1" applyAlignment="1">
      <alignment vertical="center"/>
    </xf>
    <xf numFmtId="0" fontId="25" fillId="0" borderId="0" xfId="0" applyFont="1" applyAlignment="1">
      <alignment vertical="center"/>
    </xf>
    <xf numFmtId="0" fontId="21" fillId="0" borderId="0" xfId="0" applyFont="1" applyAlignment="1">
      <alignment vertical="center"/>
    </xf>
    <xf numFmtId="0" fontId="17" fillId="0" borderId="0" xfId="1" applyFont="1" applyAlignment="1">
      <alignment vertical="center"/>
    </xf>
    <xf numFmtId="0" fontId="17" fillId="0" borderId="0" xfId="2" applyFont="1" applyAlignment="1">
      <alignment horizontal="center" vertical="center"/>
    </xf>
    <xf numFmtId="0" fontId="17" fillId="0" borderId="0" xfId="3" applyFont="1" applyAlignment="1">
      <alignment vertical="center"/>
    </xf>
    <xf numFmtId="0" fontId="16" fillId="0" borderId="0" xfId="0" applyFont="1" applyAlignment="1">
      <alignment horizontal="center" vertical="center"/>
    </xf>
    <xf numFmtId="0" fontId="16" fillId="0" borderId="0" xfId="0" applyFont="1" applyAlignment="1">
      <alignment horizontal="left" vertical="center"/>
    </xf>
    <xf numFmtId="0" fontId="16" fillId="0" borderId="0" xfId="3" applyFont="1" applyAlignment="1">
      <alignment horizontal="left" vertical="center"/>
    </xf>
    <xf numFmtId="0" fontId="16" fillId="0" borderId="0" xfId="2" applyFont="1" applyAlignment="1">
      <alignment horizontal="left" vertical="center"/>
    </xf>
    <xf numFmtId="0" fontId="18" fillId="0" borderId="0" xfId="2" applyFont="1" applyAlignment="1">
      <alignment horizontal="center" vertical="center"/>
    </xf>
    <xf numFmtId="0" fontId="19" fillId="0" borderId="0" xfId="2" applyFont="1" applyAlignment="1">
      <alignment horizontal="left" vertical="center" wrapText="1"/>
    </xf>
    <xf numFmtId="0" fontId="26" fillId="3" borderId="0" xfId="0" applyFont="1" applyFill="1" applyAlignment="1">
      <alignment horizontal="center" vertical="center" wrapText="1"/>
    </xf>
    <xf numFmtId="0" fontId="23" fillId="0" borderId="0" xfId="0" applyFont="1" applyAlignment="1">
      <alignment vertical="center" wrapText="1"/>
    </xf>
    <xf numFmtId="0" fontId="15" fillId="0" borderId="0" xfId="0" applyFont="1"/>
    <xf numFmtId="0" fontId="44" fillId="3" borderId="0" xfId="0" applyFont="1" applyFill="1" applyAlignment="1">
      <alignment horizontal="center" vertical="center" wrapText="1"/>
    </xf>
    <xf numFmtId="0" fontId="24" fillId="27" borderId="0" xfId="0" applyFont="1" applyFill="1" applyAlignment="1">
      <alignment vertical="center"/>
    </xf>
    <xf numFmtId="0" fontId="45" fillId="26" borderId="0" xfId="0" applyFont="1" applyFill="1" applyAlignment="1">
      <alignment horizontal="center" vertical="center"/>
    </xf>
    <xf numFmtId="0" fontId="46" fillId="26" borderId="0" xfId="0" applyFont="1" applyFill="1" applyAlignment="1">
      <alignment vertical="center"/>
    </xf>
    <xf numFmtId="0" fontId="47" fillId="2" borderId="10" xfId="0" applyFont="1" applyFill="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lignment vertical="center"/>
    </xf>
    <xf numFmtId="0" fontId="15" fillId="0" borderId="0" xfId="0" applyFont="1" applyAlignment="1">
      <alignment vertical="center" wrapText="1"/>
    </xf>
    <xf numFmtId="0" fontId="16" fillId="0" borderId="0" xfId="0" applyFont="1" applyAlignment="1">
      <alignment vertical="center" wrapText="1"/>
    </xf>
    <xf numFmtId="0" fontId="52" fillId="0" borderId="0" xfId="46" applyFont="1" applyAlignment="1">
      <alignment vertical="center"/>
    </xf>
    <xf numFmtId="0" fontId="52" fillId="0" borderId="0" xfId="46" applyFont="1" applyAlignment="1">
      <alignment horizontal="center" vertical="center"/>
    </xf>
    <xf numFmtId="0" fontId="62" fillId="0" borderId="0" xfId="2" applyFont="1" applyAlignment="1" applyProtection="1">
      <alignment horizontal="left" vertical="center"/>
      <protection locked="0"/>
    </xf>
    <xf numFmtId="0" fontId="62" fillId="0" borderId="0" xfId="0" applyFont="1" applyAlignment="1">
      <alignment horizontal="left" vertical="center"/>
    </xf>
    <xf numFmtId="1" fontId="17" fillId="0" borderId="0" xfId="2" applyNumberFormat="1" applyFont="1" applyAlignment="1">
      <alignment horizontal="center" vertical="center" wrapText="1"/>
    </xf>
    <xf numFmtId="0" fontId="18" fillId="28" borderId="0" xfId="1" applyFont="1" applyFill="1" applyAlignment="1">
      <alignment horizontal="left" vertical="center"/>
    </xf>
    <xf numFmtId="0" fontId="18" fillId="28" borderId="0" xfId="1" applyFont="1" applyFill="1" applyAlignment="1">
      <alignment vertical="center"/>
    </xf>
    <xf numFmtId="0" fontId="18" fillId="28" borderId="0" xfId="1" applyFont="1" applyFill="1" applyAlignment="1">
      <alignment vertical="center" wrapText="1"/>
    </xf>
    <xf numFmtId="0" fontId="18" fillId="28" borderId="22" xfId="1" applyFont="1" applyFill="1" applyBorder="1" applyAlignment="1">
      <alignment vertical="center"/>
    </xf>
    <xf numFmtId="0" fontId="18" fillId="28" borderId="0" xfId="2" applyFont="1" applyFill="1" applyAlignment="1">
      <alignment horizontal="center" vertical="center" wrapText="1"/>
    </xf>
    <xf numFmtId="0" fontId="18" fillId="0" borderId="0" xfId="0" applyFont="1" applyAlignment="1">
      <alignment vertical="center"/>
    </xf>
    <xf numFmtId="0" fontId="64" fillId="0" borderId="0" xfId="1" applyFont="1" applyAlignment="1">
      <alignment vertical="center"/>
    </xf>
    <xf numFmtId="0" fontId="64" fillId="0" borderId="0" xfId="2" applyFont="1" applyAlignment="1">
      <alignment horizontal="center" vertical="center"/>
    </xf>
    <xf numFmtId="0" fontId="18" fillId="28" borderId="0" xfId="0" applyFont="1" applyFill="1" applyAlignment="1">
      <alignment vertical="center"/>
    </xf>
    <xf numFmtId="0" fontId="64" fillId="0" borderId="0" xfId="3" applyFont="1" applyAlignment="1">
      <alignment vertical="center"/>
    </xf>
    <xf numFmtId="0" fontId="64" fillId="28" borderId="0" xfId="2" applyFont="1" applyFill="1" applyAlignment="1">
      <alignment vertical="center" wrapText="1"/>
    </xf>
    <xf numFmtId="0" fontId="64" fillId="0" borderId="0" xfId="2" applyFont="1" applyAlignment="1">
      <alignment vertical="center" wrapText="1"/>
    </xf>
    <xf numFmtId="0" fontId="18" fillId="28" borderId="0" xfId="2" applyFont="1" applyFill="1" applyAlignment="1">
      <alignment horizontal="left" vertical="center" wrapText="1"/>
    </xf>
    <xf numFmtId="3" fontId="64" fillId="28" borderId="0" xfId="3" applyNumberFormat="1" applyFont="1" applyFill="1" applyAlignment="1">
      <alignment horizontal="center" vertical="center"/>
    </xf>
    <xf numFmtId="0" fontId="18" fillId="28" borderId="1" xfId="0" applyFont="1" applyFill="1" applyBorder="1" applyAlignment="1">
      <alignment vertical="center"/>
    </xf>
    <xf numFmtId="0" fontId="18" fillId="28" borderId="1" xfId="2" applyFont="1" applyFill="1" applyBorder="1" applyAlignment="1">
      <alignment horizontal="left" vertical="center" wrapText="1"/>
    </xf>
    <xf numFmtId="167" fontId="18" fillId="28" borderId="0" xfId="2" applyNumberFormat="1" applyFont="1" applyFill="1" applyAlignment="1">
      <alignment horizontal="right" vertical="center" wrapText="1"/>
    </xf>
    <xf numFmtId="3" fontId="18" fillId="28" borderId="0" xfId="2" applyNumberFormat="1" applyFont="1" applyFill="1" applyAlignment="1">
      <alignment horizontal="right" vertical="center" wrapText="1"/>
    </xf>
    <xf numFmtId="166" fontId="64" fillId="28" borderId="0" xfId="45" applyNumberFormat="1" applyFont="1" applyFill="1" applyAlignment="1">
      <alignment horizontal="center" vertical="center"/>
    </xf>
    <xf numFmtId="166" fontId="64" fillId="28" borderId="1" xfId="45" applyNumberFormat="1" applyFont="1" applyFill="1" applyBorder="1" applyAlignment="1">
      <alignment horizontal="center" vertical="center"/>
    </xf>
    <xf numFmtId="0" fontId="64" fillId="28" borderId="0" xfId="2" applyFont="1" applyFill="1" applyAlignment="1">
      <alignment horizontal="center" vertical="center" wrapText="1"/>
    </xf>
    <xf numFmtId="166" fontId="18" fillId="28" borderId="0" xfId="45" applyNumberFormat="1" applyFont="1" applyFill="1" applyAlignment="1">
      <alignment horizontal="center" vertical="center"/>
    </xf>
    <xf numFmtId="166" fontId="18" fillId="28" borderId="0" xfId="2" applyNumberFormat="1" applyFont="1" applyFill="1" applyAlignment="1">
      <alignment horizontal="center" vertical="center"/>
    </xf>
    <xf numFmtId="2" fontId="18" fillId="28" borderId="0" xfId="2" applyNumberFormat="1" applyFont="1" applyFill="1" applyAlignment="1">
      <alignment horizontal="center" vertical="center"/>
    </xf>
    <xf numFmtId="1" fontId="64" fillId="28" borderId="0" xfId="2" applyNumberFormat="1" applyFont="1" applyFill="1" applyAlignment="1">
      <alignment horizontal="center" vertical="center" wrapText="1"/>
    </xf>
    <xf numFmtId="0" fontId="18" fillId="28" borderId="0" xfId="2" applyFont="1" applyFill="1" applyAlignment="1">
      <alignment horizontal="center" vertical="center"/>
    </xf>
    <xf numFmtId="0" fontId="57" fillId="0" borderId="0" xfId="46" applyFont="1" applyAlignment="1">
      <alignment vertical="center"/>
    </xf>
    <xf numFmtId="0" fontId="57" fillId="0" borderId="0" xfId="46" applyFont="1" applyAlignment="1">
      <alignment horizontal="center" vertical="center"/>
    </xf>
    <xf numFmtId="0" fontId="52" fillId="0" borderId="0" xfId="0" applyFont="1" applyAlignment="1">
      <alignment vertical="center" wrapText="1"/>
    </xf>
    <xf numFmtId="0" fontId="20" fillId="0" borderId="0" xfId="0" applyFont="1" applyAlignment="1">
      <alignment horizontal="center" vertical="center" wrapText="1"/>
    </xf>
    <xf numFmtId="0" fontId="50" fillId="0" borderId="0" xfId="0" applyFont="1" applyAlignment="1">
      <alignment vertical="center" wrapText="1"/>
    </xf>
    <xf numFmtId="0" fontId="50" fillId="0" borderId="0" xfId="0" applyFont="1"/>
    <xf numFmtId="0" fontId="52" fillId="0" borderId="0" xfId="0" applyFont="1" applyAlignment="1">
      <alignment horizontal="center" vertical="center" wrapText="1"/>
    </xf>
    <xf numFmtId="167" fontId="52" fillId="0" borderId="0" xfId="0" applyNumberFormat="1" applyFont="1" applyAlignment="1">
      <alignment vertical="center" wrapText="1"/>
    </xf>
    <xf numFmtId="0" fontId="50" fillId="0" borderId="0" xfId="0" applyFont="1" applyAlignment="1">
      <alignment vertical="center"/>
    </xf>
    <xf numFmtId="0" fontId="58" fillId="0" borderId="0" xfId="0" applyFont="1" applyAlignment="1">
      <alignment vertical="center" wrapText="1"/>
    </xf>
    <xf numFmtId="0" fontId="50" fillId="0" borderId="0" xfId="0" applyFont="1" applyAlignment="1">
      <alignment wrapText="1"/>
    </xf>
    <xf numFmtId="0" fontId="66" fillId="0" borderId="0" xfId="0" applyFont="1" applyAlignment="1">
      <alignment vertical="center" wrapText="1"/>
    </xf>
    <xf numFmtId="0" fontId="52" fillId="0" borderId="15" xfId="0" applyFont="1" applyBorder="1" applyAlignment="1">
      <alignment vertical="center" wrapText="1"/>
    </xf>
    <xf numFmtId="0" fontId="52" fillId="0" borderId="15" xfId="0" applyFont="1" applyBorder="1" applyAlignment="1">
      <alignment horizontal="center" vertical="center" wrapText="1"/>
    </xf>
    <xf numFmtId="0" fontId="56" fillId="0" borderId="15" xfId="0" applyFont="1" applyBorder="1" applyAlignment="1">
      <alignment vertical="center" wrapText="1"/>
    </xf>
    <xf numFmtId="0" fontId="22" fillId="0" borderId="0" xfId="0" applyFont="1" applyAlignment="1">
      <alignment vertical="center" wrapText="1"/>
    </xf>
    <xf numFmtId="0" fontId="59" fillId="0" borderId="21" xfId="0" applyFont="1" applyBorder="1" applyAlignment="1">
      <alignment horizontal="center" vertical="center" wrapText="1"/>
    </xf>
    <xf numFmtId="0" fontId="52" fillId="0" borderId="16" xfId="0" applyFont="1" applyBorder="1" applyAlignment="1">
      <alignment vertical="center" wrapText="1"/>
    </xf>
    <xf numFmtId="0" fontId="52" fillId="0" borderId="16" xfId="0" applyFont="1" applyBorder="1" applyAlignment="1">
      <alignment horizontal="center" vertical="center" wrapText="1"/>
    </xf>
    <xf numFmtId="0" fontId="56" fillId="0" borderId="21" xfId="0" applyFont="1" applyBorder="1" applyAlignment="1">
      <alignment vertical="center" wrapText="1"/>
    </xf>
    <xf numFmtId="0" fontId="56" fillId="0" borderId="21"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0" xfId="0" applyFont="1" applyAlignment="1">
      <alignment vertical="center" wrapText="1"/>
    </xf>
    <xf numFmtId="0" fontId="56" fillId="0" borderId="0" xfId="0" applyFont="1" applyAlignment="1">
      <alignment horizontal="center" vertical="center" wrapText="1"/>
    </xf>
    <xf numFmtId="0" fontId="20" fillId="0" borderId="23" xfId="0" applyFont="1" applyBorder="1" applyAlignment="1">
      <alignment vertical="center" wrapText="1"/>
    </xf>
    <xf numFmtId="0" fontId="52" fillId="0" borderId="23" xfId="0" applyFont="1" applyBorder="1" applyAlignment="1">
      <alignment vertical="center" wrapText="1"/>
    </xf>
    <xf numFmtId="167" fontId="18" fillId="28" borderId="0" xfId="2" applyNumberFormat="1" applyFont="1" applyFill="1" applyAlignment="1">
      <alignment horizontal="right" vertical="center"/>
    </xf>
    <xf numFmtId="0" fontId="68" fillId="0" borderId="0" xfId="0" applyFont="1" applyAlignment="1">
      <alignment vertical="center"/>
    </xf>
    <xf numFmtId="0" fontId="68" fillId="0" borderId="0" xfId="0" applyFont="1" applyAlignment="1">
      <alignment vertical="center" wrapText="1"/>
    </xf>
    <xf numFmtId="0" fontId="64" fillId="0" borderId="0" xfId="3" applyFont="1" applyAlignment="1">
      <alignment horizontal="center" vertical="center"/>
    </xf>
    <xf numFmtId="0" fontId="64" fillId="0" borderId="0" xfId="3" applyFont="1" applyAlignment="1">
      <alignment horizontal="center" vertical="center" wrapText="1"/>
    </xf>
    <xf numFmtId="166" fontId="18" fillId="0" borderId="0" xfId="2" applyNumberFormat="1" applyFont="1" applyAlignment="1">
      <alignment horizontal="center" vertical="center"/>
    </xf>
    <xf numFmtId="0" fontId="59" fillId="0" borderId="21" xfId="0" applyFont="1" applyBorder="1" applyAlignment="1">
      <alignment vertical="center" wrapText="1"/>
    </xf>
    <xf numFmtId="167" fontId="52" fillId="0" borderId="15" xfId="0" applyNumberFormat="1" applyFont="1" applyBorder="1" applyAlignment="1">
      <alignment horizontal="right" vertical="center" wrapText="1" indent="1"/>
    </xf>
    <xf numFmtId="167" fontId="52" fillId="0" borderId="15" xfId="0" applyNumberFormat="1" applyFont="1" applyBorder="1" applyAlignment="1">
      <alignment horizontal="right" vertical="center" wrapText="1" indent="2"/>
    </xf>
    <xf numFmtId="167" fontId="52" fillId="0" borderId="0" xfId="0" applyNumberFormat="1" applyFont="1" applyAlignment="1">
      <alignment horizontal="right" vertical="center" wrapText="1" indent="2"/>
    </xf>
    <xf numFmtId="167" fontId="59" fillId="0" borderId="21" xfId="0" applyNumberFormat="1" applyFont="1" applyBorder="1" applyAlignment="1">
      <alignment horizontal="right" vertical="center" wrapText="1" indent="2"/>
    </xf>
    <xf numFmtId="0" fontId="52" fillId="0" borderId="15" xfId="0" applyFont="1" applyBorder="1" applyAlignment="1">
      <alignment horizontal="left" vertical="center" wrapText="1" indent="1"/>
    </xf>
    <xf numFmtId="0" fontId="52" fillId="0" borderId="0" xfId="0" applyFont="1" applyAlignment="1">
      <alignment horizontal="left" vertical="center" wrapText="1" indent="1"/>
    </xf>
    <xf numFmtId="167" fontId="52" fillId="0" borderId="16" xfId="0" applyNumberFormat="1" applyFont="1" applyBorder="1" applyAlignment="1">
      <alignment horizontal="right" vertical="center" wrapText="1" indent="1"/>
    </xf>
    <xf numFmtId="167" fontId="56" fillId="0" borderId="15" xfId="0" applyNumberFormat="1" applyFont="1" applyBorder="1" applyAlignment="1">
      <alignment horizontal="right" vertical="center" wrapText="1" indent="1"/>
    </xf>
    <xf numFmtId="167" fontId="56" fillId="0" borderId="0" xfId="0" applyNumberFormat="1" applyFont="1" applyAlignment="1">
      <alignment horizontal="right" vertical="center" wrapText="1" indent="1"/>
    </xf>
    <xf numFmtId="167" fontId="56" fillId="0" borderId="21" xfId="0" applyNumberFormat="1" applyFont="1" applyBorder="1" applyAlignment="1">
      <alignment horizontal="right" vertical="center" wrapText="1" indent="1"/>
    </xf>
    <xf numFmtId="0" fontId="16" fillId="0" borderId="0" xfId="2" applyFont="1" applyAlignment="1" applyProtection="1">
      <alignment horizontal="left" vertical="center"/>
      <protection locked="0"/>
    </xf>
    <xf numFmtId="166" fontId="70" fillId="0" borderId="0" xfId="45" applyNumberFormat="1" applyFont="1" applyAlignment="1">
      <alignment horizontal="left" vertical="center"/>
    </xf>
    <xf numFmtId="166" fontId="18" fillId="0" borderId="0" xfId="0" applyNumberFormat="1" applyFont="1" applyAlignment="1">
      <alignment vertical="center"/>
    </xf>
    <xf numFmtId="166" fontId="72" fillId="0" borderId="0" xfId="45" applyNumberFormat="1" applyFont="1" applyAlignment="1">
      <alignment horizontal="left" vertical="center"/>
    </xf>
    <xf numFmtId="0" fontId="19" fillId="0" borderId="16" xfId="46" applyFont="1" applyBorder="1" applyAlignment="1">
      <alignment vertical="center"/>
    </xf>
    <xf numFmtId="0" fontId="19" fillId="0" borderId="16" xfId="46" applyFont="1" applyBorder="1" applyAlignment="1">
      <alignment horizontal="center" vertical="center"/>
    </xf>
    <xf numFmtId="0" fontId="19" fillId="0" borderId="0" xfId="46" applyFont="1" applyAlignment="1">
      <alignment vertical="center"/>
    </xf>
    <xf numFmtId="0" fontId="19" fillId="0" borderId="0" xfId="46" applyFont="1" applyAlignment="1">
      <alignment horizontal="center" vertical="center"/>
    </xf>
    <xf numFmtId="166" fontId="74" fillId="0" borderId="0" xfId="0" applyNumberFormat="1" applyFont="1" applyAlignment="1">
      <alignment vertical="center"/>
    </xf>
    <xf numFmtId="166" fontId="74" fillId="0" borderId="0" xfId="4" applyNumberFormat="1" applyFont="1" applyAlignment="1">
      <alignment horizontal="center" vertical="center"/>
    </xf>
    <xf numFmtId="0" fontId="79" fillId="0" borderId="0" xfId="58" applyFont="1" applyAlignment="1">
      <alignment vertical="center" wrapText="1"/>
    </xf>
    <xf numFmtId="0" fontId="19" fillId="0" borderId="0" xfId="58" applyFont="1" applyAlignment="1">
      <alignment vertical="center" wrapText="1"/>
    </xf>
    <xf numFmtId="0" fontId="79" fillId="30" borderId="0" xfId="58" applyFont="1" applyFill="1" applyAlignment="1">
      <alignment vertical="center" wrapText="1"/>
    </xf>
    <xf numFmtId="0" fontId="88" fillId="0" borderId="0" xfId="58" applyFont="1" applyAlignment="1">
      <alignment vertical="center" wrapText="1"/>
    </xf>
    <xf numFmtId="0" fontId="79" fillId="0" borderId="0" xfId="58" applyFont="1" applyAlignment="1">
      <alignment horizontal="center" vertical="center" wrapText="1"/>
    </xf>
    <xf numFmtId="0" fontId="88" fillId="0" borderId="0" xfId="58" applyFont="1" applyAlignment="1">
      <alignment horizontal="center" vertical="center" wrapText="1"/>
    </xf>
    <xf numFmtId="0" fontId="78" fillId="0" borderId="0" xfId="58" applyFont="1" applyAlignment="1">
      <alignment horizontal="center" vertical="center" wrapText="1"/>
    </xf>
    <xf numFmtId="0" fontId="8" fillId="0" borderId="0" xfId="58" applyAlignment="1">
      <alignment wrapText="1"/>
    </xf>
    <xf numFmtId="0" fontId="19" fillId="0" borderId="0" xfId="58" applyFont="1" applyAlignment="1">
      <alignment horizontal="left" vertical="center" wrapText="1"/>
    </xf>
    <xf numFmtId="0" fontId="47" fillId="0" borderId="0" xfId="58" applyFont="1" applyAlignment="1">
      <alignment vertical="center" wrapText="1"/>
    </xf>
    <xf numFmtId="0" fontId="78" fillId="0" borderId="0" xfId="58" applyFont="1" applyAlignment="1">
      <alignment vertical="center" wrapText="1"/>
    </xf>
    <xf numFmtId="0" fontId="19" fillId="0" borderId="0" xfId="58" applyFont="1" applyAlignment="1" applyProtection="1">
      <alignment vertical="center" wrapText="1"/>
      <protection locked="0"/>
    </xf>
    <xf numFmtId="0" fontId="90" fillId="0" borderId="0" xfId="59" applyFont="1" applyAlignment="1" applyProtection="1">
      <alignment horizontal="center" vertical="center" wrapText="1"/>
    </xf>
    <xf numFmtId="0" fontId="19" fillId="0" borderId="0" xfId="58" applyFont="1" applyAlignment="1">
      <alignment horizontal="center" vertical="center" wrapText="1"/>
    </xf>
    <xf numFmtId="0" fontId="8" fillId="0" borderId="0" xfId="58" applyAlignment="1">
      <alignment vertical="center" wrapText="1"/>
    </xf>
    <xf numFmtId="0" fontId="8" fillId="0" borderId="0" xfId="58"/>
    <xf numFmtId="0" fontId="19" fillId="0" borderId="1" xfId="58" applyFont="1" applyBorder="1" applyAlignment="1">
      <alignment vertical="center" wrapText="1"/>
    </xf>
    <xf numFmtId="0" fontId="91" fillId="0" borderId="0" xfId="58" applyFont="1" applyAlignment="1">
      <alignment vertical="center" wrapText="1"/>
    </xf>
    <xf numFmtId="3" fontId="19" fillId="0" borderId="0" xfId="58" applyNumberFormat="1" applyFont="1" applyAlignment="1">
      <alignment vertical="center" wrapText="1"/>
    </xf>
    <xf numFmtId="0" fontId="47" fillId="0" borderId="0" xfId="58" applyFont="1" applyAlignment="1">
      <alignment vertical="center"/>
    </xf>
    <xf numFmtId="0" fontId="47" fillId="0" borderId="0" xfId="58" applyFont="1" applyAlignment="1">
      <alignment horizontal="center" vertical="center" wrapText="1"/>
    </xf>
    <xf numFmtId="167" fontId="19" fillId="0" borderId="0" xfId="58" applyNumberFormat="1" applyFont="1" applyAlignment="1">
      <alignment vertical="center" wrapText="1"/>
    </xf>
    <xf numFmtId="167" fontId="8" fillId="0" borderId="0" xfId="58" applyNumberFormat="1"/>
    <xf numFmtId="0" fontId="8" fillId="0" borderId="0" xfId="58" applyAlignment="1">
      <alignment vertical="center"/>
    </xf>
    <xf numFmtId="166" fontId="16" fillId="0" borderId="0" xfId="45" applyNumberFormat="1" applyFont="1" applyAlignment="1">
      <alignment horizontal="left" vertical="center"/>
    </xf>
    <xf numFmtId="0" fontId="19" fillId="0" borderId="0" xfId="61" applyFont="1" applyAlignment="1">
      <alignment vertical="center" wrapText="1"/>
    </xf>
    <xf numFmtId="0" fontId="7" fillId="0" borderId="0" xfId="61" applyAlignment="1">
      <alignment vertical="center"/>
    </xf>
    <xf numFmtId="0" fontId="7" fillId="0" borderId="0" xfId="61" applyAlignment="1">
      <alignment horizontal="left" vertical="center"/>
    </xf>
    <xf numFmtId="0" fontId="7" fillId="0" borderId="0" xfId="61"/>
    <xf numFmtId="0" fontId="19" fillId="0" borderId="0" xfId="61" applyFont="1" applyAlignment="1">
      <alignment horizontal="left" vertical="center" wrapText="1"/>
    </xf>
    <xf numFmtId="0" fontId="86" fillId="0" borderId="0" xfId="61" applyFont="1" applyAlignment="1">
      <alignment vertical="center" wrapText="1"/>
    </xf>
    <xf numFmtId="0" fontId="19" fillId="0" borderId="0" xfId="61" applyFont="1" applyAlignment="1">
      <alignment vertical="top" wrapText="1"/>
    </xf>
    <xf numFmtId="0" fontId="19" fillId="0" borderId="0" xfId="61" applyFont="1" applyAlignment="1">
      <alignment horizontal="center" vertical="center"/>
    </xf>
    <xf numFmtId="14" fontId="19" fillId="0" borderId="0" xfId="61" applyNumberFormat="1" applyFont="1" applyAlignment="1">
      <alignment vertical="center" wrapText="1"/>
    </xf>
    <xf numFmtId="0" fontId="19" fillId="0" borderId="15" xfId="61" applyFont="1" applyBorder="1" applyAlignment="1">
      <alignment vertical="center" wrapText="1"/>
    </xf>
    <xf numFmtId="0" fontId="19" fillId="0" borderId="16" xfId="61" applyFont="1" applyBorder="1" applyAlignment="1">
      <alignment vertical="center" wrapText="1"/>
    </xf>
    <xf numFmtId="0" fontId="19" fillId="0" borderId="21" xfId="61" applyFont="1" applyBorder="1" applyAlignment="1">
      <alignment vertical="center" wrapText="1"/>
    </xf>
    <xf numFmtId="0" fontId="19" fillId="0" borderId="0" xfId="61" applyFont="1"/>
    <xf numFmtId="0" fontId="94" fillId="0" borderId="30" xfId="0" applyFont="1" applyBorder="1" applyAlignment="1">
      <alignment vertical="center" wrapText="1"/>
    </xf>
    <xf numFmtId="0" fontId="94" fillId="0" borderId="23" xfId="0" applyFont="1" applyBorder="1" applyAlignment="1">
      <alignment vertical="center" wrapText="1"/>
    </xf>
    <xf numFmtId="0" fontId="94" fillId="0" borderId="31" xfId="0" applyFont="1" applyBorder="1" applyAlignment="1">
      <alignment vertical="center" wrapText="1"/>
    </xf>
    <xf numFmtId="0" fontId="94" fillId="0" borderId="35" xfId="0" applyFont="1" applyBorder="1" applyAlignment="1">
      <alignment vertical="center" wrapText="1"/>
    </xf>
    <xf numFmtId="0" fontId="94" fillId="0" borderId="32" xfId="0" applyFont="1" applyBorder="1" applyAlignment="1">
      <alignment vertical="center" wrapText="1"/>
    </xf>
    <xf numFmtId="0" fontId="94" fillId="0" borderId="33" xfId="0" applyFont="1" applyBorder="1" applyAlignment="1">
      <alignment vertical="center" wrapText="1"/>
    </xf>
    <xf numFmtId="0" fontId="94" fillId="0" borderId="34" xfId="0" applyFont="1" applyBorder="1" applyAlignment="1">
      <alignment vertical="center" wrapText="1"/>
    </xf>
    <xf numFmtId="0" fontId="94" fillId="0" borderId="23" xfId="0" applyFont="1" applyBorder="1" applyAlignment="1">
      <alignment horizontal="center" vertical="center" wrapText="1"/>
    </xf>
    <xf numFmtId="0" fontId="94" fillId="0" borderId="35" xfId="0" applyFont="1" applyBorder="1" applyAlignment="1">
      <alignment horizontal="center" vertical="center" wrapText="1"/>
    </xf>
    <xf numFmtId="0" fontId="94" fillId="0" borderId="36" xfId="0" applyFont="1" applyBorder="1" applyAlignment="1">
      <alignment vertical="center" wrapText="1"/>
    </xf>
    <xf numFmtId="0" fontId="94" fillId="0" borderId="23" xfId="0" applyFont="1" applyBorder="1" applyAlignment="1">
      <alignment horizontal="left" vertical="center" wrapText="1"/>
    </xf>
    <xf numFmtId="167" fontId="94" fillId="0" borderId="23" xfId="0" applyNumberFormat="1" applyFont="1" applyBorder="1" applyAlignment="1">
      <alignment vertical="center" wrapText="1"/>
    </xf>
    <xf numFmtId="0" fontId="94" fillId="0" borderId="33" xfId="0" applyFont="1" applyBorder="1" applyAlignment="1">
      <alignment horizontal="left" vertical="center" wrapText="1"/>
    </xf>
    <xf numFmtId="167" fontId="94" fillId="0" borderId="33" xfId="0" applyNumberFormat="1" applyFont="1" applyBorder="1" applyAlignment="1">
      <alignment vertical="center" wrapText="1"/>
    </xf>
    <xf numFmtId="0" fontId="94" fillId="0" borderId="37" xfId="0" applyFont="1" applyBorder="1" applyAlignment="1">
      <alignment vertical="center" wrapText="1"/>
    </xf>
    <xf numFmtId="0" fontId="94" fillId="0" borderId="38" xfId="0" applyFont="1" applyBorder="1" applyAlignment="1">
      <alignment horizontal="left" vertical="center" wrapText="1"/>
    </xf>
    <xf numFmtId="167" fontId="94" fillId="0" borderId="38" xfId="0" applyNumberFormat="1" applyFont="1" applyBorder="1" applyAlignment="1">
      <alignment vertical="center" wrapText="1"/>
    </xf>
    <xf numFmtId="0" fontId="94" fillId="0" borderId="39" xfId="0" applyFont="1" applyBorder="1" applyAlignment="1">
      <alignment vertical="center" wrapText="1"/>
    </xf>
    <xf numFmtId="166" fontId="94" fillId="0" borderId="34" xfId="0" applyNumberFormat="1" applyFont="1" applyBorder="1" applyAlignment="1">
      <alignment vertical="center" wrapText="1"/>
    </xf>
    <xf numFmtId="166" fontId="94" fillId="0" borderId="36" xfId="0" applyNumberFormat="1" applyFont="1" applyBorder="1" applyAlignment="1">
      <alignment vertical="center" wrapText="1"/>
    </xf>
    <xf numFmtId="166" fontId="94" fillId="0" borderId="30" xfId="0" applyNumberFormat="1" applyFont="1" applyBorder="1" applyAlignment="1">
      <alignment vertical="center" wrapText="1"/>
    </xf>
    <xf numFmtId="0" fontId="94" fillId="0" borderId="0" xfId="0" applyFont="1" applyAlignment="1">
      <alignment vertical="center" wrapText="1"/>
    </xf>
    <xf numFmtId="0" fontId="94" fillId="0" borderId="0" xfId="0" applyFont="1" applyAlignment="1">
      <alignment horizontal="center" vertical="center" wrapText="1"/>
    </xf>
    <xf numFmtId="167" fontId="94" fillId="0" borderId="0" xfId="0" applyNumberFormat="1" applyFont="1" applyAlignment="1">
      <alignment vertical="center" wrapText="1"/>
    </xf>
    <xf numFmtId="0" fontId="94" fillId="0" borderId="0" xfId="0" applyFont="1" applyAlignment="1">
      <alignment horizontal="left" vertical="center" wrapText="1"/>
    </xf>
    <xf numFmtId="0" fontId="63" fillId="0" borderId="0" xfId="0" applyFont="1" applyAlignment="1">
      <alignment vertical="center"/>
    </xf>
    <xf numFmtId="0" fontId="109" fillId="26" borderId="0" xfId="0" applyFont="1" applyFill="1" applyAlignment="1">
      <alignment horizontal="center" vertical="center"/>
    </xf>
    <xf numFmtId="0" fontId="109" fillId="26" borderId="0" xfId="0" applyFont="1" applyFill="1" applyAlignment="1">
      <alignment vertical="center"/>
    </xf>
    <xf numFmtId="0" fontId="21" fillId="3" borderId="0" xfId="0" applyFont="1" applyFill="1" applyAlignment="1">
      <alignment vertical="center" wrapText="1"/>
    </xf>
    <xf numFmtId="0" fontId="48" fillId="3" borderId="0" xfId="0" applyFont="1" applyFill="1" applyAlignment="1">
      <alignment horizontal="left" vertical="center" wrapText="1" indent="1"/>
    </xf>
    <xf numFmtId="0" fontId="21" fillId="27" borderId="0" xfId="0" applyFont="1" applyFill="1" applyAlignment="1">
      <alignment vertical="center"/>
    </xf>
    <xf numFmtId="0" fontId="48" fillId="27" borderId="0" xfId="55" applyFont="1" applyFill="1" applyAlignment="1">
      <alignment horizontal="left" vertical="center" wrapText="1" indent="1"/>
    </xf>
    <xf numFmtId="0" fontId="48" fillId="3" borderId="0" xfId="55" applyFont="1" applyFill="1" applyAlignment="1">
      <alignment horizontal="left" vertical="center" wrapText="1" indent="1"/>
    </xf>
    <xf numFmtId="0" fontId="21" fillId="3" borderId="0" xfId="55" applyFont="1" applyFill="1" applyAlignment="1">
      <alignment horizontal="left" vertical="center" wrapText="1" indent="1"/>
    </xf>
    <xf numFmtId="0" fontId="21" fillId="27" borderId="0" xfId="55" applyFont="1" applyFill="1" applyAlignment="1">
      <alignment horizontal="left" vertical="center" wrapText="1" indent="1"/>
    </xf>
    <xf numFmtId="0" fontId="81" fillId="27" borderId="0" xfId="55" applyFont="1" applyFill="1" applyAlignment="1">
      <alignment horizontal="left" vertical="center" wrapText="1" indent="1"/>
    </xf>
    <xf numFmtId="0" fontId="111" fillId="0" borderId="0" xfId="0" applyFont="1" applyAlignment="1">
      <alignment vertical="center"/>
    </xf>
    <xf numFmtId="0" fontId="77" fillId="0" borderId="0" xfId="0" applyFont="1" applyAlignment="1">
      <alignment vertical="center"/>
    </xf>
    <xf numFmtId="0" fontId="81" fillId="3" borderId="0" xfId="55" applyFont="1" applyFill="1" applyAlignment="1">
      <alignment horizontal="left" vertical="center" wrapText="1" indent="1"/>
    </xf>
    <xf numFmtId="0" fontId="19" fillId="0" borderId="0" xfId="47" applyFont="1">
      <alignment horizontal="center" vertical="center" wrapText="1"/>
    </xf>
    <xf numFmtId="0" fontId="111" fillId="0" borderId="0" xfId="46" applyFont="1" applyAlignment="1">
      <alignment vertical="center"/>
    </xf>
    <xf numFmtId="0" fontId="125" fillId="0" borderId="42" xfId="0" applyFont="1" applyBorder="1" applyAlignment="1">
      <alignment horizontal="center" vertical="center" wrapText="1" readingOrder="1"/>
    </xf>
    <xf numFmtId="0" fontId="19" fillId="0" borderId="0" xfId="47" applyFont="1" applyAlignment="1">
      <alignment vertical="center" wrapText="1"/>
    </xf>
    <xf numFmtId="0" fontId="19" fillId="0" borderId="0" xfId="47" applyFont="1" applyAlignment="1">
      <alignment horizontal="left" vertical="center" wrapText="1" indent="1"/>
    </xf>
    <xf numFmtId="0" fontId="121" fillId="3" borderId="0" xfId="46" applyFont="1" applyFill="1" applyAlignment="1">
      <alignment horizontal="left" vertical="center" wrapText="1" indent="1"/>
    </xf>
    <xf numFmtId="0" fontId="121" fillId="3" borderId="0" xfId="46" applyFont="1" applyFill="1" applyAlignment="1">
      <alignment vertical="center" wrapText="1"/>
    </xf>
    <xf numFmtId="0" fontId="19" fillId="0" borderId="0" xfId="46" applyFont="1" applyAlignment="1">
      <alignment vertical="center" wrapText="1"/>
    </xf>
    <xf numFmtId="0" fontId="19" fillId="0" borderId="0" xfId="49" applyFont="1" applyAlignment="1">
      <alignment vertical="center" wrapText="1"/>
    </xf>
    <xf numFmtId="0" fontId="113" fillId="0" borderId="0" xfId="2" applyFont="1" applyAlignment="1">
      <alignment horizontal="left" vertical="center" indent="1"/>
    </xf>
    <xf numFmtId="0" fontId="129" fillId="0" borderId="0" xfId="0" applyFont="1" applyAlignment="1">
      <alignment vertical="center"/>
    </xf>
    <xf numFmtId="0" fontId="64" fillId="28" borderId="0" xfId="3" applyFont="1" applyFill="1" applyAlignment="1">
      <alignment horizontal="center" vertical="center"/>
    </xf>
    <xf numFmtId="0" fontId="64" fillId="0" borderId="0" xfId="1" applyFont="1" applyAlignment="1">
      <alignment horizontal="center" vertical="center"/>
    </xf>
    <xf numFmtId="3" fontId="18" fillId="28" borderId="1" xfId="2" applyNumberFormat="1" applyFont="1" applyFill="1" applyBorder="1" applyAlignment="1">
      <alignment horizontal="right" vertical="center" wrapText="1"/>
    </xf>
    <xf numFmtId="166" fontId="64" fillId="28" borderId="0" xfId="45" applyNumberFormat="1" applyFont="1" applyFill="1" applyAlignment="1">
      <alignment horizontal="right" vertical="center"/>
    </xf>
    <xf numFmtId="166" fontId="64" fillId="0" borderId="0" xfId="45" applyNumberFormat="1" applyFont="1" applyAlignment="1">
      <alignment horizontal="right" vertical="center"/>
    </xf>
    <xf numFmtId="166" fontId="64" fillId="28" borderId="1" xfId="45" applyNumberFormat="1" applyFont="1" applyFill="1" applyBorder="1" applyAlignment="1">
      <alignment horizontal="right" vertical="center"/>
    </xf>
    <xf numFmtId="171" fontId="64" fillId="28" borderId="0" xfId="4" applyNumberFormat="1" applyFont="1" applyFill="1" applyAlignment="1">
      <alignment horizontal="right" vertical="center"/>
    </xf>
    <xf numFmtId="10" fontId="64" fillId="28" borderId="22" xfId="4" applyNumberFormat="1" applyFont="1" applyFill="1" applyBorder="1" applyAlignment="1">
      <alignment horizontal="right" vertical="center"/>
    </xf>
    <xf numFmtId="171" fontId="64" fillId="28" borderId="24" xfId="4" applyNumberFormat="1" applyFont="1" applyFill="1" applyBorder="1" applyAlignment="1">
      <alignment horizontal="right" vertical="center"/>
    </xf>
    <xf numFmtId="166" fontId="18" fillId="0" borderId="0" xfId="2" applyNumberFormat="1" applyFont="1" applyAlignment="1">
      <alignment horizontal="right" vertical="center"/>
    </xf>
    <xf numFmtId="3" fontId="18" fillId="0" borderId="0" xfId="2" applyNumberFormat="1" applyFont="1" applyAlignment="1">
      <alignment horizontal="center" vertical="center"/>
    </xf>
    <xf numFmtId="0" fontId="18" fillId="28" borderId="0" xfId="2" applyFont="1" applyFill="1" applyAlignment="1">
      <alignment vertical="center"/>
    </xf>
    <xf numFmtId="0" fontId="18" fillId="0" borderId="0" xfId="2" applyFont="1" applyAlignment="1">
      <alignment vertical="center"/>
    </xf>
    <xf numFmtId="3" fontId="18" fillId="0" borderId="0" xfId="0" applyNumberFormat="1" applyFont="1" applyAlignment="1">
      <alignment vertical="center"/>
    </xf>
    <xf numFmtId="0" fontId="18" fillId="0" borderId="0" xfId="1" applyFont="1" applyAlignment="1">
      <alignment vertical="center" wrapText="1"/>
    </xf>
    <xf numFmtId="0" fontId="130" fillId="0" borderId="0" xfId="1" applyFont="1" applyAlignment="1">
      <alignment horizontal="center" vertical="center"/>
    </xf>
    <xf numFmtId="0" fontId="18" fillId="0" borderId="0" xfId="2" applyFont="1" applyAlignment="1">
      <alignment horizontal="left" vertical="center" wrapText="1"/>
    </xf>
    <xf numFmtId="166" fontId="64" fillId="28" borderId="44" xfId="45" applyNumberFormat="1" applyFont="1" applyFill="1" applyBorder="1" applyAlignment="1">
      <alignment horizontal="center" vertical="center"/>
    </xf>
    <xf numFmtId="166" fontId="64" fillId="28" borderId="45" xfId="45" applyNumberFormat="1" applyFont="1" applyFill="1" applyBorder="1" applyAlignment="1">
      <alignment horizontal="center" vertical="center"/>
    </xf>
    <xf numFmtId="3" fontId="18" fillId="28" borderId="0" xfId="2" applyNumberFormat="1" applyFont="1" applyFill="1" applyAlignment="1">
      <alignment horizontal="right" vertical="center"/>
    </xf>
    <xf numFmtId="167" fontId="18" fillId="28" borderId="1" xfId="2" applyNumberFormat="1" applyFont="1" applyFill="1" applyBorder="1" applyAlignment="1">
      <alignment horizontal="right" vertical="center" wrapText="1"/>
    </xf>
    <xf numFmtId="0" fontId="18" fillId="28" borderId="44" xfId="2" applyFont="1" applyFill="1" applyBorder="1" applyAlignment="1">
      <alignment horizontal="left" vertical="center" wrapText="1"/>
    </xf>
    <xf numFmtId="3" fontId="18" fillId="28" borderId="46" xfId="2" applyNumberFormat="1" applyFont="1" applyFill="1" applyBorder="1" applyAlignment="1">
      <alignment horizontal="right" vertical="center" wrapText="1"/>
    </xf>
    <xf numFmtId="0" fontId="18" fillId="28" borderId="45" xfId="2" applyFont="1" applyFill="1" applyBorder="1" applyAlignment="1">
      <alignment horizontal="left" vertical="center" wrapText="1"/>
    </xf>
    <xf numFmtId="3" fontId="18" fillId="28" borderId="47" xfId="2" applyNumberFormat="1" applyFont="1" applyFill="1" applyBorder="1" applyAlignment="1">
      <alignment horizontal="right" vertical="center" wrapText="1"/>
    </xf>
    <xf numFmtId="0" fontId="18" fillId="28" borderId="44" xfId="0" applyFont="1" applyFill="1" applyBorder="1" applyAlignment="1">
      <alignment vertical="center"/>
    </xf>
    <xf numFmtId="3" fontId="18" fillId="28" borderId="46" xfId="2" applyNumberFormat="1" applyFont="1" applyFill="1" applyBorder="1" applyAlignment="1">
      <alignment horizontal="right" vertical="center"/>
    </xf>
    <xf numFmtId="0" fontId="128" fillId="0" borderId="0" xfId="46" applyFont="1" applyAlignment="1">
      <alignment vertical="center"/>
    </xf>
    <xf numFmtId="0" fontId="125" fillId="0" borderId="42" xfId="0" quotePrefix="1" applyFont="1" applyBorder="1" applyAlignment="1">
      <alignment horizontal="center" vertical="center" wrapText="1" readingOrder="1"/>
    </xf>
    <xf numFmtId="0" fontId="19" fillId="0" borderId="21" xfId="46" applyFont="1" applyBorder="1" applyAlignment="1">
      <alignment vertical="center"/>
    </xf>
    <xf numFmtId="0" fontId="19" fillId="0" borderId="21" xfId="46" applyFont="1" applyBorder="1" applyAlignment="1">
      <alignment horizontal="center" vertical="center"/>
    </xf>
    <xf numFmtId="0" fontId="64" fillId="28" borderId="48" xfId="3" applyFont="1" applyFill="1" applyBorder="1" applyAlignment="1">
      <alignment horizontal="center" vertical="center"/>
    </xf>
    <xf numFmtId="3" fontId="64" fillId="28" borderId="48" xfId="3" applyNumberFormat="1" applyFont="1" applyFill="1" applyBorder="1" applyAlignment="1">
      <alignment horizontal="center" vertical="center"/>
    </xf>
    <xf numFmtId="0" fontId="131" fillId="28" borderId="0" xfId="3" applyFont="1" applyFill="1" applyAlignment="1">
      <alignment horizontal="center" vertical="center"/>
    </xf>
    <xf numFmtId="166" fontId="133" fillId="0" borderId="0" xfId="45" applyNumberFormat="1" applyFont="1" applyAlignment="1">
      <alignment horizontal="left" vertical="center"/>
    </xf>
    <xf numFmtId="0" fontId="133" fillId="0" borderId="0" xfId="0" applyFont="1" applyAlignment="1">
      <alignment horizontal="left" vertical="center"/>
    </xf>
    <xf numFmtId="0" fontId="19" fillId="0" borderId="0" xfId="2" applyFont="1" applyAlignment="1">
      <alignment horizontal="left" vertical="center" indent="1"/>
    </xf>
    <xf numFmtId="0" fontId="135" fillId="0" borderId="0" xfId="0" applyFont="1" applyAlignment="1">
      <alignment vertical="center"/>
    </xf>
    <xf numFmtId="0" fontId="136" fillId="0" borderId="0" xfId="0" applyFont="1"/>
    <xf numFmtId="0" fontId="78" fillId="0" borderId="0" xfId="49" applyFont="1" applyAlignment="1">
      <alignment horizontal="left" vertical="center" wrapText="1"/>
    </xf>
    <xf numFmtId="0" fontId="3" fillId="0" borderId="0" xfId="66" applyAlignment="1">
      <alignment vertical="center"/>
    </xf>
    <xf numFmtId="0" fontId="121" fillId="3" borderId="0" xfId="66" applyFont="1" applyFill="1" applyAlignment="1">
      <alignment vertical="center"/>
    </xf>
    <xf numFmtId="0" fontId="120" fillId="3" borderId="0" xfId="66" applyFont="1" applyFill="1" applyAlignment="1">
      <alignment horizontal="center" vertical="center"/>
    </xf>
    <xf numFmtId="0" fontId="19" fillId="0" borderId="18" xfId="66" applyFont="1" applyBorder="1" applyAlignment="1">
      <alignment vertical="center"/>
    </xf>
    <xf numFmtId="0" fontId="19" fillId="0" borderId="18" xfId="66" applyFont="1" applyBorder="1" applyAlignment="1">
      <alignment horizontal="center" vertical="center"/>
    </xf>
    <xf numFmtId="0" fontId="19" fillId="0" borderId="19" xfId="66" applyFont="1" applyBorder="1" applyAlignment="1">
      <alignment horizontal="left" vertical="center" indent="1"/>
    </xf>
    <xf numFmtId="0" fontId="19" fillId="0" borderId="19" xfId="66" applyFont="1" applyBorder="1" applyAlignment="1">
      <alignment vertical="center"/>
    </xf>
    <xf numFmtId="0" fontId="107" fillId="32" borderId="20" xfId="66" applyFont="1" applyFill="1" applyBorder="1" applyAlignment="1">
      <alignment horizontal="center" vertical="center"/>
    </xf>
    <xf numFmtId="9" fontId="3" fillId="0" borderId="0" xfId="4" applyFont="1" applyAlignment="1">
      <alignment vertical="center"/>
    </xf>
    <xf numFmtId="0" fontId="19" fillId="0" borderId="0" xfId="66" applyFont="1" applyAlignment="1">
      <alignment vertical="center"/>
    </xf>
    <xf numFmtId="49" fontId="19" fillId="0" borderId="0" xfId="66" applyNumberFormat="1" applyFont="1" applyAlignment="1">
      <alignment horizontal="center" vertical="center"/>
    </xf>
    <xf numFmtId="0" fontId="19" fillId="0" borderId="0" xfId="66" applyFont="1" applyAlignment="1">
      <alignment horizontal="center" vertical="center"/>
    </xf>
    <xf numFmtId="0" fontId="19" fillId="0" borderId="0" xfId="46" applyFont="1" applyBorder="1" applyAlignment="1">
      <alignment vertical="center"/>
    </xf>
    <xf numFmtId="0" fontId="19" fillId="0" borderId="0" xfId="46" applyFont="1" applyBorder="1" applyAlignment="1">
      <alignment horizontal="center" vertical="center"/>
    </xf>
    <xf numFmtId="0" fontId="19" fillId="0" borderId="0" xfId="2" applyFont="1" applyAlignment="1">
      <alignment horizontal="center" vertical="center" wrapText="1"/>
    </xf>
    <xf numFmtId="0" fontId="121" fillId="3" borderId="0" xfId="2" applyFont="1" applyFill="1" applyAlignment="1">
      <alignment horizontal="center" vertical="center" wrapText="1"/>
    </xf>
    <xf numFmtId="0" fontId="19" fillId="0" borderId="19" xfId="67" quotePrefix="1" applyFont="1" applyBorder="1" applyAlignment="1">
      <alignment horizontal="center" vertical="center"/>
    </xf>
    <xf numFmtId="0" fontId="19" fillId="0" borderId="19" xfId="67" applyFont="1" applyBorder="1" applyAlignment="1">
      <alignment horizontal="center" vertical="center"/>
    </xf>
    <xf numFmtId="0" fontId="16" fillId="0" borderId="19" xfId="67" applyFont="1" applyBorder="1" applyAlignment="1">
      <alignment horizontal="center" vertical="center"/>
    </xf>
    <xf numFmtId="0" fontId="19" fillId="0" borderId="19" xfId="66" quotePrefix="1" applyFont="1" applyBorder="1" applyAlignment="1">
      <alignment horizontal="center" vertical="center"/>
    </xf>
    <xf numFmtId="0" fontId="19" fillId="0" borderId="19" xfId="66" applyFont="1" applyBorder="1" applyAlignment="1">
      <alignment horizontal="center" vertical="center"/>
    </xf>
    <xf numFmtId="0" fontId="16" fillId="0" borderId="19" xfId="66" applyFont="1" applyBorder="1" applyAlignment="1">
      <alignment horizontal="center" vertical="center"/>
    </xf>
    <xf numFmtId="0" fontId="22" fillId="3" borderId="0" xfId="0" applyFont="1" applyFill="1" applyAlignment="1">
      <alignment horizontal="center" vertical="center" wrapText="1"/>
    </xf>
    <xf numFmtId="0" fontId="84" fillId="3" borderId="0" xfId="0" applyFont="1" applyFill="1" applyAlignment="1">
      <alignment horizontal="center" vertical="center" wrapText="1"/>
    </xf>
    <xf numFmtId="0" fontId="110" fillId="3" borderId="0" xfId="0" applyFont="1" applyFill="1" applyAlignment="1">
      <alignment horizontal="center" vertical="center"/>
    </xf>
    <xf numFmtId="0" fontId="102" fillId="0" borderId="0" xfId="46" applyFont="1" applyAlignment="1">
      <alignment horizontal="center" vertical="center" wrapText="1"/>
    </xf>
    <xf numFmtId="0" fontId="81" fillId="0" borderId="0" xfId="46" applyFont="1" applyAlignment="1">
      <alignment horizontal="center" vertical="center"/>
    </xf>
    <xf numFmtId="0" fontId="102" fillId="0" borderId="0" xfId="66" applyFont="1" applyAlignment="1">
      <alignment horizontal="center" vertical="center" wrapText="1"/>
    </xf>
    <xf numFmtId="0" fontId="81" fillId="0" borderId="0" xfId="66" applyFont="1" applyAlignment="1">
      <alignment horizontal="center" vertical="center" wrapText="1"/>
    </xf>
    <xf numFmtId="0" fontId="78" fillId="0" borderId="0" xfId="49" applyFont="1" applyAlignment="1">
      <alignment horizontal="left" vertical="center" wrapText="1"/>
    </xf>
    <xf numFmtId="0" fontId="78" fillId="0" borderId="0" xfId="46" applyFont="1" applyAlignment="1">
      <alignment horizontal="left" vertical="center" wrapText="1"/>
    </xf>
    <xf numFmtId="0" fontId="49" fillId="0" borderId="0" xfId="0" applyFont="1" applyAlignment="1">
      <alignment horizontal="center" vertical="center" wrapText="1"/>
    </xf>
    <xf numFmtId="0" fontId="65" fillId="0" borderId="0" xfId="0" applyFont="1" applyAlignment="1">
      <alignment horizontal="center" vertical="center" wrapText="1"/>
    </xf>
    <xf numFmtId="0" fontId="22" fillId="0" borderId="0" xfId="0" applyFont="1" applyAlignment="1">
      <alignment horizontal="center" vertical="center" wrapText="1"/>
    </xf>
    <xf numFmtId="0" fontId="8" fillId="0" borderId="0" xfId="58" applyAlignment="1">
      <alignment horizontal="left" vertical="center" wrapText="1"/>
    </xf>
    <xf numFmtId="0" fontId="19" fillId="0" borderId="0" xfId="58" applyFont="1" applyAlignment="1">
      <alignment horizontal="center" vertical="center" wrapText="1"/>
    </xf>
    <xf numFmtId="0" fontId="81" fillId="0" borderId="0" xfId="58" applyFont="1" applyAlignment="1">
      <alignment horizontal="center" vertical="center" wrapText="1"/>
    </xf>
    <xf numFmtId="0" fontId="47" fillId="0" borderId="0" xfId="58" applyFont="1" applyAlignment="1">
      <alignment horizontal="center" vertical="center" wrapText="1"/>
    </xf>
    <xf numFmtId="0" fontId="86" fillId="0" borderId="0" xfId="58" applyFont="1" applyAlignment="1">
      <alignment horizontal="center" vertical="center" wrapText="1"/>
    </xf>
    <xf numFmtId="0" fontId="64" fillId="28" borderId="0" xfId="3" applyFont="1" applyFill="1" applyAlignment="1">
      <alignment horizontal="center" vertical="center" wrapText="1"/>
    </xf>
    <xf numFmtId="0" fontId="64" fillId="28" borderId="0" xfId="1" applyFont="1" applyFill="1" applyAlignment="1">
      <alignment horizontal="center" vertical="center"/>
    </xf>
    <xf numFmtId="0" fontId="64" fillId="28" borderId="0" xfId="3" applyFont="1" applyFill="1" applyAlignment="1">
      <alignment horizontal="center" vertical="center"/>
    </xf>
    <xf numFmtId="0" fontId="64" fillId="0" borderId="0" xfId="1" applyFont="1" applyAlignment="1">
      <alignment horizontal="center" vertical="center"/>
    </xf>
    <xf numFmtId="0" fontId="130" fillId="28" borderId="44" xfId="1" applyFont="1" applyFill="1" applyBorder="1" applyAlignment="1">
      <alignment horizontal="center" vertical="center"/>
    </xf>
    <xf numFmtId="0" fontId="130" fillId="28" borderId="0" xfId="1" applyFont="1" applyFill="1" applyAlignment="1">
      <alignment horizontal="center" vertical="center"/>
    </xf>
    <xf numFmtId="0" fontId="18" fillId="28" borderId="44" xfId="1" applyFont="1" applyFill="1" applyBorder="1" applyAlignment="1">
      <alignment horizontal="center" vertical="center"/>
    </xf>
    <xf numFmtId="0" fontId="18" fillId="28" borderId="0" xfId="1" applyFont="1" applyFill="1" applyAlignment="1">
      <alignment horizontal="center" vertical="center"/>
    </xf>
    <xf numFmtId="0" fontId="18" fillId="28" borderId="46" xfId="1" applyFont="1" applyFill="1" applyBorder="1" applyAlignment="1">
      <alignment horizontal="center" vertical="center"/>
    </xf>
    <xf numFmtId="0" fontId="76" fillId="0" borderId="0" xfId="61" applyFont="1" applyAlignment="1">
      <alignment horizontal="center" vertical="center" wrapText="1"/>
    </xf>
    <xf numFmtId="0" fontId="15" fillId="0" borderId="0" xfId="0" applyFont="1" applyProtection="1"/>
    <xf numFmtId="0" fontId="63" fillId="0" borderId="0" xfId="0" applyFont="1" applyProtection="1"/>
    <xf numFmtId="0" fontId="85" fillId="0" borderId="0" xfId="3" applyFont="1" applyAlignment="1" applyProtection="1">
      <alignment vertical="center" wrapText="1"/>
    </xf>
    <xf numFmtId="0" fontId="102" fillId="0" borderId="0" xfId="3" applyFont="1" applyAlignment="1" applyProtection="1">
      <alignment horizontal="center" vertical="center" wrapText="1"/>
    </xf>
    <xf numFmtId="0" fontId="81" fillId="0" borderId="0" xfId="3" applyFont="1" applyAlignment="1" applyProtection="1">
      <alignment horizontal="center" vertical="center" wrapText="1"/>
    </xf>
    <xf numFmtId="0" fontId="63" fillId="0" borderId="0" xfId="3" applyFont="1" applyAlignment="1" applyProtection="1">
      <alignment vertical="center" wrapText="1"/>
    </xf>
    <xf numFmtId="0" fontId="73" fillId="0" borderId="0" xfId="0" applyFont="1" applyProtection="1"/>
    <xf numFmtId="0" fontId="16" fillId="0" borderId="0" xfId="0" applyFont="1" applyAlignment="1" applyProtection="1">
      <alignment vertical="center"/>
    </xf>
    <xf numFmtId="0" fontId="15" fillId="0" borderId="0" xfId="2" applyFont="1" applyAlignment="1" applyProtection="1">
      <alignment vertical="center"/>
    </xf>
    <xf numFmtId="0" fontId="21" fillId="0" borderId="0" xfId="2" applyFont="1" applyAlignment="1" applyProtection="1">
      <alignment vertical="center"/>
    </xf>
    <xf numFmtId="164" fontId="21" fillId="0" borderId="0" xfId="3" applyNumberFormat="1" applyFont="1" applyAlignment="1" applyProtection="1">
      <alignment vertical="center"/>
    </xf>
    <xf numFmtId="0" fontId="103" fillId="3" borderId="0" xfId="0" applyFont="1" applyFill="1" applyAlignment="1" applyProtection="1">
      <alignment vertical="center"/>
    </xf>
    <xf numFmtId="0" fontId="107" fillId="3" borderId="0" xfId="2" applyFont="1" applyFill="1" applyAlignment="1" applyProtection="1">
      <alignment horizontal="center" vertical="center"/>
    </xf>
    <xf numFmtId="1" fontId="107" fillId="3" borderId="0" xfId="2" applyNumberFormat="1" applyFont="1" applyFill="1" applyAlignment="1" applyProtection="1">
      <alignment horizontal="center" vertical="center"/>
    </xf>
    <xf numFmtId="0" fontId="77" fillId="0" borderId="15" xfId="1" applyFont="1" applyBorder="1" applyAlignment="1" applyProtection="1">
      <alignment horizontal="left" vertical="center"/>
    </xf>
    <xf numFmtId="167" fontId="77" fillId="0" borderId="15" xfId="0" applyNumberFormat="1" applyFont="1" applyBorder="1" applyAlignment="1" applyProtection="1">
      <alignment horizontal="center" vertical="center"/>
    </xf>
    <xf numFmtId="167" fontId="106" fillId="0" borderId="15" xfId="0" applyNumberFormat="1" applyFont="1" applyBorder="1" applyAlignment="1" applyProtection="1">
      <alignment horizontal="right" vertical="center"/>
    </xf>
    <xf numFmtId="166" fontId="15" fillId="0" borderId="15" xfId="1" applyNumberFormat="1" applyFont="1" applyBorder="1" applyAlignment="1" applyProtection="1">
      <alignment horizontal="center" vertical="center"/>
    </xf>
    <xf numFmtId="0" fontId="21" fillId="0" borderId="0" xfId="0" applyFont="1" applyProtection="1"/>
    <xf numFmtId="164" fontId="15" fillId="0" borderId="15" xfId="0" applyNumberFormat="1" applyFont="1" applyBorder="1" applyAlignment="1" applyProtection="1">
      <alignment horizontal="center" vertical="center"/>
    </xf>
    <xf numFmtId="0" fontId="107" fillId="32" borderId="12" xfId="1" applyFont="1" applyFill="1" applyBorder="1" applyAlignment="1" applyProtection="1">
      <alignment horizontal="center" vertical="center"/>
    </xf>
    <xf numFmtId="167" fontId="107" fillId="32" borderId="0" xfId="3" applyNumberFormat="1" applyFont="1" applyFill="1" applyAlignment="1" applyProtection="1">
      <alignment horizontal="center" vertical="center"/>
    </xf>
    <xf numFmtId="167" fontId="106" fillId="32" borderId="12" xfId="0" applyNumberFormat="1" applyFont="1" applyFill="1" applyBorder="1" applyAlignment="1" applyProtection="1">
      <alignment horizontal="right" vertical="center"/>
    </xf>
    <xf numFmtId="166" fontId="107" fillId="32" borderId="12" xfId="1" applyNumberFormat="1" applyFont="1" applyFill="1" applyBorder="1" applyAlignment="1" applyProtection="1">
      <alignment horizontal="center" vertical="center"/>
    </xf>
    <xf numFmtId="3" fontId="107" fillId="32" borderId="0" xfId="3" applyNumberFormat="1" applyFont="1" applyFill="1" applyAlignment="1" applyProtection="1">
      <alignment horizontal="center" vertical="center"/>
    </xf>
    <xf numFmtId="0" fontId="77" fillId="0" borderId="16" xfId="1" applyFont="1" applyBorder="1" applyAlignment="1" applyProtection="1">
      <alignment horizontal="left" vertical="center"/>
    </xf>
    <xf numFmtId="167" fontId="77" fillId="0" borderId="16" xfId="0" applyNumberFormat="1" applyFont="1" applyBorder="1" applyAlignment="1" applyProtection="1">
      <alignment horizontal="center" vertical="center"/>
    </xf>
    <xf numFmtId="167" fontId="106" fillId="0" borderId="16" xfId="0" applyNumberFormat="1" applyFont="1" applyBorder="1" applyAlignment="1" applyProtection="1">
      <alignment horizontal="right" vertical="center"/>
    </xf>
    <xf numFmtId="166" fontId="15" fillId="0" borderId="16" xfId="1" applyNumberFormat="1" applyFont="1" applyBorder="1" applyAlignment="1" applyProtection="1">
      <alignment horizontal="center" vertical="center"/>
    </xf>
    <xf numFmtId="164" fontId="15" fillId="0" borderId="16" xfId="0" applyNumberFormat="1" applyFont="1" applyBorder="1" applyAlignment="1" applyProtection="1">
      <alignment horizontal="center" vertical="center"/>
    </xf>
    <xf numFmtId="3" fontId="15" fillId="0" borderId="16" xfId="1" applyNumberFormat="1" applyFont="1" applyBorder="1" applyAlignment="1" applyProtection="1">
      <alignment horizontal="center" vertical="center"/>
    </xf>
    <xf numFmtId="0" fontId="98" fillId="0" borderId="0" xfId="0" applyFont="1" applyProtection="1"/>
    <xf numFmtId="164" fontId="15" fillId="0" borderId="0" xfId="0" applyNumberFormat="1" applyFont="1" applyProtection="1"/>
    <xf numFmtId="0" fontId="77" fillId="0" borderId="0" xfId="0" applyFont="1" applyProtection="1"/>
    <xf numFmtId="0" fontId="97" fillId="0" borderId="0" xfId="0" applyFont="1" applyAlignment="1" applyProtection="1">
      <alignment horizontal="center" vertical="center"/>
    </xf>
    <xf numFmtId="0" fontId="63" fillId="0" borderId="0" xfId="0" applyFont="1" applyAlignment="1" applyProtection="1">
      <alignment horizontal="center" vertical="center"/>
    </xf>
    <xf numFmtId="0" fontId="105" fillId="0" borderId="16" xfId="1" applyFont="1" applyBorder="1" applyAlignment="1" applyProtection="1">
      <alignment horizontal="left" vertical="center"/>
    </xf>
    <xf numFmtId="167" fontId="97" fillId="0" borderId="0" xfId="0" applyNumberFormat="1" applyFont="1" applyAlignment="1" applyProtection="1">
      <alignment horizontal="center" vertical="center"/>
    </xf>
    <xf numFmtId="0" fontId="77" fillId="0" borderId="21" xfId="1" applyFont="1" applyBorder="1" applyAlignment="1" applyProtection="1">
      <alignment horizontal="left" vertical="center"/>
    </xf>
    <xf numFmtId="3" fontId="15" fillId="0" borderId="21" xfId="1" applyNumberFormat="1" applyFont="1" applyBorder="1" applyAlignment="1" applyProtection="1">
      <alignment horizontal="center" vertical="center"/>
    </xf>
    <xf numFmtId="167" fontId="106" fillId="0" borderId="21" xfId="0" applyNumberFormat="1" applyFont="1" applyBorder="1" applyAlignment="1" applyProtection="1">
      <alignment horizontal="right" vertical="center"/>
    </xf>
    <xf numFmtId="166" fontId="15" fillId="0" borderId="21" xfId="1" applyNumberFormat="1" applyFont="1" applyBorder="1" applyAlignment="1" applyProtection="1">
      <alignment horizontal="center" vertical="center"/>
    </xf>
    <xf numFmtId="0" fontId="107" fillId="32" borderId="14" xfId="1" applyFont="1" applyFill="1" applyBorder="1" applyAlignment="1" applyProtection="1">
      <alignment horizontal="center" vertical="center"/>
    </xf>
    <xf numFmtId="167" fontId="107" fillId="32" borderId="14" xfId="3" applyNumberFormat="1" applyFont="1" applyFill="1" applyBorder="1" applyAlignment="1" applyProtection="1">
      <alignment horizontal="center" vertical="center"/>
    </xf>
    <xf numFmtId="167" fontId="106" fillId="33" borderId="16" xfId="0" applyNumberFormat="1" applyFont="1" applyFill="1" applyBorder="1" applyAlignment="1" applyProtection="1">
      <alignment horizontal="right" vertical="center"/>
    </xf>
    <xf numFmtId="166" fontId="108" fillId="32" borderId="14" xfId="1" applyNumberFormat="1" applyFont="1" applyFill="1" applyBorder="1" applyAlignment="1" applyProtection="1">
      <alignment horizontal="center" vertical="center"/>
    </xf>
    <xf numFmtId="0" fontId="107" fillId="32" borderId="0" xfId="1" applyFont="1" applyFill="1" applyAlignment="1" applyProtection="1">
      <alignment horizontal="center" vertical="center"/>
    </xf>
    <xf numFmtId="167" fontId="106" fillId="33" borderId="21" xfId="0" applyNumberFormat="1" applyFont="1" applyFill="1" applyBorder="1" applyAlignment="1" applyProtection="1">
      <alignment horizontal="right" vertical="center"/>
    </xf>
    <xf numFmtId="166" fontId="108" fillId="32" borderId="0" xfId="1" applyNumberFormat="1" applyFont="1" applyFill="1" applyAlignment="1" applyProtection="1">
      <alignment horizontal="center" vertical="center"/>
    </xf>
    <xf numFmtId="3" fontId="97" fillId="0" borderId="0" xfId="0" applyNumberFormat="1" applyFont="1" applyAlignment="1" applyProtection="1">
      <alignment horizontal="center" vertical="center"/>
    </xf>
    <xf numFmtId="167" fontId="77" fillId="0" borderId="0" xfId="0" applyNumberFormat="1" applyFont="1" applyProtection="1"/>
    <xf numFmtId="3" fontId="21" fillId="0" borderId="0" xfId="0" applyNumberFormat="1" applyFont="1" applyProtection="1"/>
    <xf numFmtId="0" fontId="71" fillId="0" borderId="0" xfId="0" applyFont="1" applyProtection="1"/>
    <xf numFmtId="3" fontId="71" fillId="0" borderId="0" xfId="0" applyNumberFormat="1" applyFont="1" applyProtection="1"/>
    <xf numFmtId="167" fontId="134" fillId="0" borderId="0" xfId="0" applyNumberFormat="1" applyFont="1" applyProtection="1"/>
    <xf numFmtId="3" fontId="134" fillId="0" borderId="0" xfId="0" applyNumberFormat="1" applyFont="1" applyProtection="1"/>
    <xf numFmtId="166" fontId="15" fillId="0" borderId="0" xfId="45" applyNumberFormat="1" applyFont="1" applyProtection="1"/>
    <xf numFmtId="0" fontId="63" fillId="0" borderId="12" xfId="0" applyFont="1" applyBorder="1" applyAlignment="1" applyProtection="1">
      <alignment vertical="center"/>
    </xf>
    <xf numFmtId="0" fontId="63" fillId="0" borderId="12" xfId="2" applyFont="1" applyBorder="1" applyAlignment="1" applyProtection="1">
      <alignment horizontal="center" vertical="center"/>
    </xf>
    <xf numFmtId="1" fontId="63" fillId="0" borderId="12" xfId="2" applyNumberFormat="1" applyFont="1" applyBorder="1" applyAlignment="1" applyProtection="1">
      <alignment horizontal="center" vertical="center"/>
    </xf>
    <xf numFmtId="0" fontId="63" fillId="0" borderId="13" xfId="1" applyFont="1" applyBorder="1" applyAlignment="1" applyProtection="1">
      <alignment horizontal="left" vertical="center"/>
    </xf>
    <xf numFmtId="167" fontId="63" fillId="0" borderId="13" xfId="0" applyNumberFormat="1" applyFont="1" applyBorder="1" applyAlignment="1" applyProtection="1">
      <alignment vertical="center"/>
    </xf>
    <xf numFmtId="167" fontId="99" fillId="0" borderId="13" xfId="0" applyNumberFormat="1" applyFont="1" applyBorder="1" applyAlignment="1" applyProtection="1">
      <alignment horizontal="right" vertical="center"/>
    </xf>
    <xf numFmtId="166" fontId="63" fillId="0" borderId="13" xfId="1" applyNumberFormat="1" applyFont="1" applyBorder="1" applyAlignment="1" applyProtection="1">
      <alignment horizontal="center" vertical="center"/>
    </xf>
    <xf numFmtId="3" fontId="63" fillId="0" borderId="13" xfId="1" applyNumberFormat="1" applyFont="1" applyBorder="1" applyAlignment="1" applyProtection="1">
      <alignment vertical="center"/>
    </xf>
    <xf numFmtId="167" fontId="63" fillId="0" borderId="13" xfId="1" applyNumberFormat="1" applyFont="1" applyBorder="1" applyAlignment="1" applyProtection="1">
      <alignment vertical="center"/>
    </xf>
    <xf numFmtId="3" fontId="97" fillId="0" borderId="13" xfId="1" applyNumberFormat="1" applyFont="1" applyBorder="1" applyAlignment="1" applyProtection="1">
      <alignment vertical="center"/>
    </xf>
    <xf numFmtId="0" fontId="81" fillId="0" borderId="14" xfId="1" applyFont="1" applyBorder="1" applyAlignment="1" applyProtection="1">
      <alignment horizontal="center" vertical="center"/>
    </xf>
    <xf numFmtId="167" fontId="63" fillId="0" borderId="14" xfId="3" applyNumberFormat="1" applyFont="1" applyBorder="1" applyAlignment="1" applyProtection="1">
      <alignment vertical="center"/>
    </xf>
    <xf numFmtId="167" fontId="99" fillId="0" borderId="14" xfId="0" applyNumberFormat="1" applyFont="1" applyBorder="1" applyAlignment="1" applyProtection="1">
      <alignment horizontal="right" vertical="center"/>
    </xf>
    <xf numFmtId="166" fontId="63" fillId="0" borderId="14" xfId="1" applyNumberFormat="1" applyFont="1" applyBorder="1" applyAlignment="1" applyProtection="1">
      <alignment horizontal="center" vertical="center"/>
    </xf>
    <xf numFmtId="164" fontId="81" fillId="0" borderId="14" xfId="3" applyNumberFormat="1" applyFont="1" applyBorder="1" applyAlignment="1" applyProtection="1">
      <alignment vertical="center"/>
    </xf>
    <xf numFmtId="167" fontId="100" fillId="0" borderId="14" xfId="0" applyNumberFormat="1" applyFont="1" applyBorder="1" applyAlignment="1" applyProtection="1">
      <alignment horizontal="center" vertical="center"/>
    </xf>
    <xf numFmtId="166" fontId="81" fillId="0" borderId="14" xfId="1" applyNumberFormat="1" applyFont="1" applyBorder="1" applyAlignment="1" applyProtection="1">
      <alignment horizontal="center" vertical="center"/>
    </xf>
    <xf numFmtId="167" fontId="81" fillId="0" borderId="14" xfId="0" applyNumberFormat="1" applyFont="1" applyBorder="1" applyAlignment="1" applyProtection="1">
      <alignment vertical="center"/>
    </xf>
    <xf numFmtId="167" fontId="100" fillId="0" borderId="14" xfId="0" applyNumberFormat="1" applyFont="1" applyBorder="1" applyAlignment="1" applyProtection="1">
      <alignment horizontal="right" vertical="center"/>
    </xf>
    <xf numFmtId="3" fontId="81" fillId="0" borderId="14" xfId="1" applyNumberFormat="1" applyFont="1" applyBorder="1" applyAlignment="1" applyProtection="1">
      <alignment vertical="center"/>
    </xf>
    <xf numFmtId="164" fontId="81" fillId="0" borderId="14" xfId="0" applyNumberFormat="1" applyFont="1" applyBorder="1" applyAlignment="1" applyProtection="1">
      <alignment vertical="center"/>
    </xf>
    <xf numFmtId="167" fontId="15" fillId="0" borderId="0" xfId="0" applyNumberFormat="1" applyFont="1" applyProtection="1"/>
    <xf numFmtId="0" fontId="80" fillId="0" borderId="0" xfId="0" applyFont="1" applyProtection="1"/>
    <xf numFmtId="0" fontId="101" fillId="0" borderId="0" xfId="2" applyFont="1" applyAlignment="1" applyProtection="1">
      <alignment horizontal="center" vertical="center" wrapText="1"/>
    </xf>
    <xf numFmtId="0" fontId="81" fillId="0" borderId="0" xfId="2" applyFont="1" applyAlignment="1" applyProtection="1">
      <alignment horizontal="center" vertical="center"/>
    </xf>
    <xf numFmtId="0" fontId="114" fillId="0" borderId="0" xfId="0" applyFont="1" applyProtection="1"/>
    <xf numFmtId="0" fontId="19" fillId="0" borderId="0" xfId="2" applyFont="1" applyAlignment="1" applyProtection="1">
      <alignment horizontal="center" vertical="center"/>
    </xf>
    <xf numFmtId="0" fontId="19" fillId="0" borderId="0" xfId="0" applyFont="1" applyAlignment="1" applyProtection="1">
      <alignment horizontal="center" vertical="center"/>
    </xf>
    <xf numFmtId="3" fontId="19" fillId="0" borderId="0" xfId="2" applyNumberFormat="1" applyFont="1" applyAlignment="1" applyProtection="1">
      <alignment horizontal="center" vertical="center"/>
    </xf>
    <xf numFmtId="0" fontId="120" fillId="3" borderId="0" xfId="2" applyFont="1" applyFill="1" applyAlignment="1" applyProtection="1">
      <alignment horizontal="center" vertical="center"/>
    </xf>
    <xf numFmtId="0" fontId="121" fillId="3" borderId="0" xfId="2" applyFont="1" applyFill="1" applyAlignment="1" applyProtection="1">
      <alignment horizontal="left" vertical="center" wrapText="1"/>
    </xf>
    <xf numFmtId="0" fontId="121" fillId="3" borderId="0" xfId="2" applyFont="1" applyFill="1" applyAlignment="1" applyProtection="1">
      <alignment horizontal="center" vertical="center" wrapText="1"/>
    </xf>
    <xf numFmtId="0" fontId="121" fillId="3" borderId="0" xfId="0" applyFont="1" applyFill="1" applyAlignment="1" applyProtection="1">
      <alignment horizontal="center" vertical="center" wrapText="1"/>
    </xf>
    <xf numFmtId="4" fontId="121" fillId="3" borderId="0" xfId="2" applyNumberFormat="1" applyFont="1" applyFill="1" applyAlignment="1" applyProtection="1">
      <alignment horizontal="center" vertical="center" wrapText="1"/>
    </xf>
    <xf numFmtId="3" fontId="121" fillId="3" borderId="0" xfId="2" applyNumberFormat="1" applyFont="1" applyFill="1" applyAlignment="1" applyProtection="1">
      <alignment horizontal="center" vertical="center" wrapText="1"/>
    </xf>
    <xf numFmtId="0" fontId="19" fillId="0" borderId="15" xfId="2" applyFont="1" applyBorder="1" applyAlignment="1" applyProtection="1">
      <alignment horizontal="center" vertical="center"/>
    </xf>
    <xf numFmtId="0" fontId="113" fillId="0" borderId="15" xfId="0" applyFont="1" applyBorder="1" applyAlignment="1" applyProtection="1">
      <alignment horizontal="left" vertical="center" wrapText="1"/>
    </xf>
    <xf numFmtId="0" fontId="19" fillId="0" borderId="15" xfId="0" applyFont="1" applyBorder="1" applyAlignment="1" applyProtection="1">
      <alignment horizontal="left" vertical="center" wrapText="1"/>
    </xf>
    <xf numFmtId="0" fontId="19" fillId="0" borderId="15" xfId="0" applyFont="1" applyBorder="1" applyAlignment="1" applyProtection="1">
      <alignment horizontal="center" vertical="center" wrapText="1"/>
    </xf>
    <xf numFmtId="14" fontId="19" fillId="0" borderId="15" xfId="0" applyNumberFormat="1" applyFont="1" applyBorder="1" applyAlignment="1" applyProtection="1">
      <alignment horizontal="left" vertical="center" wrapText="1"/>
    </xf>
    <xf numFmtId="168" fontId="19" fillId="0" borderId="15" xfId="0" applyNumberFormat="1" applyFont="1" applyBorder="1" applyAlignment="1" applyProtection="1">
      <alignment horizontal="center" vertical="center" wrapText="1"/>
    </xf>
    <xf numFmtId="3" fontId="19" fillId="0" borderId="15" xfId="0" applyNumberFormat="1" applyFont="1" applyBorder="1" applyAlignment="1" applyProtection="1">
      <alignment horizontal="right" vertical="center" indent="3"/>
    </xf>
    <xf numFmtId="167" fontId="19" fillId="0" borderId="15" xfId="0" applyNumberFormat="1" applyFont="1" applyBorder="1" applyAlignment="1" applyProtection="1">
      <alignment vertical="center"/>
    </xf>
    <xf numFmtId="0" fontId="19" fillId="0" borderId="16" xfId="2" applyFont="1" applyBorder="1" applyAlignment="1" applyProtection="1">
      <alignment horizontal="center" vertical="center"/>
    </xf>
    <xf numFmtId="0" fontId="19" fillId="0" borderId="16" xfId="0" applyFont="1" applyBorder="1" applyAlignment="1" applyProtection="1">
      <alignment horizontal="center" vertical="center" wrapText="1"/>
    </xf>
    <xf numFmtId="14" fontId="19" fillId="0" borderId="16" xfId="0" applyNumberFormat="1" applyFont="1" applyBorder="1" applyAlignment="1" applyProtection="1">
      <alignment horizontal="left" vertical="center" wrapText="1"/>
    </xf>
    <xf numFmtId="168" fontId="19" fillId="0" borderId="16" xfId="0" applyNumberFormat="1" applyFont="1" applyBorder="1" applyAlignment="1" applyProtection="1">
      <alignment horizontal="center" vertical="center" wrapText="1"/>
    </xf>
    <xf numFmtId="3" fontId="19" fillId="0" borderId="16" xfId="0" applyNumberFormat="1" applyFont="1" applyBorder="1" applyAlignment="1" applyProtection="1">
      <alignment horizontal="right" vertical="center" indent="3"/>
    </xf>
    <xf numFmtId="167" fontId="19" fillId="0" borderId="16" xfId="0" applyNumberFormat="1" applyFont="1" applyBorder="1" applyAlignment="1" applyProtection="1">
      <alignment vertical="center"/>
    </xf>
    <xf numFmtId="14" fontId="77" fillId="0" borderId="0" xfId="0" applyNumberFormat="1" applyFont="1" applyProtection="1"/>
    <xf numFmtId="0" fontId="78" fillId="0" borderId="0" xfId="2" applyFont="1" applyAlignment="1" applyProtection="1">
      <alignment horizontal="center" vertical="center"/>
    </xf>
    <xf numFmtId="0" fontId="78" fillId="0" borderId="0" xfId="0" applyFont="1" applyAlignment="1" applyProtection="1">
      <alignment horizontal="left" vertical="center" wrapText="1"/>
    </xf>
    <xf numFmtId="168" fontId="78" fillId="0" borderId="0" xfId="0" applyNumberFormat="1" applyFont="1" applyAlignment="1" applyProtection="1">
      <alignment horizontal="center" vertical="center" wrapText="1"/>
    </xf>
    <xf numFmtId="3" fontId="78" fillId="0" borderId="0" xfId="0" applyNumberFormat="1" applyFont="1" applyAlignment="1" applyProtection="1">
      <alignment horizontal="right" vertical="center" indent="1"/>
    </xf>
    <xf numFmtId="167" fontId="78" fillId="0" borderId="0" xfId="0" applyNumberFormat="1" applyFont="1" applyAlignment="1" applyProtection="1">
      <alignment horizontal="right" vertical="center" indent="1"/>
    </xf>
    <xf numFmtId="0" fontId="78" fillId="0" borderId="0" xfId="2" applyFont="1" applyAlignment="1" applyProtection="1">
      <alignment horizontal="left" vertical="center" wrapText="1"/>
    </xf>
    <xf numFmtId="0" fontId="78" fillId="0" borderId="0" xfId="2" applyFont="1" applyAlignment="1" applyProtection="1">
      <alignment horizontal="left" vertical="center"/>
    </xf>
    <xf numFmtId="14" fontId="78" fillId="0" borderId="0" xfId="2" applyNumberFormat="1" applyFont="1" applyAlignment="1" applyProtection="1">
      <alignment horizontal="center" vertical="center"/>
    </xf>
    <xf numFmtId="3" fontId="78" fillId="0" borderId="0" xfId="2" applyNumberFormat="1" applyFont="1" applyAlignment="1" applyProtection="1">
      <alignment horizontal="right" vertical="center" indent="1"/>
    </xf>
    <xf numFmtId="167" fontId="78" fillId="0" borderId="0" xfId="2" applyNumberFormat="1" applyFont="1" applyAlignment="1" applyProtection="1">
      <alignment horizontal="right" vertical="center" indent="1"/>
    </xf>
    <xf numFmtId="0" fontId="104" fillId="0" borderId="0" xfId="0" applyFont="1" applyProtection="1"/>
    <xf numFmtId="0" fontId="102" fillId="0" borderId="0" xfId="2" applyFont="1" applyAlignment="1" applyProtection="1">
      <alignment horizontal="center" vertical="center" wrapText="1"/>
    </xf>
    <xf numFmtId="0" fontId="81" fillId="0" borderId="0" xfId="2" applyFont="1" applyAlignment="1" applyProtection="1">
      <alignment horizontal="center" vertical="center" wrapText="1"/>
    </xf>
    <xf numFmtId="4" fontId="19" fillId="0" borderId="0" xfId="2" applyNumberFormat="1" applyFont="1" applyAlignment="1" applyProtection="1">
      <alignment horizontal="center" vertical="center"/>
    </xf>
    <xf numFmtId="0" fontId="121" fillId="3" borderId="0" xfId="2" applyFont="1" applyFill="1" applyAlignment="1" applyProtection="1">
      <alignment horizontal="center" vertical="center"/>
    </xf>
    <xf numFmtId="0" fontId="19" fillId="0" borderId="15" xfId="2" applyFont="1" applyBorder="1" applyAlignment="1" applyProtection="1">
      <alignment vertical="center" wrapText="1"/>
    </xf>
    <xf numFmtId="0" fontId="19" fillId="0" borderId="15" xfId="2" applyFont="1" applyBorder="1" applyAlignment="1" applyProtection="1">
      <alignment horizontal="center" vertical="center" wrapText="1"/>
    </xf>
    <xf numFmtId="14" fontId="19" fillId="0" borderId="15" xfId="2" applyNumberFormat="1" applyFont="1" applyBorder="1" applyAlignment="1" applyProtection="1">
      <alignment horizontal="center" vertical="center"/>
    </xf>
    <xf numFmtId="3" fontId="19" fillId="0" borderId="15" xfId="2" applyNumberFormat="1" applyFont="1" applyBorder="1" applyAlignment="1" applyProtection="1">
      <alignment horizontal="right" vertical="center" indent="2"/>
    </xf>
    <xf numFmtId="0" fontId="78" fillId="0" borderId="21" xfId="2" applyFont="1" applyBorder="1" applyAlignment="1" applyProtection="1">
      <alignment horizontal="left" vertical="center"/>
    </xf>
    <xf numFmtId="0" fontId="78" fillId="0" borderId="0" xfId="2" applyFont="1" applyAlignment="1" applyProtection="1">
      <alignment vertical="center" wrapText="1"/>
    </xf>
    <xf numFmtId="0" fontId="57" fillId="0" borderId="0" xfId="0" applyFont="1" applyProtection="1"/>
    <xf numFmtId="0" fontId="64" fillId="0" borderId="0" xfId="2" applyFont="1" applyAlignment="1" applyProtection="1">
      <alignment horizontal="center" vertical="center"/>
    </xf>
    <xf numFmtId="0" fontId="18" fillId="0" borderId="0" xfId="2" applyFont="1" applyAlignment="1" applyProtection="1">
      <alignment vertical="center" wrapText="1"/>
    </xf>
    <xf numFmtId="0" fontId="18" fillId="0" borderId="0" xfId="2" applyFont="1" applyAlignment="1" applyProtection="1">
      <alignment horizontal="left" vertical="center" wrapText="1"/>
    </xf>
    <xf numFmtId="0" fontId="18" fillId="0" borderId="0" xfId="2" applyFont="1" applyAlignment="1" applyProtection="1">
      <alignment horizontal="left" vertical="center"/>
    </xf>
    <xf numFmtId="14" fontId="18" fillId="0" borderId="0" xfId="2" applyNumberFormat="1" applyFont="1" applyAlignment="1" applyProtection="1">
      <alignment horizontal="center" vertical="center"/>
    </xf>
    <xf numFmtId="3" fontId="18" fillId="0" borderId="0" xfId="2" applyNumberFormat="1" applyFont="1" applyAlignment="1" applyProtection="1">
      <alignment horizontal="right" vertical="center" indent="1"/>
    </xf>
    <xf numFmtId="0" fontId="17" fillId="0" borderId="15" xfId="2" applyFont="1" applyBorder="1" applyAlignment="1" applyProtection="1">
      <alignment horizontal="center" vertical="center"/>
    </xf>
    <xf numFmtId="0" fontId="53" fillId="0" borderId="15" xfId="2" applyFont="1" applyBorder="1" applyAlignment="1" applyProtection="1">
      <alignment horizontal="left" vertical="center" wrapText="1"/>
    </xf>
    <xf numFmtId="0" fontId="53" fillId="0" borderId="15" xfId="2" applyFont="1" applyBorder="1" applyAlignment="1" applyProtection="1">
      <alignment horizontal="center" vertical="center" wrapText="1"/>
    </xf>
    <xf numFmtId="0" fontId="53" fillId="0" borderId="15" xfId="0" applyFont="1" applyBorder="1" applyAlignment="1" applyProtection="1">
      <alignment horizontal="center" vertical="center" wrapText="1"/>
    </xf>
    <xf numFmtId="4" fontId="53" fillId="0" borderId="15" xfId="2" applyNumberFormat="1" applyFont="1" applyBorder="1" applyAlignment="1" applyProtection="1">
      <alignment horizontal="center" vertical="center" wrapText="1"/>
    </xf>
    <xf numFmtId="3" fontId="53" fillId="0" borderId="15" xfId="2" applyNumberFormat="1" applyFont="1" applyBorder="1" applyAlignment="1" applyProtection="1">
      <alignment horizontal="center" vertical="center" wrapText="1"/>
    </xf>
    <xf numFmtId="0" fontId="16" fillId="0" borderId="16" xfId="2" applyFont="1" applyBorder="1" applyAlignment="1" applyProtection="1">
      <alignment horizontal="center" vertical="center"/>
    </xf>
    <xf numFmtId="0" fontId="16" fillId="0" borderId="16" xfId="2" applyFont="1" applyBorder="1" applyAlignment="1" applyProtection="1">
      <alignment vertical="center" wrapText="1"/>
    </xf>
    <xf numFmtId="0" fontId="16" fillId="0" borderId="16" xfId="2" applyFont="1" applyBorder="1" applyAlignment="1" applyProtection="1">
      <alignment horizontal="left" vertical="center" wrapText="1"/>
    </xf>
    <xf numFmtId="14" fontId="16" fillId="0" borderId="16" xfId="2" applyNumberFormat="1" applyFont="1" applyBorder="1" applyAlignment="1" applyProtection="1">
      <alignment horizontal="center" vertical="center"/>
    </xf>
    <xf numFmtId="3" fontId="16" fillId="0" borderId="16" xfId="2" applyNumberFormat="1" applyFont="1" applyBorder="1" applyAlignment="1" applyProtection="1">
      <alignment horizontal="right" vertical="center" indent="2"/>
    </xf>
    <xf numFmtId="167" fontId="16" fillId="0" borderId="16" xfId="0" applyNumberFormat="1" applyFont="1" applyBorder="1" applyAlignment="1" applyProtection="1">
      <alignment vertical="center"/>
    </xf>
    <xf numFmtId="14" fontId="16" fillId="0" borderId="16" xfId="2" quotePrefix="1" applyNumberFormat="1" applyFont="1" applyBorder="1" applyAlignment="1" applyProtection="1">
      <alignment horizontal="center" vertical="center"/>
    </xf>
    <xf numFmtId="0" fontId="16" fillId="0" borderId="16" xfId="2" quotePrefix="1" applyFont="1" applyBorder="1" applyAlignment="1" applyProtection="1">
      <alignment horizontal="left" vertical="center" wrapText="1"/>
    </xf>
    <xf numFmtId="14" fontId="16" fillId="0" borderId="16" xfId="2" applyNumberFormat="1" applyFont="1" applyBorder="1" applyAlignment="1" applyProtection="1">
      <alignment horizontal="left" vertical="center" wrapText="1"/>
    </xf>
    <xf numFmtId="0" fontId="16" fillId="0" borderId="16" xfId="2" applyFont="1" applyBorder="1" applyAlignment="1" applyProtection="1">
      <alignment horizontal="center" vertical="center" wrapText="1"/>
    </xf>
    <xf numFmtId="0" fontId="77" fillId="0" borderId="0" xfId="2" applyFont="1" applyAlignment="1" applyProtection="1">
      <alignment horizontal="center"/>
    </xf>
    <xf numFmtId="0" fontId="77" fillId="0" borderId="0" xfId="2" applyFont="1" applyProtection="1"/>
    <xf numFmtId="0" fontId="80" fillId="0" borderId="0" xfId="2" applyFont="1" applyProtection="1"/>
    <xf numFmtId="0" fontId="81" fillId="0" borderId="0" xfId="3" applyFont="1" applyAlignment="1" applyProtection="1">
      <alignment horizontal="center" vertical="center"/>
    </xf>
    <xf numFmtId="0" fontId="19" fillId="0" borderId="0" xfId="2" applyFont="1" applyProtection="1"/>
    <xf numFmtId="0" fontId="19" fillId="0" borderId="0" xfId="2" applyFont="1" applyAlignment="1" applyProtection="1">
      <alignment vertical="center"/>
    </xf>
    <xf numFmtId="0" fontId="121" fillId="3" borderId="0" xfId="2" applyFont="1" applyFill="1" applyAlignment="1" applyProtection="1">
      <alignment horizontal="left" vertical="center" wrapText="1"/>
    </xf>
    <xf numFmtId="0" fontId="121" fillId="3" borderId="0" xfId="2" applyFont="1" applyFill="1" applyAlignment="1" applyProtection="1">
      <alignment horizontal="center" vertical="center" wrapText="1"/>
    </xf>
    <xf numFmtId="1" fontId="120" fillId="3" borderId="0" xfId="2" applyNumberFormat="1" applyFont="1" applyFill="1" applyAlignment="1" applyProtection="1">
      <alignment horizontal="center" vertical="center"/>
    </xf>
    <xf numFmtId="0" fontId="120" fillId="3" borderId="0" xfId="2" applyFont="1" applyFill="1" applyAlignment="1" applyProtection="1">
      <alignment horizontal="center" vertical="center" wrapText="1"/>
    </xf>
    <xf numFmtId="0" fontId="19" fillId="0" borderId="18" xfId="2" applyFont="1" applyBorder="1" applyAlignment="1" applyProtection="1">
      <alignment horizontal="left" vertical="center" wrapText="1"/>
    </xf>
    <xf numFmtId="0" fontId="19" fillId="0" borderId="18" xfId="2" applyFont="1" applyBorder="1" applyAlignment="1" applyProtection="1">
      <alignment horizontal="center" vertical="center" wrapText="1"/>
    </xf>
    <xf numFmtId="167" fontId="119" fillId="0" borderId="18" xfId="0" applyNumberFormat="1" applyFont="1" applyBorder="1" applyAlignment="1" applyProtection="1">
      <alignment horizontal="right" vertical="center"/>
    </xf>
    <xf numFmtId="166" fontId="19" fillId="0" borderId="18" xfId="1" applyNumberFormat="1" applyFont="1" applyBorder="1" applyAlignment="1" applyProtection="1">
      <alignment horizontal="center" vertical="center"/>
    </xf>
    <xf numFmtId="166" fontId="19" fillId="0" borderId="28" xfId="1" applyNumberFormat="1" applyFont="1" applyBorder="1" applyAlignment="1" applyProtection="1">
      <alignment horizontal="center" vertical="center"/>
    </xf>
    <xf numFmtId="166" fontId="19" fillId="0" borderId="18" xfId="4" applyNumberFormat="1" applyFont="1" applyBorder="1" applyAlignment="1" applyProtection="1">
      <alignment horizontal="center" vertical="center" wrapText="1"/>
    </xf>
    <xf numFmtId="167" fontId="119" fillId="0" borderId="19" xfId="0" applyNumberFormat="1" applyFont="1" applyBorder="1" applyAlignment="1" applyProtection="1">
      <alignment horizontal="right" vertical="center"/>
    </xf>
    <xf numFmtId="0" fontId="19" fillId="0" borderId="43" xfId="2" applyFont="1" applyBorder="1" applyAlignment="1" applyProtection="1">
      <alignment horizontal="left" vertical="center" wrapText="1"/>
    </xf>
    <xf numFmtId="0" fontId="19" fillId="0" borderId="0" xfId="2" applyFont="1" applyAlignment="1" applyProtection="1">
      <alignment horizontal="center" vertical="center" wrapText="1"/>
    </xf>
    <xf numFmtId="166" fontId="19" fillId="0" borderId="0" xfId="1" applyNumberFormat="1" applyFont="1" applyAlignment="1" applyProtection="1">
      <alignment horizontal="center" vertical="center"/>
    </xf>
    <xf numFmtId="166" fontId="19" fillId="0" borderId="27" xfId="1" applyNumberFormat="1" applyFont="1" applyBorder="1" applyAlignment="1" applyProtection="1">
      <alignment horizontal="center" vertical="center"/>
    </xf>
    <xf numFmtId="167" fontId="119" fillId="0" borderId="20" xfId="0" applyNumberFormat="1" applyFont="1" applyBorder="1" applyAlignment="1" applyProtection="1">
      <alignment horizontal="right" vertical="center"/>
    </xf>
    <xf numFmtId="166" fontId="19" fillId="0" borderId="0" xfId="4" applyNumberFormat="1" applyFont="1" applyAlignment="1" applyProtection="1">
      <alignment horizontal="center" vertical="center" wrapText="1"/>
    </xf>
    <xf numFmtId="0" fontId="120" fillId="32" borderId="0" xfId="2" applyFont="1" applyFill="1" applyAlignment="1" applyProtection="1">
      <alignment horizontal="center" vertical="center" wrapText="1"/>
    </xf>
    <xf numFmtId="167" fontId="122" fillId="32" borderId="0" xfId="0" applyNumberFormat="1" applyFont="1" applyFill="1" applyAlignment="1" applyProtection="1">
      <alignment horizontal="right" vertical="center"/>
    </xf>
    <xf numFmtId="166" fontId="120" fillId="32" borderId="0" xfId="4" applyNumberFormat="1" applyFont="1" applyFill="1" applyAlignment="1" applyProtection="1">
      <alignment horizontal="center" vertical="center" wrapText="1"/>
    </xf>
    <xf numFmtId="166" fontId="121" fillId="32" borderId="0" xfId="1" applyNumberFormat="1" applyFont="1" applyFill="1" applyAlignment="1" applyProtection="1">
      <alignment horizontal="center" vertical="center"/>
    </xf>
    <xf numFmtId="3" fontId="120" fillId="32" borderId="0" xfId="2" applyNumberFormat="1" applyFont="1" applyFill="1" applyAlignment="1" applyProtection="1">
      <alignment horizontal="center" vertical="center" wrapText="1"/>
    </xf>
    <xf numFmtId="0" fontId="77" fillId="0" borderId="0" xfId="2" applyFont="1" applyAlignment="1" applyProtection="1">
      <alignment horizontal="center"/>
    </xf>
    <xf numFmtId="0" fontId="78" fillId="0" borderId="0" xfId="2" applyFont="1" applyAlignment="1" applyProtection="1">
      <alignment horizontal="left"/>
    </xf>
    <xf numFmtId="3" fontId="77" fillId="0" borderId="0" xfId="2" applyNumberFormat="1" applyFont="1" applyProtection="1"/>
    <xf numFmtId="3" fontId="77" fillId="0" borderId="0" xfId="2" applyNumberFormat="1" applyFont="1" applyAlignment="1" applyProtection="1">
      <alignment horizontal="center"/>
    </xf>
    <xf numFmtId="10" fontId="77" fillId="0" borderId="0" xfId="2" applyNumberFormat="1" applyFont="1" applyProtection="1"/>
    <xf numFmtId="0" fontId="78" fillId="0" borderId="0" xfId="2" applyFont="1" applyProtection="1"/>
    <xf numFmtId="0" fontId="78" fillId="0" borderId="0" xfId="2" applyFont="1" applyAlignment="1" applyProtection="1">
      <alignment horizontal="center"/>
    </xf>
    <xf numFmtId="3" fontId="78" fillId="0" borderId="0" xfId="2" applyNumberFormat="1" applyFont="1" applyAlignment="1" applyProtection="1">
      <alignment horizontal="center"/>
    </xf>
    <xf numFmtId="0" fontId="19" fillId="0" borderId="0" xfId="2" applyFont="1" applyAlignment="1" applyProtection="1">
      <alignment horizontal="left" vertical="center" wrapText="1"/>
    </xf>
    <xf numFmtId="0" fontId="19" fillId="0" borderId="0" xfId="2" applyFont="1" applyAlignment="1" applyProtection="1">
      <alignment horizontal="center" vertical="center" wrapText="1"/>
    </xf>
    <xf numFmtId="0" fontId="19" fillId="0" borderId="27" xfId="2" applyFont="1" applyBorder="1" applyAlignment="1" applyProtection="1">
      <alignment horizontal="center" vertical="center" wrapText="1"/>
    </xf>
    <xf numFmtId="0" fontId="19" fillId="0" borderId="18" xfId="2" applyFont="1" applyBorder="1" applyAlignment="1" applyProtection="1">
      <alignment horizontal="left" vertical="center" wrapText="1"/>
    </xf>
    <xf numFmtId="1" fontId="19" fillId="0" borderId="18" xfId="2" applyNumberFormat="1" applyFont="1" applyBorder="1" applyAlignment="1" applyProtection="1">
      <alignment horizontal="center" vertical="center"/>
    </xf>
    <xf numFmtId="0" fontId="19" fillId="0" borderId="28" xfId="2" applyFont="1" applyBorder="1" applyAlignment="1" applyProtection="1">
      <alignment horizontal="center" vertical="center" wrapText="1"/>
    </xf>
    <xf numFmtId="167" fontId="115" fillId="0" borderId="20" xfId="0" applyNumberFormat="1" applyFont="1" applyBorder="1" applyAlignment="1" applyProtection="1">
      <alignment horizontal="right" vertical="center"/>
    </xf>
    <xf numFmtId="3" fontId="19" fillId="0" borderId="18" xfId="2" applyNumberFormat="1" applyFont="1" applyBorder="1" applyAlignment="1" applyProtection="1">
      <alignment horizontal="center" vertical="center" wrapText="1"/>
    </xf>
    <xf numFmtId="167" fontId="115" fillId="0" borderId="18" xfId="0" applyNumberFormat="1" applyFont="1" applyBorder="1" applyAlignment="1" applyProtection="1">
      <alignment horizontal="right" vertical="center"/>
    </xf>
    <xf numFmtId="0" fontId="19" fillId="0" borderId="19" xfId="2" applyFont="1" applyBorder="1" applyAlignment="1" applyProtection="1">
      <alignment horizontal="left" vertical="center" wrapText="1"/>
    </xf>
    <xf numFmtId="0" fontId="19" fillId="0" borderId="19" xfId="2" applyFont="1" applyBorder="1" applyAlignment="1" applyProtection="1">
      <alignment horizontal="center" vertical="center" wrapText="1"/>
    </xf>
    <xf numFmtId="166" fontId="19" fillId="0" borderId="19" xfId="1" applyNumberFormat="1" applyFont="1" applyBorder="1" applyAlignment="1" applyProtection="1">
      <alignment horizontal="center" vertical="center"/>
    </xf>
    <xf numFmtId="166" fontId="19" fillId="0" borderId="29" xfId="1" applyNumberFormat="1" applyFont="1" applyBorder="1" applyAlignment="1" applyProtection="1">
      <alignment horizontal="center" vertical="center"/>
    </xf>
    <xf numFmtId="3" fontId="19" fillId="0" borderId="19" xfId="2" applyNumberFormat="1" applyFont="1" applyBorder="1" applyAlignment="1" applyProtection="1">
      <alignment horizontal="center" vertical="center" wrapText="1"/>
    </xf>
    <xf numFmtId="0" fontId="19" fillId="0" borderId="18" xfId="2" quotePrefix="1" applyFont="1" applyBorder="1" applyAlignment="1" applyProtection="1">
      <alignment horizontal="center" vertical="center" wrapText="1"/>
    </xf>
    <xf numFmtId="0" fontId="19" fillId="0" borderId="41" xfId="2" applyFont="1" applyBorder="1" applyAlignment="1" applyProtection="1">
      <alignment horizontal="left" vertical="center" wrapText="1"/>
    </xf>
    <xf numFmtId="167" fontId="115" fillId="0" borderId="26" xfId="0" applyNumberFormat="1" applyFont="1" applyBorder="1" applyAlignment="1" applyProtection="1">
      <alignment horizontal="right" vertical="center"/>
    </xf>
    <xf numFmtId="167" fontId="115" fillId="0" borderId="0" xfId="0" applyNumberFormat="1" applyFont="1" applyAlignment="1" applyProtection="1">
      <alignment horizontal="right" vertical="center"/>
    </xf>
    <xf numFmtId="3" fontId="19" fillId="0" borderId="0" xfId="2" applyNumberFormat="1" applyFont="1" applyAlignment="1" applyProtection="1">
      <alignment horizontal="center" vertical="center" wrapText="1"/>
    </xf>
    <xf numFmtId="0" fontId="79" fillId="0" borderId="0" xfId="2" applyFont="1" applyAlignment="1" applyProtection="1">
      <alignment vertical="center"/>
    </xf>
    <xf numFmtId="0" fontId="79" fillId="0" borderId="0" xfId="2" applyFont="1" applyProtection="1"/>
    <xf numFmtId="0" fontId="80" fillId="0" borderId="0" xfId="2" applyFont="1" applyAlignment="1" applyProtection="1">
      <alignment vertical="center"/>
    </xf>
    <xf numFmtId="0" fontId="5" fillId="0" borderId="0" xfId="3" applyFont="1" applyAlignment="1" applyProtection="1">
      <alignment vertical="center"/>
    </xf>
    <xf numFmtId="0" fontId="5" fillId="0" borderId="0" xfId="3" applyFont="1" applyAlignment="1" applyProtection="1">
      <alignment vertical="center" wrapText="1"/>
    </xf>
    <xf numFmtId="0" fontId="77" fillId="0" borderId="0" xfId="2" applyFont="1" applyAlignment="1" applyProtection="1">
      <alignment horizontal="center" vertical="center"/>
    </xf>
    <xf numFmtId="0" fontId="77" fillId="0" borderId="0" xfId="2" applyFont="1" applyAlignment="1" applyProtection="1">
      <alignment vertical="center"/>
    </xf>
    <xf numFmtId="0" fontId="121" fillId="3" borderId="0" xfId="2" applyFont="1" applyFill="1" applyAlignment="1" applyProtection="1">
      <alignment vertical="center" wrapText="1"/>
    </xf>
    <xf numFmtId="1" fontId="120" fillId="3" borderId="0" xfId="2" applyNumberFormat="1" applyFont="1" applyFill="1" applyAlignment="1" applyProtection="1">
      <alignment horizontal="right" vertical="center"/>
    </xf>
    <xf numFmtId="0" fontId="19" fillId="0" borderId="15" xfId="2" applyFont="1" applyBorder="1" applyAlignment="1" applyProtection="1">
      <alignment horizontal="left" vertical="center" wrapText="1" indent="1"/>
    </xf>
    <xf numFmtId="167" fontId="19" fillId="0" borderId="15" xfId="2" applyNumberFormat="1" applyFont="1" applyBorder="1" applyAlignment="1" applyProtection="1">
      <alignment horizontal="right" vertical="center" wrapText="1"/>
    </xf>
    <xf numFmtId="167" fontId="19" fillId="0" borderId="15" xfId="2" applyNumberFormat="1" applyFont="1" applyBorder="1" applyAlignment="1" applyProtection="1">
      <alignment vertical="center" wrapText="1"/>
    </xf>
    <xf numFmtId="166" fontId="116" fillId="0" borderId="15" xfId="0" applyNumberFormat="1" applyFont="1" applyBorder="1" applyAlignment="1" applyProtection="1">
      <alignment horizontal="right" vertical="center"/>
    </xf>
    <xf numFmtId="170" fontId="19" fillId="0" borderId="15" xfId="4" applyNumberFormat="1" applyFont="1" applyBorder="1" applyAlignment="1" applyProtection="1">
      <alignment horizontal="center" vertical="center" wrapText="1"/>
    </xf>
    <xf numFmtId="166" fontId="77" fillId="0" borderId="0" xfId="2" applyNumberFormat="1" applyFont="1" applyProtection="1"/>
    <xf numFmtId="3" fontId="19" fillId="0" borderId="15" xfId="2" applyNumberFormat="1" applyFont="1" applyBorder="1" applyAlignment="1" applyProtection="1">
      <alignment vertical="center" wrapText="1"/>
    </xf>
    <xf numFmtId="166" fontId="77" fillId="0" borderId="0" xfId="45" applyNumberFormat="1" applyFont="1" applyProtection="1"/>
    <xf numFmtId="167" fontId="19" fillId="0" borderId="16" xfId="2" applyNumberFormat="1" applyFont="1" applyBorder="1" applyAlignment="1" applyProtection="1">
      <alignment horizontal="right" vertical="center" wrapText="1"/>
    </xf>
    <xf numFmtId="167" fontId="19" fillId="0" borderId="16" xfId="2" applyNumberFormat="1" applyFont="1" applyBorder="1" applyAlignment="1" applyProtection="1">
      <alignment vertical="center" wrapText="1"/>
    </xf>
    <xf numFmtId="166" fontId="116" fillId="0" borderId="16" xfId="0" applyNumberFormat="1" applyFont="1" applyBorder="1" applyAlignment="1" applyProtection="1">
      <alignment horizontal="right" vertical="center"/>
    </xf>
    <xf numFmtId="170" fontId="19" fillId="0" borderId="16" xfId="4" applyNumberFormat="1" applyFont="1" applyBorder="1" applyAlignment="1" applyProtection="1">
      <alignment horizontal="center" vertical="center" wrapText="1"/>
    </xf>
    <xf numFmtId="3" fontId="19" fillId="0" borderId="16" xfId="2" applyNumberFormat="1" applyFont="1" applyBorder="1" applyAlignment="1" applyProtection="1">
      <alignment vertical="center" wrapText="1"/>
    </xf>
    <xf numFmtId="167" fontId="19" fillId="0" borderId="21" xfId="2" applyNumberFormat="1" applyFont="1" applyBorder="1" applyAlignment="1" applyProtection="1">
      <alignment horizontal="right" vertical="center" wrapText="1"/>
    </xf>
    <xf numFmtId="167" fontId="19" fillId="0" borderId="21" xfId="2" applyNumberFormat="1" applyFont="1" applyBorder="1" applyAlignment="1" applyProtection="1">
      <alignment vertical="center" wrapText="1"/>
    </xf>
    <xf numFmtId="167" fontId="77" fillId="0" borderId="0" xfId="2" applyNumberFormat="1" applyFont="1" applyProtection="1"/>
    <xf numFmtId="0" fontId="19" fillId="0" borderId="21" xfId="2" applyFont="1" applyBorder="1" applyAlignment="1" applyProtection="1">
      <alignment horizontal="left" vertical="center" wrapText="1" indent="1"/>
    </xf>
    <xf numFmtId="166" fontId="116" fillId="0" borderId="21" xfId="0" applyNumberFormat="1" applyFont="1" applyBorder="1" applyAlignment="1" applyProtection="1">
      <alignment horizontal="right" vertical="center"/>
    </xf>
    <xf numFmtId="170" fontId="19" fillId="0" borderId="21" xfId="4" applyNumberFormat="1" applyFont="1" applyBorder="1" applyAlignment="1" applyProtection="1">
      <alignment horizontal="center" vertical="center" wrapText="1"/>
    </xf>
    <xf numFmtId="3" fontId="19" fillId="0" borderId="21" xfId="2" applyNumberFormat="1" applyFont="1" applyBorder="1" applyAlignment="1" applyProtection="1">
      <alignment vertical="center" wrapText="1"/>
    </xf>
    <xf numFmtId="0" fontId="107" fillId="32" borderId="0" xfId="2" applyFont="1" applyFill="1" applyAlignment="1" applyProtection="1">
      <alignment horizontal="center" vertical="center" wrapText="1"/>
    </xf>
    <xf numFmtId="167" fontId="107" fillId="32" borderId="0" xfId="2" applyNumberFormat="1" applyFont="1" applyFill="1" applyAlignment="1" applyProtection="1">
      <alignment vertical="center" wrapText="1"/>
    </xf>
    <xf numFmtId="166" fontId="123" fillId="32" borderId="0" xfId="0" applyNumberFormat="1" applyFont="1" applyFill="1" applyAlignment="1" applyProtection="1">
      <alignment horizontal="right" vertical="center"/>
    </xf>
    <xf numFmtId="170" fontId="120" fillId="32" borderId="0" xfId="4" applyNumberFormat="1" applyFont="1" applyFill="1" applyAlignment="1" applyProtection="1">
      <alignment horizontal="center" vertical="center" wrapText="1"/>
    </xf>
    <xf numFmtId="3" fontId="107" fillId="32" borderId="0" xfId="2" applyNumberFormat="1" applyFont="1" applyFill="1" applyAlignment="1" applyProtection="1">
      <alignment vertical="center" wrapText="1"/>
    </xf>
    <xf numFmtId="4" fontId="77" fillId="0" borderId="0" xfId="2" applyNumberFormat="1" applyFont="1" applyProtection="1"/>
    <xf numFmtId="167" fontId="19" fillId="0" borderId="0" xfId="0" applyNumberFormat="1" applyFont="1" applyAlignment="1" applyProtection="1">
      <alignment horizontal="right" vertical="center" indent="1"/>
    </xf>
    <xf numFmtId="167" fontId="77" fillId="0" borderId="0" xfId="3" applyNumberFormat="1" applyFont="1" applyAlignment="1" applyProtection="1">
      <alignment horizontal="right" vertical="center" indent="1"/>
    </xf>
    <xf numFmtId="170" fontId="77" fillId="0" borderId="0" xfId="2" applyNumberFormat="1" applyFont="1" applyProtection="1"/>
    <xf numFmtId="166" fontId="77" fillId="0" borderId="0" xfId="2" applyNumberFormat="1" applyFont="1" applyAlignment="1" applyProtection="1">
      <alignment horizontal="center"/>
    </xf>
    <xf numFmtId="2" fontId="77" fillId="0" borderId="0" xfId="2" applyNumberFormat="1" applyFont="1" applyProtection="1"/>
    <xf numFmtId="1" fontId="19" fillId="0" borderId="15" xfId="2" applyNumberFormat="1" applyFont="1" applyBorder="1" applyAlignment="1" applyProtection="1">
      <alignment horizontal="center" vertical="center"/>
    </xf>
    <xf numFmtId="0" fontId="19" fillId="0" borderId="16" xfId="2" applyFont="1" applyBorder="1" applyAlignment="1" applyProtection="1">
      <alignment horizontal="left" vertical="center" wrapText="1" indent="1"/>
    </xf>
    <xf numFmtId="0" fontId="137" fillId="0" borderId="21" xfId="2" applyFont="1" applyFill="1" applyBorder="1" applyAlignment="1" applyProtection="1">
      <alignment horizontal="left" vertical="center" wrapText="1" indent="1"/>
    </xf>
    <xf numFmtId="1" fontId="77" fillId="0" borderId="0" xfId="2" applyNumberFormat="1" applyFont="1" applyProtection="1"/>
    <xf numFmtId="0" fontId="77" fillId="0" borderId="0" xfId="2" applyFont="1" applyAlignment="1" applyProtection="1">
      <alignment horizontal="center" vertical="center"/>
    </xf>
    <xf numFmtId="0" fontId="114" fillId="0" borderId="0" xfId="2" applyFont="1" applyProtection="1"/>
    <xf numFmtId="0" fontId="5" fillId="0" borderId="0" xfId="3" applyFont="1" applyAlignment="1" applyProtection="1">
      <alignment horizontal="center" vertical="center" wrapText="1"/>
    </xf>
    <xf numFmtId="0" fontId="19" fillId="0" borderId="0" xfId="3" applyFont="1" applyAlignment="1" applyProtection="1">
      <alignment horizontal="center" vertical="center" wrapText="1"/>
    </xf>
    <xf numFmtId="0" fontId="19" fillId="0" borderId="0" xfId="3" applyFont="1" applyAlignment="1" applyProtection="1">
      <alignment horizontal="center" vertical="center"/>
    </xf>
    <xf numFmtId="0" fontId="111" fillId="0" borderId="0" xfId="2" applyFont="1" applyProtection="1"/>
    <xf numFmtId="1" fontId="121" fillId="3" borderId="0" xfId="2" applyNumberFormat="1" applyFont="1" applyFill="1" applyAlignment="1" applyProtection="1">
      <alignment horizontal="center" vertical="center" wrapText="1"/>
    </xf>
    <xf numFmtId="166" fontId="77" fillId="0" borderId="0" xfId="2" applyNumberFormat="1" applyFont="1" applyAlignment="1" applyProtection="1">
      <alignment horizontal="center" vertical="center"/>
    </xf>
    <xf numFmtId="0" fontId="88" fillId="0" borderId="0" xfId="2" applyFont="1" applyProtection="1"/>
    <xf numFmtId="0" fontId="112" fillId="0" borderId="0" xfId="2" applyFont="1" applyAlignment="1" applyProtection="1">
      <alignment horizontal="left" vertical="center" indent="1"/>
    </xf>
    <xf numFmtId="0" fontId="112" fillId="0" borderId="0" xfId="2" applyFont="1" applyAlignment="1" applyProtection="1">
      <alignment horizontal="center" vertical="center"/>
    </xf>
    <xf numFmtId="166" fontId="112" fillId="0" borderId="0" xfId="4" applyNumberFormat="1" applyFont="1" applyAlignment="1" applyProtection="1">
      <alignment horizontal="center" vertical="center"/>
    </xf>
    <xf numFmtId="3" fontId="112" fillId="0" borderId="0" xfId="2" applyNumberFormat="1" applyFont="1" applyAlignment="1" applyProtection="1">
      <alignment horizontal="center" vertical="center"/>
    </xf>
    <xf numFmtId="167" fontId="112" fillId="0" borderId="0" xfId="2" applyNumberFormat="1" applyFont="1" applyAlignment="1" applyProtection="1">
      <alignment horizontal="right" vertical="center" indent="1"/>
    </xf>
    <xf numFmtId="3" fontId="112" fillId="0" borderId="0" xfId="2" applyNumberFormat="1" applyFont="1" applyAlignment="1" applyProtection="1">
      <alignment horizontal="right" vertical="center" indent="2"/>
    </xf>
    <xf numFmtId="0" fontId="19" fillId="0" borderId="0" xfId="2" applyFont="1" applyAlignment="1" applyProtection="1">
      <alignment horizontal="left" vertical="center" indent="2"/>
    </xf>
    <xf numFmtId="164" fontId="125" fillId="0" borderId="0" xfId="57" applyNumberFormat="1" applyFont="1" applyAlignment="1" applyProtection="1">
      <alignment horizontal="center"/>
    </xf>
    <xf numFmtId="166" fontId="19" fillId="0" borderId="0" xfId="4" applyNumberFormat="1" applyFont="1" applyAlignment="1" applyProtection="1">
      <alignment horizontal="center" vertical="center"/>
    </xf>
    <xf numFmtId="167" fontId="19" fillId="0" borderId="0" xfId="2" applyNumberFormat="1" applyFont="1" applyAlignment="1" applyProtection="1">
      <alignment horizontal="right" vertical="center" indent="1"/>
    </xf>
    <xf numFmtId="3" fontId="19" fillId="0" borderId="0" xfId="2" applyNumberFormat="1" applyFont="1" applyAlignment="1" applyProtection="1">
      <alignment horizontal="right" vertical="center" indent="2"/>
    </xf>
    <xf numFmtId="0" fontId="112" fillId="0" borderId="17" xfId="2" applyFont="1" applyBorder="1" applyAlignment="1" applyProtection="1">
      <alignment horizontal="left" vertical="center" indent="1"/>
    </xf>
    <xf numFmtId="166" fontId="112" fillId="0" borderId="17" xfId="4" applyNumberFormat="1" applyFont="1" applyBorder="1" applyAlignment="1" applyProtection="1">
      <alignment horizontal="center" vertical="center"/>
    </xf>
    <xf numFmtId="3" fontId="112" fillId="0" borderId="17" xfId="2" applyNumberFormat="1" applyFont="1" applyBorder="1" applyAlignment="1" applyProtection="1">
      <alignment horizontal="center" vertical="center"/>
    </xf>
    <xf numFmtId="0" fontId="128" fillId="0" borderId="0" xfId="2" applyFont="1" applyProtection="1"/>
    <xf numFmtId="0" fontId="120" fillId="32" borderId="0" xfId="2" applyFont="1" applyFill="1" applyAlignment="1" applyProtection="1">
      <alignment horizontal="center" vertical="center"/>
    </xf>
    <xf numFmtId="166" fontId="120" fillId="32" borderId="0" xfId="4" applyNumberFormat="1" applyFont="1" applyFill="1" applyAlignment="1" applyProtection="1">
      <alignment horizontal="center" vertical="center"/>
    </xf>
    <xf numFmtId="3" fontId="120" fillId="32" borderId="0" xfId="2" applyNumberFormat="1" applyFont="1" applyFill="1" applyAlignment="1" applyProtection="1">
      <alignment horizontal="center" vertical="center"/>
    </xf>
    <xf numFmtId="167" fontId="120" fillId="32" borderId="0" xfId="2" applyNumberFormat="1" applyFont="1" applyFill="1" applyAlignment="1" applyProtection="1">
      <alignment horizontal="right" vertical="center" indent="1"/>
    </xf>
    <xf numFmtId="3" fontId="120" fillId="32" borderId="0" xfId="2" applyNumberFormat="1" applyFont="1" applyFill="1" applyAlignment="1" applyProtection="1">
      <alignment horizontal="right" vertical="center" indent="2"/>
    </xf>
    <xf numFmtId="166" fontId="77" fillId="0" borderId="0" xfId="45" applyNumberFormat="1" applyFont="1" applyAlignment="1" applyProtection="1">
      <alignment vertical="center"/>
    </xf>
    <xf numFmtId="164" fontId="77" fillId="0" borderId="0" xfId="3" applyNumberFormat="1" applyFont="1" applyAlignment="1" applyProtection="1">
      <alignment horizontal="right" vertical="center" indent="2"/>
    </xf>
    <xf numFmtId="9" fontId="78" fillId="0" borderId="0" xfId="4" applyFont="1" applyProtection="1"/>
    <xf numFmtId="0" fontId="78" fillId="0" borderId="0" xfId="3" applyFont="1" applyAlignment="1" applyProtection="1">
      <alignment vertical="center"/>
    </xf>
    <xf numFmtId="0" fontId="77" fillId="0" borderId="0" xfId="3" applyFont="1" applyAlignment="1" applyProtection="1">
      <alignment vertical="center"/>
    </xf>
    <xf numFmtId="0" fontId="120" fillId="3" borderId="0" xfId="2" applyFont="1" applyFill="1" applyAlignment="1" applyProtection="1">
      <alignment vertical="center" wrapText="1"/>
    </xf>
    <xf numFmtId="0" fontId="107" fillId="3" borderId="0" xfId="2" applyFont="1" applyFill="1" applyAlignment="1" applyProtection="1">
      <alignment horizontal="center"/>
    </xf>
    <xf numFmtId="165" fontId="120" fillId="3" borderId="0" xfId="2" applyNumberFormat="1" applyFont="1" applyFill="1" applyAlignment="1" applyProtection="1">
      <alignment horizontal="center" vertical="center"/>
    </xf>
    <xf numFmtId="0" fontId="121" fillId="3" borderId="0" xfId="47" applyFont="1" applyFill="1" applyAlignment="1" applyProtection="1">
      <alignment horizontal="left" vertical="center" wrapText="1"/>
    </xf>
    <xf numFmtId="0" fontId="121" fillId="3" borderId="0" xfId="47" applyFont="1" applyFill="1" applyProtection="1">
      <alignment horizontal="center" vertical="center" wrapText="1"/>
    </xf>
    <xf numFmtId="3" fontId="121" fillId="3" borderId="0" xfId="47" applyNumberFormat="1" applyFont="1" applyFill="1" applyProtection="1">
      <alignment horizontal="center" vertical="center" wrapText="1"/>
    </xf>
    <xf numFmtId="0" fontId="19" fillId="0" borderId="0" xfId="0" applyFont="1" applyAlignment="1" applyProtection="1">
      <alignment vertical="center"/>
    </xf>
    <xf numFmtId="0" fontId="81" fillId="0" borderId="0" xfId="62" applyFont="1" applyAlignment="1" applyProtection="1">
      <alignment vertical="center"/>
    </xf>
    <xf numFmtId="0" fontId="19" fillId="0" borderId="15" xfId="0" applyFont="1" applyBorder="1" applyAlignment="1" applyProtection="1">
      <alignment horizontal="left" vertical="center" indent="1"/>
    </xf>
    <xf numFmtId="167" fontId="19" fillId="0" borderId="15" xfId="2" applyNumberFormat="1" applyFont="1" applyBorder="1" applyAlignment="1" applyProtection="1">
      <alignment vertical="center"/>
    </xf>
    <xf numFmtId="166" fontId="19" fillId="0" borderId="15" xfId="62" applyNumberFormat="1" applyFont="1" applyBorder="1" applyAlignment="1" applyProtection="1">
      <alignment horizontal="center" vertical="center"/>
    </xf>
    <xf numFmtId="166" fontId="77" fillId="0" borderId="0" xfId="4" applyNumberFormat="1" applyFont="1" applyProtection="1"/>
    <xf numFmtId="0" fontId="77" fillId="0" borderId="0" xfId="62" applyFont="1" applyProtection="1"/>
    <xf numFmtId="164" fontId="19" fillId="0" borderId="15" xfId="2" applyNumberFormat="1" applyFont="1" applyBorder="1" applyAlignment="1" applyProtection="1">
      <alignment vertical="center"/>
    </xf>
    <xf numFmtId="164" fontId="19" fillId="0" borderId="15" xfId="2" applyNumberFormat="1" applyFont="1" applyBorder="1" applyAlignment="1" applyProtection="1">
      <alignment horizontal="center" vertical="center"/>
    </xf>
    <xf numFmtId="0" fontId="19" fillId="0" borderId="0" xfId="0" applyFont="1" applyAlignment="1" applyProtection="1">
      <alignment horizontal="left" vertical="center"/>
    </xf>
    <xf numFmtId="164" fontId="19" fillId="0" borderId="0" xfId="2" applyNumberFormat="1" applyFont="1" applyAlignment="1" applyProtection="1">
      <alignment vertical="center"/>
    </xf>
    <xf numFmtId="167" fontId="19" fillId="0" borderId="16" xfId="2" applyNumberFormat="1" applyFont="1" applyBorder="1" applyAlignment="1" applyProtection="1">
      <alignment vertical="center"/>
    </xf>
    <xf numFmtId="166" fontId="19" fillId="0" borderId="16" xfId="62" applyNumberFormat="1" applyFont="1" applyBorder="1" applyAlignment="1" applyProtection="1">
      <alignment horizontal="center" vertical="center"/>
    </xf>
    <xf numFmtId="164" fontId="19" fillId="0" borderId="16" xfId="2" applyNumberFormat="1" applyFont="1" applyBorder="1" applyAlignment="1" applyProtection="1">
      <alignment vertical="center"/>
    </xf>
    <xf numFmtId="164" fontId="19" fillId="0" borderId="16" xfId="2" applyNumberFormat="1" applyFont="1" applyBorder="1" applyAlignment="1" applyProtection="1">
      <alignment horizontal="center" vertical="center"/>
    </xf>
    <xf numFmtId="167" fontId="19" fillId="0" borderId="16" xfId="62" applyNumberFormat="1" applyFont="1" applyBorder="1" applyAlignment="1" applyProtection="1">
      <alignment vertical="center"/>
    </xf>
    <xf numFmtId="3" fontId="19" fillId="0" borderId="16" xfId="62" applyNumberFormat="1" applyFont="1" applyBorder="1" applyAlignment="1" applyProtection="1">
      <alignment vertical="center"/>
    </xf>
    <xf numFmtId="166" fontId="77" fillId="0" borderId="0" xfId="62" applyNumberFormat="1" applyFont="1" applyProtection="1"/>
    <xf numFmtId="164" fontId="77" fillId="0" borderId="0" xfId="62" applyNumberFormat="1" applyFont="1" applyProtection="1"/>
    <xf numFmtId="164" fontId="19" fillId="0" borderId="21" xfId="2" applyNumberFormat="1" applyFont="1" applyBorder="1" applyAlignment="1" applyProtection="1">
      <alignment horizontal="center" vertical="center"/>
    </xf>
    <xf numFmtId="167" fontId="19" fillId="0" borderId="21" xfId="2" applyNumberFormat="1" applyFont="1" applyBorder="1" applyAlignment="1" applyProtection="1">
      <alignment vertical="center"/>
    </xf>
    <xf numFmtId="167" fontId="19" fillId="0" borderId="21" xfId="62" applyNumberFormat="1" applyFont="1" applyBorder="1" applyAlignment="1" applyProtection="1">
      <alignment vertical="center"/>
    </xf>
    <xf numFmtId="3" fontId="19" fillId="0" borderId="21" xfId="62" applyNumberFormat="1" applyFont="1" applyBorder="1" applyAlignment="1" applyProtection="1">
      <alignment vertical="center"/>
    </xf>
    <xf numFmtId="166" fontId="19" fillId="0" borderId="21" xfId="62" applyNumberFormat="1" applyFont="1" applyBorder="1" applyAlignment="1" applyProtection="1">
      <alignment horizontal="center" vertical="center"/>
    </xf>
    <xf numFmtId="0" fontId="107" fillId="32" borderId="0" xfId="62" applyFont="1" applyFill="1" applyAlignment="1" applyProtection="1">
      <alignment horizontal="center" vertical="center"/>
    </xf>
    <xf numFmtId="164" fontId="107" fillId="32" borderId="0" xfId="2" applyNumberFormat="1" applyFont="1" applyFill="1" applyAlignment="1" applyProtection="1">
      <alignment horizontal="center" vertical="center"/>
    </xf>
    <xf numFmtId="164" fontId="107" fillId="32" borderId="0" xfId="62" applyNumberFormat="1" applyFont="1" applyFill="1" applyAlignment="1" applyProtection="1">
      <alignment horizontal="center" vertical="center"/>
    </xf>
    <xf numFmtId="167" fontId="127" fillId="32" borderId="0" xfId="2" applyNumberFormat="1" applyFont="1" applyFill="1" applyAlignment="1" applyProtection="1">
      <alignment vertical="center"/>
    </xf>
    <xf numFmtId="166" fontId="126" fillId="32" borderId="0" xfId="62" applyNumberFormat="1" applyFont="1" applyFill="1" applyAlignment="1" applyProtection="1">
      <alignment horizontal="center" vertical="center"/>
    </xf>
    <xf numFmtId="164" fontId="107" fillId="32" borderId="0" xfId="2" applyNumberFormat="1" applyFont="1" applyFill="1" applyAlignment="1" applyProtection="1">
      <alignment vertical="center"/>
    </xf>
    <xf numFmtId="166" fontId="107" fillId="32" borderId="0" xfId="62" applyNumberFormat="1" applyFont="1" applyFill="1" applyAlignment="1" applyProtection="1">
      <alignment horizontal="center" vertical="center"/>
    </xf>
    <xf numFmtId="167" fontId="19" fillId="0" borderId="15" xfId="62" applyNumberFormat="1" applyFont="1" applyBorder="1" applyAlignment="1" applyProtection="1">
      <alignment vertical="center"/>
    </xf>
    <xf numFmtId="167" fontId="115" fillId="0" borderId="15" xfId="0" applyNumberFormat="1" applyFont="1" applyBorder="1" applyAlignment="1" applyProtection="1">
      <alignment horizontal="right" vertical="center"/>
    </xf>
    <xf numFmtId="3" fontId="19" fillId="0" borderId="15" xfId="62" applyNumberFormat="1" applyFont="1" applyBorder="1" applyAlignment="1" applyProtection="1">
      <alignment vertical="center"/>
    </xf>
    <xf numFmtId="0" fontId="21" fillId="0" borderId="0" xfId="62" applyFont="1" applyAlignment="1" applyProtection="1">
      <alignment horizontal="center" vertical="center"/>
    </xf>
    <xf numFmtId="164" fontId="21" fillId="0" borderId="0" xfId="2" applyNumberFormat="1" applyFont="1" applyAlignment="1" applyProtection="1">
      <alignment horizontal="center" vertical="center"/>
    </xf>
    <xf numFmtId="164" fontId="77" fillId="0" borderId="0" xfId="2" applyNumberFormat="1" applyFont="1" applyProtection="1"/>
    <xf numFmtId="0" fontId="116" fillId="0" borderId="0" xfId="2" applyFont="1" applyProtection="1"/>
    <xf numFmtId="0" fontId="19" fillId="0" borderId="0" xfId="47" applyFont="1" applyAlignment="1" applyProtection="1">
      <alignment horizontal="left" vertical="center" wrapText="1"/>
    </xf>
    <xf numFmtId="0" fontId="19" fillId="0" borderId="16" xfId="0" applyFont="1" applyBorder="1" applyAlignment="1" applyProtection="1">
      <alignment horizontal="left" vertical="center" indent="1"/>
    </xf>
    <xf numFmtId="0" fontId="105" fillId="0" borderId="0" xfId="0" applyFont="1" applyAlignment="1" applyProtection="1">
      <alignment vertical="center"/>
    </xf>
    <xf numFmtId="0" fontId="117" fillId="0" borderId="0" xfId="1" applyFont="1" applyAlignment="1" applyProtection="1">
      <alignment horizontal="center" vertical="center"/>
    </xf>
    <xf numFmtId="0" fontId="113" fillId="0" borderId="0" xfId="0" applyFont="1" applyAlignment="1" applyProtection="1">
      <alignment vertical="center"/>
    </xf>
    <xf numFmtId="0" fontId="102" fillId="0" borderId="0" xfId="1" applyFont="1" applyAlignment="1" applyProtection="1">
      <alignment horizontal="center" vertical="center"/>
    </xf>
    <xf numFmtId="0" fontId="102" fillId="0" borderId="0" xfId="1" applyFont="1" applyAlignment="1" applyProtection="1">
      <alignment horizontal="center" vertical="center"/>
    </xf>
    <xf numFmtId="0" fontId="117" fillId="0" borderId="0" xfId="1" applyFont="1" applyAlignment="1" applyProtection="1">
      <alignment horizontal="center" vertical="center"/>
    </xf>
    <xf numFmtId="0" fontId="105" fillId="0" borderId="0" xfId="1" applyFont="1" applyAlignment="1" applyProtection="1">
      <alignment vertical="center"/>
    </xf>
    <xf numFmtId="1" fontId="124" fillId="3" borderId="0" xfId="2" applyNumberFormat="1" applyFont="1" applyFill="1" applyAlignment="1" applyProtection="1">
      <alignment horizontal="center" vertical="center" wrapText="1"/>
    </xf>
    <xf numFmtId="165" fontId="124" fillId="3" borderId="0" xfId="2" applyNumberFormat="1" applyFont="1" applyFill="1" applyAlignment="1" applyProtection="1">
      <alignment horizontal="center" vertical="center" wrapText="1"/>
    </xf>
    <xf numFmtId="0" fontId="113" fillId="0" borderId="0" xfId="1" applyFont="1" applyAlignment="1" applyProtection="1">
      <alignment vertical="center"/>
    </xf>
    <xf numFmtId="0" fontId="118" fillId="0" borderId="0" xfId="1" applyFont="1" applyAlignment="1" applyProtection="1">
      <alignment vertical="center"/>
    </xf>
    <xf numFmtId="0" fontId="113" fillId="0" borderId="15" xfId="1" applyFont="1" applyBorder="1" applyAlignment="1" applyProtection="1">
      <alignment horizontal="center" vertical="center"/>
    </xf>
    <xf numFmtId="164" fontId="113" fillId="0" borderId="15" xfId="2" applyNumberFormat="1" applyFont="1" applyBorder="1" applyAlignment="1" applyProtection="1">
      <alignment horizontal="center" vertical="center"/>
    </xf>
    <xf numFmtId="164" fontId="113" fillId="0" borderId="15" xfId="2" applyNumberFormat="1" applyFont="1" applyBorder="1" applyAlignment="1" applyProtection="1">
      <alignment horizontal="right" vertical="center" indent="2"/>
    </xf>
    <xf numFmtId="167" fontId="113" fillId="0" borderId="15" xfId="0" applyNumberFormat="1" applyFont="1" applyBorder="1" applyAlignment="1" applyProtection="1">
      <alignment horizontal="right" vertical="center" indent="2"/>
    </xf>
    <xf numFmtId="164" fontId="113" fillId="0" borderId="16" xfId="2" applyNumberFormat="1" applyFont="1" applyBorder="1" applyAlignment="1" applyProtection="1">
      <alignment horizontal="center" vertical="center"/>
    </xf>
    <xf numFmtId="164" fontId="113" fillId="0" borderId="16" xfId="2" applyNumberFormat="1" applyFont="1" applyBorder="1" applyAlignment="1" applyProtection="1">
      <alignment horizontal="right" vertical="center" indent="2"/>
    </xf>
    <xf numFmtId="167" fontId="113" fillId="0" borderId="16" xfId="0" applyNumberFormat="1" applyFont="1" applyBorder="1" applyAlignment="1" applyProtection="1">
      <alignment horizontal="right" vertical="center" indent="2"/>
    </xf>
    <xf numFmtId="0" fontId="113" fillId="0" borderId="0" xfId="1" applyFont="1" applyAlignment="1" applyProtection="1">
      <alignment horizontal="center" vertical="center"/>
    </xf>
    <xf numFmtId="164" fontId="113" fillId="0" borderId="21" xfId="2" applyNumberFormat="1" applyFont="1" applyBorder="1" applyAlignment="1" applyProtection="1">
      <alignment horizontal="center" vertical="center"/>
    </xf>
    <xf numFmtId="164" fontId="113" fillId="0" borderId="21" xfId="2" applyNumberFormat="1" applyFont="1" applyBorder="1" applyAlignment="1" applyProtection="1">
      <alignment horizontal="right" vertical="center" indent="2"/>
    </xf>
    <xf numFmtId="167" fontId="113" fillId="0" borderId="21" xfId="0" applyNumberFormat="1" applyFont="1" applyBorder="1" applyAlignment="1" applyProtection="1">
      <alignment horizontal="right" vertical="center" indent="2"/>
    </xf>
    <xf numFmtId="164" fontId="107" fillId="32" borderId="0" xfId="2" applyNumberFormat="1" applyFont="1" applyFill="1" applyAlignment="1" applyProtection="1">
      <alignment horizontal="right" vertical="center" indent="2"/>
    </xf>
    <xf numFmtId="167" fontId="107" fillId="32" borderId="0" xfId="2" applyNumberFormat="1" applyFont="1" applyFill="1" applyAlignment="1" applyProtection="1">
      <alignment horizontal="right" vertical="center" indent="2"/>
    </xf>
    <xf numFmtId="164" fontId="113" fillId="0" borderId="0" xfId="2" applyNumberFormat="1" applyFont="1" applyAlignment="1" applyProtection="1">
      <alignment horizontal="center" vertical="center"/>
    </xf>
    <xf numFmtId="0" fontId="118" fillId="0" borderId="0" xfId="0" applyFont="1" applyAlignment="1" applyProtection="1">
      <alignment vertical="center"/>
    </xf>
    <xf numFmtId="1" fontId="102" fillId="0" borderId="0" xfId="2" applyNumberFormat="1" applyFont="1" applyAlignment="1" applyProtection="1">
      <alignment horizontal="center" vertical="center"/>
    </xf>
    <xf numFmtId="1" fontId="113" fillId="0" borderId="0" xfId="2" applyNumberFormat="1" applyFont="1" applyAlignment="1" applyProtection="1">
      <alignment horizontal="center" vertical="center"/>
    </xf>
    <xf numFmtId="167" fontId="113" fillId="0" borderId="0" xfId="2" applyNumberFormat="1" applyFont="1" applyAlignment="1" applyProtection="1">
      <alignment horizontal="right" vertical="center" indent="1"/>
    </xf>
    <xf numFmtId="1" fontId="113" fillId="0" borderId="17" xfId="2" applyNumberFormat="1" applyFont="1" applyBorder="1" applyAlignment="1" applyProtection="1">
      <alignment horizontal="center" vertical="center" wrapText="1"/>
    </xf>
    <xf numFmtId="0" fontId="113" fillId="0" borderId="16" xfId="1" applyFont="1" applyBorder="1" applyAlignment="1" applyProtection="1">
      <alignment horizontal="center" vertical="center"/>
    </xf>
  </cellXfs>
  <cellStyles count="68">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40% - Accent1" xfId="11" xr:uid="{00000000-0005-0000-0000-000006000000}"/>
    <cellStyle name="40% - Accent2" xfId="12" xr:uid="{00000000-0005-0000-0000-000007000000}"/>
    <cellStyle name="40% - Accent3" xfId="13" xr:uid="{00000000-0005-0000-0000-000008000000}"/>
    <cellStyle name="40% - Accent4" xfId="14" xr:uid="{00000000-0005-0000-0000-000009000000}"/>
    <cellStyle name="40% - Accent5" xfId="15" xr:uid="{00000000-0005-0000-0000-00000A000000}"/>
    <cellStyle name="40% - Accent6" xfId="16" xr:uid="{00000000-0005-0000-0000-00000B000000}"/>
    <cellStyle name="60% - Accent1" xfId="17" xr:uid="{00000000-0005-0000-0000-00000C000000}"/>
    <cellStyle name="60% - Accent2" xfId="18" xr:uid="{00000000-0005-0000-0000-00000D000000}"/>
    <cellStyle name="60% - Accent3" xfId="19" xr:uid="{00000000-0005-0000-0000-00000E000000}"/>
    <cellStyle name="60% - Accent4" xfId="20" xr:uid="{00000000-0005-0000-0000-00000F000000}"/>
    <cellStyle name="60% - Accent5" xfId="21" xr:uid="{00000000-0005-0000-0000-000010000000}"/>
    <cellStyle name="60% - Accent6" xfId="22" xr:uid="{00000000-0005-0000-0000-000011000000}"/>
    <cellStyle name="Accent1" xfId="23" xr:uid="{00000000-0005-0000-0000-000012000000}"/>
    <cellStyle name="Accent2" xfId="24" xr:uid="{00000000-0005-0000-0000-000013000000}"/>
    <cellStyle name="Accent3" xfId="25" xr:uid="{00000000-0005-0000-0000-000014000000}"/>
    <cellStyle name="Accent4" xfId="26" xr:uid="{00000000-0005-0000-0000-000015000000}"/>
    <cellStyle name="Accent5" xfId="27" xr:uid="{00000000-0005-0000-0000-000016000000}"/>
    <cellStyle name="Accent6" xfId="28" xr:uid="{00000000-0005-0000-0000-000017000000}"/>
    <cellStyle name="Bad" xfId="29" xr:uid="{00000000-0005-0000-0000-000018000000}"/>
    <cellStyle name="Calculation" xfId="30" xr:uid="{00000000-0005-0000-0000-000019000000}"/>
    <cellStyle name="Check Cell" xfId="31" xr:uid="{00000000-0005-0000-0000-00001A000000}"/>
    <cellStyle name="DetalheB" xfId="53" xr:uid="{00000000-0005-0000-0000-00001B000000}"/>
    <cellStyle name="Euro" xfId="48" xr:uid="{00000000-0005-0000-0000-00001C000000}"/>
    <cellStyle name="Explanatory Text" xfId="32" xr:uid="{00000000-0005-0000-0000-00001D000000}"/>
    <cellStyle name="Good" xfId="33" xr:uid="{00000000-0005-0000-0000-00001E000000}"/>
    <cellStyle name="Heading 1" xfId="34" xr:uid="{00000000-0005-0000-0000-00001F000000}"/>
    <cellStyle name="Heading 2" xfId="35" xr:uid="{00000000-0005-0000-0000-000020000000}"/>
    <cellStyle name="Heading 3" xfId="36" xr:uid="{00000000-0005-0000-0000-000021000000}"/>
    <cellStyle name="Heading 4" xfId="37" xr:uid="{00000000-0005-0000-0000-000022000000}"/>
    <cellStyle name="Hiperligação" xfId="55" builtinId="8"/>
    <cellStyle name="Hiperligação 2" xfId="59" xr:uid="{00000000-0005-0000-0000-000024000000}"/>
    <cellStyle name="ICA NEWS" xfId="64" xr:uid="{00000000-0005-0000-0000-000025000000}"/>
    <cellStyle name="Input" xfId="38" xr:uid="{00000000-0005-0000-0000-000026000000}"/>
    <cellStyle name="Linked Cell" xfId="39" xr:uid="{00000000-0005-0000-0000-000027000000}"/>
    <cellStyle name="Neutral" xfId="40" xr:uid="{00000000-0005-0000-0000-000028000000}"/>
    <cellStyle name="Normal" xfId="0" builtinId="0"/>
    <cellStyle name="Normal 10" xfId="58" xr:uid="{00000000-0005-0000-0000-00002A000000}"/>
    <cellStyle name="Normal 11" xfId="61" xr:uid="{00000000-0005-0000-0000-00002B000000}"/>
    <cellStyle name="Normal 12" xfId="65" xr:uid="{00000000-0005-0000-0000-00002C000000}"/>
    <cellStyle name="Normal 2" xfId="1" xr:uid="{00000000-0005-0000-0000-00002D000000}"/>
    <cellStyle name="Normal 2 2" xfId="2" xr:uid="{00000000-0005-0000-0000-00002E000000}"/>
    <cellStyle name="Normal 2 2 2" xfId="60" xr:uid="{00000000-0005-0000-0000-00002F000000}"/>
    <cellStyle name="Normal 2 3" xfId="47" xr:uid="{00000000-0005-0000-0000-000030000000}"/>
    <cellStyle name="Normal 2 4" xfId="62" xr:uid="{00000000-0005-0000-0000-000031000000}"/>
    <cellStyle name="Normal 3" xfId="3" xr:uid="{00000000-0005-0000-0000-000032000000}"/>
    <cellStyle name="Normal 4" xfId="49" xr:uid="{00000000-0005-0000-0000-000033000000}"/>
    <cellStyle name="Normal 4 2" xfId="46" xr:uid="{00000000-0005-0000-0000-000034000000}"/>
    <cellStyle name="Normal 5" xfId="50" xr:uid="{00000000-0005-0000-0000-000035000000}"/>
    <cellStyle name="Normal 6" xfId="51" xr:uid="{00000000-0005-0000-0000-000036000000}"/>
    <cellStyle name="Normal 7" xfId="52" xr:uid="{00000000-0005-0000-0000-000037000000}"/>
    <cellStyle name="Normal 7 2" xfId="66" xr:uid="{A1E8926B-38EC-4ABB-B773-59C21D69F294}"/>
    <cellStyle name="Normal 7 2 2" xfId="67" xr:uid="{B9EA5FF8-0841-45D6-B5BD-068330E523B9}"/>
    <cellStyle name="Normal 8" xfId="54" xr:uid="{00000000-0005-0000-0000-000038000000}"/>
    <cellStyle name="Normal 9" xfId="56" xr:uid="{00000000-0005-0000-0000-000039000000}"/>
    <cellStyle name="Note" xfId="41" xr:uid="{00000000-0005-0000-0000-00003A000000}"/>
    <cellStyle name="Output" xfId="42" xr:uid="{00000000-0005-0000-0000-00003B000000}"/>
    <cellStyle name="Percentagem" xfId="45" builtinId="5"/>
    <cellStyle name="Percentagem 2" xfId="4" xr:uid="{00000000-0005-0000-0000-00003D000000}"/>
    <cellStyle name="styleFormatNormal" xfId="57" xr:uid="{00000000-0005-0000-0000-00003E000000}"/>
    <cellStyle name="Title" xfId="43" xr:uid="{00000000-0005-0000-0000-00003F000000}"/>
    <cellStyle name="TituloB" xfId="63" xr:uid="{00000000-0005-0000-0000-000040000000}"/>
    <cellStyle name="Warning Text" xfId="44" xr:uid="{00000000-0005-0000-0000-000041000000}"/>
  </cellStyles>
  <dxfs count="292">
    <dxf>
      <protection locked="1" hidden="0"/>
    </dxf>
    <dxf>
      <protection locked="1" hidden="0"/>
    </dxf>
    <dxf>
      <font>
        <b val="0"/>
        <i val="0"/>
        <strike val="0"/>
        <condense val="0"/>
        <extend val="0"/>
        <outline val="0"/>
        <shadow val="0"/>
        <u val="none"/>
        <vertAlign val="baseline"/>
        <sz val="9"/>
        <color theme="1"/>
        <name val="Arquitecta Book"/>
        <scheme val="minor"/>
      </font>
      <numFmt numFmtId="3" formatCode="#,##0"/>
      <fill>
        <patternFill patternType="none">
          <fgColor indexed="64"/>
          <bgColor indexed="65"/>
        </patternFill>
      </fill>
      <alignment horizontal="general" vertical="center"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9"/>
        <color theme="1"/>
        <name val="Arquitecta Book"/>
        <scheme val="minor"/>
      </font>
      <numFmt numFmtId="3" formatCode="#,##0"/>
      <fill>
        <patternFill patternType="none">
          <fgColor indexed="64"/>
          <bgColor indexed="65"/>
        </patternFill>
      </fill>
      <alignment horizontal="general" vertical="center"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9"/>
        <color theme="1"/>
        <name val="Arquitecta Book"/>
        <scheme val="minor"/>
      </font>
      <fill>
        <patternFill patternType="none">
          <fgColor indexed="64"/>
          <bgColor indexed="65"/>
        </patternFill>
      </fill>
      <alignment horizontal="left" vertical="center" textRotation="0" wrapText="1" indent="1"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9"/>
        <color theme="1"/>
        <name val="Arquitecta Book"/>
        <scheme val="minor"/>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9"/>
        <color theme="1"/>
        <name val="Arquitecta Book"/>
        <scheme val="minor"/>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9"/>
        <color theme="1"/>
        <name val="Arquitecta Book"/>
        <scheme val="minor"/>
      </font>
      <fill>
        <patternFill patternType="none">
          <fgColor indexed="64"/>
          <bgColor indexed="65"/>
        </patternFill>
      </fill>
      <alignment horizontal="center" vertical="center" textRotation="0" wrapText="0" relativeIndent="0" justifyLastLine="0" shrinkToFit="0" readingOrder="0"/>
    </dxf>
    <dxf>
      <alignment vertical="center" readingOrder="0"/>
    </dxf>
    <dxf>
      <font>
        <sz val="9"/>
      </font>
    </dxf>
    <dxf>
      <font>
        <color theme="1"/>
      </font>
    </dxf>
    <dxf>
      <border>
        <horizontal style="thin">
          <color theme="0" tint="-0.24994659260841701"/>
        </horizontal>
      </border>
    </dxf>
    <dxf>
      <fill>
        <patternFill patternType="none">
          <bgColor auto="1"/>
        </patternFill>
      </fill>
    </dxf>
    <dxf>
      <font>
        <color theme="0"/>
      </font>
    </dxf>
    <dxf>
      <fill>
        <patternFill patternType="solid">
          <bgColor theme="5"/>
        </patternFill>
      </fill>
    </dxf>
    <dxf>
      <alignment wrapText="1" readingOrder="0"/>
    </dxf>
    <dxf>
      <alignment vertical="center" readingOrder="0"/>
    </dxf>
    <dxf>
      <font>
        <strike val="0"/>
        <outline val="0"/>
        <shadow val="0"/>
        <u val="none"/>
        <vertAlign val="baseline"/>
        <sz val="9"/>
        <color auto="1"/>
        <name val="Arquitecta Book"/>
        <scheme val="minor"/>
      </font>
      <alignment vertical="center" textRotation="0" wrapText="0" indent="0" justifyLastLine="0" shrinkToFit="0" readingOrder="0"/>
    </dxf>
    <dxf>
      <font>
        <strike val="0"/>
        <outline val="0"/>
        <shadow val="0"/>
        <u val="none"/>
        <vertAlign val="baseline"/>
        <sz val="9"/>
        <color auto="1"/>
        <name val="Arquitecta Book"/>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Arquitecta Book"/>
        <scheme val="minor"/>
      </font>
      <border diagonalUp="0" diagonalDown="0" outline="0">
        <left/>
        <right/>
        <top/>
        <bottom/>
      </border>
    </dxf>
    <dxf>
      <font>
        <b val="0"/>
        <i val="0"/>
        <strike val="0"/>
        <condense val="0"/>
        <extend val="0"/>
        <outline val="0"/>
        <shadow val="0"/>
        <u val="none"/>
        <vertAlign val="baseline"/>
        <sz val="9"/>
        <color auto="1"/>
        <name val="Arquitecta Book"/>
        <scheme val="minor"/>
      </font>
      <alignment vertical="center"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theme="1"/>
        <name val="Arquitecta Book"/>
        <scheme val="minor"/>
      </font>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auto="1"/>
        <name val="Arquitecta Book"/>
        <scheme val="minor"/>
      </font>
      <alignment horizontal="center" vertical="center"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theme="1"/>
        <name val="Arquitecta Book"/>
        <scheme val="minor"/>
      </font>
      <border diagonalUp="0" diagonalDown="0" outline="0">
        <left/>
        <right/>
        <top/>
        <bottom/>
      </border>
    </dxf>
    <dxf>
      <font>
        <b val="0"/>
        <i val="0"/>
        <strike val="0"/>
        <condense val="0"/>
        <extend val="0"/>
        <outline val="0"/>
        <shadow val="0"/>
        <u val="none"/>
        <vertAlign val="baseline"/>
        <sz val="9"/>
        <color auto="1"/>
        <name val="Arquitecta Book"/>
        <scheme val="minor"/>
      </font>
      <alignment horizontal="general" vertical="center" textRotation="0" wrapText="0" indent="0" justifyLastLine="0" shrinkToFit="0" readingOrder="0"/>
      <border diagonalUp="0" diagonalDown="0" outline="0">
        <left/>
        <right/>
        <top style="thin">
          <color theme="1"/>
        </top>
        <bottom/>
      </border>
    </dxf>
    <dxf>
      <font>
        <strike val="0"/>
        <outline val="0"/>
        <shadow val="0"/>
        <u val="none"/>
        <vertAlign val="baseline"/>
        <sz val="9"/>
        <color auto="1"/>
        <name val="Arquitecta Book"/>
        <scheme val="minor"/>
      </font>
      <alignment vertical="center" textRotation="0" wrapText="0" indent="0" justifyLastLine="0" shrinkToFit="0" readingOrder="0"/>
    </dxf>
    <dxf>
      <border outline="0">
        <bottom style="thin">
          <color theme="1"/>
        </bottom>
      </border>
    </dxf>
    <dxf>
      <font>
        <strike val="0"/>
        <outline val="0"/>
        <shadow val="0"/>
        <u val="none"/>
        <vertAlign val="baseline"/>
        <sz val="9"/>
        <color auto="1"/>
        <name val="Arquitecta Book"/>
        <scheme val="minor"/>
      </font>
      <alignment vertical="center" textRotation="0" wrapText="0" indent="0" justifyLastLine="0" shrinkToFit="0" readingOrder="0"/>
    </dxf>
    <dxf>
      <font>
        <strike val="0"/>
        <outline val="0"/>
        <shadow val="0"/>
        <u val="none"/>
        <vertAlign val="baseline"/>
        <sz val="9"/>
        <color auto="1"/>
        <name val="Arquitecta Book"/>
        <scheme val="minor"/>
      </font>
      <alignment vertical="center" textRotation="0" wrapText="0" indent="0" justifyLastLine="0" shrinkToFit="0" readingOrder="0"/>
    </dxf>
    <dxf>
      <font>
        <b val="0"/>
        <i val="0"/>
        <strike val="0"/>
        <condense val="0"/>
        <extend val="0"/>
        <outline val="0"/>
        <shadow val="0"/>
        <u val="none"/>
        <vertAlign val="baseline"/>
        <sz val="10"/>
        <color auto="1"/>
        <name val="Arquitecta Book"/>
        <scheme val="minor"/>
      </font>
      <alignment horizontal="general" vertical="center" textRotation="0" indent="0" justifyLastLine="0" shrinkToFit="0" readingOrder="0"/>
    </dxf>
    <dxf>
      <font>
        <b val="0"/>
        <i val="0"/>
        <strike val="0"/>
        <condense val="0"/>
        <extend val="0"/>
        <outline val="0"/>
        <shadow val="0"/>
        <u val="none"/>
        <vertAlign val="baseline"/>
        <sz val="10"/>
        <color auto="1"/>
        <name val="Arquitecta Book"/>
        <scheme val="minor"/>
      </font>
      <alignment horizontal="general" vertical="center" textRotation="0" indent="0" justifyLastLine="0" shrinkToFit="0" readingOrder="0"/>
    </dxf>
    <dxf>
      <font>
        <b val="0"/>
        <i val="0"/>
        <strike val="0"/>
        <condense val="0"/>
        <extend val="0"/>
        <outline val="0"/>
        <shadow val="0"/>
        <u val="none"/>
        <vertAlign val="baseline"/>
        <sz val="10"/>
        <color auto="1"/>
        <name val="Arquitecta Book"/>
        <scheme val="minor"/>
      </font>
      <alignment horizontal="general" vertical="center" textRotation="0" indent="0" justifyLastLine="0" shrinkToFit="0" readingOrder="0"/>
    </dxf>
    <dxf>
      <font>
        <b val="0"/>
        <i val="0"/>
        <strike val="0"/>
        <condense val="0"/>
        <extend val="0"/>
        <outline val="0"/>
        <shadow val="0"/>
        <u val="none"/>
        <vertAlign val="baseline"/>
        <sz val="10"/>
        <color auto="1"/>
        <name val="Arquitecta Book"/>
        <scheme val="minor"/>
      </font>
      <alignment vertical="center" textRotation="0" indent="0" justifyLastLine="0" shrinkToFit="0" readingOrder="0"/>
    </dxf>
    <dxf>
      <font>
        <b val="0"/>
        <i val="0"/>
        <strike val="0"/>
        <condense val="0"/>
        <extend val="0"/>
        <outline val="0"/>
        <shadow val="0"/>
        <u val="none"/>
        <vertAlign val="baseline"/>
        <sz val="9"/>
        <color auto="1"/>
        <name val="Arquitecta Book"/>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quitecta Book"/>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quitecta Book"/>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name val="Arquitecta Book"/>
        <scheme val="minor"/>
      </font>
      <alignment vertical="center" textRotation="0" indent="0" justifyLastLine="0" shrinkToFit="0" readingOrder="0"/>
    </dxf>
    <dxf>
      <fill>
        <patternFill patternType="none">
          <bgColor auto="1"/>
        </patternFill>
      </fill>
    </dxf>
    <dxf>
      <font>
        <color theme="1"/>
      </font>
    </dxf>
    <dxf>
      <fill>
        <patternFill patternType="none">
          <bgColor auto="1"/>
        </patternFill>
      </fill>
    </dxf>
    <dxf>
      <protection locked="1"/>
    </dxf>
    <dxf>
      <numFmt numFmtId="166" formatCode="0.0%"/>
    </dxf>
    <dxf>
      <protection locked="1"/>
    </dxf>
    <dxf>
      <font>
        <sz val="9"/>
      </font>
    </dxf>
    <dxf>
      <alignment wrapText="1" readingOrder="0"/>
    </dxf>
    <dxf>
      <alignment vertical="center" readingOrder="0"/>
    </dxf>
    <dxf>
      <alignment vertical="bottom" indent="0" readingOrder="0"/>
    </dxf>
    <dxf>
      <alignment horizontal="center" readingOrder="0"/>
    </dxf>
    <dxf>
      <fill>
        <patternFill patternType="none">
          <bgColor auto="1"/>
        </patternFill>
      </fill>
    </dxf>
    <dxf>
      <font>
        <color theme="1"/>
      </font>
    </dxf>
    <dxf>
      <fill>
        <patternFill patternType="none">
          <bgColor auto="1"/>
        </patternFill>
      </fill>
    </dxf>
    <dxf>
      <alignment wrapText="1" readingOrder="0"/>
    </dxf>
    <dxf>
      <fill>
        <patternFill patternType="none">
          <bgColor auto="1"/>
        </patternFill>
      </fill>
    </dxf>
    <dxf>
      <fill>
        <patternFill patternType="none">
          <bgColor auto="1"/>
        </patternFill>
      </fill>
    </dxf>
    <dxf>
      <font>
        <color theme="0"/>
      </font>
    </dxf>
    <dxf>
      <font>
        <color theme="0"/>
      </font>
    </dxf>
    <dxf>
      <fill>
        <patternFill>
          <bgColor theme="5" tint="-0.499984740745262"/>
        </patternFill>
      </fill>
    </dxf>
    <dxf>
      <fill>
        <patternFill>
          <bgColor theme="5" tint="-0.499984740745262"/>
        </patternFill>
      </fill>
    </dxf>
    <dxf>
      <protection locked="1"/>
    </dxf>
    <dxf>
      <alignment horizontal="center" readingOrder="0"/>
    </dxf>
    <dxf>
      <protection locked="1"/>
    </dxf>
    <dxf>
      <alignment wrapText="1" readingOrder="0"/>
    </dxf>
    <dxf>
      <fill>
        <patternFill patternType="none">
          <bgColor auto="1"/>
        </patternFill>
      </fill>
    </dxf>
    <dxf>
      <alignment wrapText="1" readingOrder="0"/>
    </dxf>
    <dxf>
      <alignment vertical="center" readingOrder="0"/>
    </dxf>
    <dxf>
      <alignment vertical="bottom" indent="0" readingOrder="0"/>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wrapText="1" readingOrder="0"/>
    </dxf>
    <dxf>
      <alignment wrapText="1" readingOrder="0"/>
    </dxf>
    <dxf>
      <alignment wrapText="1" readingOrder="0"/>
    </dxf>
    <dxf>
      <alignment wrapText="1" readingOrder="0"/>
    </dxf>
    <dxf>
      <alignment horizontal="center" readingOrder="0"/>
    </dxf>
    <dxf>
      <fill>
        <patternFill patternType="none">
          <bgColor auto="1"/>
        </patternFill>
      </fill>
    </dxf>
    <dxf>
      <font>
        <color theme="1"/>
      </font>
    </dxf>
    <dxf>
      <alignment horizontal="center" readingOrder="0"/>
    </dxf>
    <dxf>
      <font>
        <color rgb="FFFFC000"/>
      </font>
    </dxf>
    <dxf>
      <font>
        <color rgb="FFFFC000"/>
      </font>
    </dxf>
    <dxf>
      <fill>
        <patternFill>
          <bgColor auto="1"/>
        </patternFill>
      </fill>
    </dxf>
    <dxf>
      <fill>
        <patternFill>
          <bgColor auto="1"/>
        </patternFill>
      </fill>
    </dxf>
    <dxf>
      <font>
        <color theme="0"/>
      </font>
    </dxf>
    <dxf>
      <fill>
        <patternFill patternType="none">
          <bgColor auto="1"/>
        </patternFill>
      </fill>
    </dxf>
    <dxf>
      <protection locked="1"/>
    </dxf>
    <dxf>
      <alignment horizontal="center" readingOrder="0"/>
    </dxf>
    <dxf>
      <protection locked="1"/>
    </dxf>
    <dxf>
      <alignment wrapText="1" readingOrder="0"/>
    </dxf>
    <dxf>
      <alignment vertical="center" readingOrder="0"/>
    </dxf>
    <dxf>
      <alignment vertical="bottom" indent="0" readingOrder="0"/>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wrapText="1" readingOrder="0"/>
    </dxf>
    <dxf>
      <alignment wrapText="1" readingOrder="0"/>
    </dxf>
    <dxf>
      <alignment wrapText="1" readingOrder="0"/>
    </dxf>
    <dxf>
      <alignment wrapText="1" readingOrder="0"/>
    </dxf>
    <dxf>
      <alignment horizontal="center" readingOrder="0"/>
    </dxf>
    <dxf>
      <fill>
        <patternFill patternType="none">
          <bgColor auto="1"/>
        </patternFill>
      </fill>
    </dxf>
    <dxf>
      <font>
        <color theme="1"/>
      </font>
    </dxf>
    <dxf>
      <alignment horizontal="center" readingOrder="0"/>
    </dxf>
    <dxf>
      <alignment horizontal="center" readingOrder="0"/>
    </dxf>
    <dxf>
      <alignment horizontal="left" readingOrder="0"/>
    </dxf>
    <dxf>
      <font>
        <color theme="0"/>
      </font>
    </dxf>
    <dxf>
      <fill>
        <patternFill patternType="none">
          <bgColor auto="1"/>
        </patternFill>
      </fill>
    </dxf>
    <dxf>
      <font>
        <sz val="9"/>
      </font>
    </dxf>
    <dxf>
      <font>
        <color theme="0"/>
      </font>
    </dxf>
    <dxf>
      <fill>
        <patternFill patternType="solid">
          <bgColor theme="5" tint="-0.499984740745262"/>
        </patternFill>
      </fill>
    </dxf>
    <dxf>
      <font>
        <color theme="1"/>
      </font>
    </dxf>
    <dxf>
      <alignment horizontal="center" readingOrder="0"/>
    </dxf>
    <dxf>
      <protection locked="1"/>
    </dxf>
    <dxf>
      <alignment wrapText="1" readingOrder="0"/>
    </dxf>
    <dxf>
      <alignment vertical="center" readingOrder="0"/>
    </dxf>
    <dxf>
      <alignment vertical="bottom" indent="0" readingOrder="0"/>
    </dxf>
    <dxf>
      <alignment horizontal="righ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wrapText="1" readingOrder="0"/>
    </dxf>
    <dxf>
      <alignment wrapText="1" readingOrder="0"/>
    </dxf>
    <dxf>
      <alignment wrapText="1" readingOrder="0"/>
    </dxf>
    <dxf>
      <alignment wrapText="1" readingOrder="0"/>
    </dxf>
    <dxf>
      <alignment wrapText="1" readingOrder="0"/>
    </dxf>
    <dxf>
      <font>
        <sz val="9"/>
      </font>
    </dxf>
    <dxf>
      <font>
        <sz val="9"/>
      </font>
    </dxf>
    <dxf>
      <font>
        <sz val="9"/>
      </font>
    </dxf>
    <dxf>
      <font>
        <sz val="9"/>
      </font>
    </dxf>
    <dxf>
      <font>
        <sz val="9"/>
      </font>
    </dxf>
    <dxf>
      <font>
        <sz val="9"/>
      </font>
    </dxf>
    <dxf>
      <alignment horizontal="center" readingOrder="0"/>
    </dxf>
    <dxf>
      <alignment horizontal="center" readingOrder="0"/>
    </dxf>
    <dxf>
      <alignment horizontal="center" readingOrder="0"/>
    </dxf>
    <dxf>
      <font>
        <sz val="8"/>
      </font>
    </dxf>
    <dxf>
      <font>
        <sz val="8"/>
      </font>
    </dxf>
    <dxf>
      <font>
        <sz val="8"/>
      </font>
    </dxf>
    <dxf>
      <alignment horizontal="center" readingOrder="0"/>
    </dxf>
    <dxf>
      <fill>
        <patternFill patternType="none">
          <fgColor indexed="64"/>
          <bgColor indexed="65"/>
        </patternFill>
      </fill>
    </dxf>
    <dxf>
      <alignment horizontal="center" readingOrder="0"/>
    </dxf>
    <dxf>
      <fill>
        <patternFill patternType="solid">
          <fgColor indexed="64"/>
          <bgColor theme="0"/>
        </patternFill>
      </fill>
    </dxf>
    <dxf>
      <font>
        <color theme="0"/>
      </font>
    </dxf>
    <dxf>
      <font>
        <color theme="0"/>
      </font>
    </dxf>
    <dxf>
      <font>
        <color theme="0"/>
      </font>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ont>
        <color theme="0"/>
      </font>
    </dxf>
    <dxf>
      <font>
        <color theme="0"/>
      </font>
    </dxf>
    <dxf>
      <font>
        <color theme="0"/>
      </font>
    </dxf>
    <dxf>
      <alignment horizontal="center" readingOrder="0"/>
    </dxf>
    <dxf>
      <alignment horizontal="center" readingOrder="0"/>
    </dxf>
    <dxf>
      <font>
        <color theme="0"/>
      </font>
    </dxf>
    <dxf>
      <font>
        <color theme="0"/>
      </font>
    </dxf>
    <dxf>
      <font>
        <color theme="0"/>
      </font>
    </dxf>
    <dxf>
      <font>
        <color theme="0"/>
      </font>
    </dxf>
    <dxf>
      <font>
        <color theme="0"/>
      </font>
    </dxf>
    <dxf>
      <fill>
        <patternFill>
          <bgColor theme="5" tint="-0.499984740745262"/>
        </patternFill>
      </fill>
    </dxf>
    <dxf>
      <fill>
        <patternFill>
          <bgColor theme="5" tint="-0.499984740745262"/>
        </patternFill>
      </fill>
    </dxf>
    <dxf>
      <fill>
        <patternFill>
          <bgColor theme="5" tint="-0.499984740745262"/>
        </patternFill>
      </fill>
    </dxf>
    <dxf>
      <fill>
        <patternFill>
          <bgColor theme="5" tint="-0.499984740745262"/>
        </patternFill>
      </fill>
    </dxf>
    <dxf>
      <fill>
        <patternFill>
          <bgColor theme="5" tint="-0.49998474074526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alignment wrapText="1" readingOrder="0"/>
    </dxf>
    <dxf>
      <alignment horizontal="center" readingOrder="0"/>
    </dxf>
    <dxf>
      <alignment horizontal="center" readingOrder="0"/>
    </dxf>
    <dxf>
      <alignment vertical="center" readingOrder="0"/>
    </dxf>
    <dxf>
      <font>
        <sz val="9"/>
      </font>
    </dxf>
    <dxf>
      <fill>
        <patternFill patternType="none">
          <bgColor auto="1"/>
        </patternFill>
      </fill>
    </dxf>
    <dxf>
      <font>
        <color theme="1"/>
      </font>
    </dxf>
    <dxf>
      <fill>
        <patternFill patternType="none">
          <bgColor auto="1"/>
        </patternFill>
      </fill>
    </dxf>
    <dxf>
      <border>
        <left/>
        <right/>
      </border>
    </dxf>
    <dxf>
      <protection locked="1"/>
    </dxf>
    <dxf>
      <alignment horizontal="center" readingOrder="0"/>
    </dxf>
    <dxf>
      <protection locked="1"/>
    </dxf>
    <dxf>
      <font>
        <sz val="9"/>
      </font>
    </dxf>
    <dxf>
      <alignment wrapText="1" readingOrder="0"/>
    </dxf>
    <dxf>
      <alignment vertical="center" readingOrder="0"/>
    </dxf>
    <dxf>
      <alignment vertical="bottom" indent="0" readingOrder="0"/>
    </dxf>
    <dxf>
      <alignment horizontal="center" readingOrder="0"/>
    </dxf>
    <dxf>
      <fill>
        <patternFill patternType="none">
          <bgColor auto="1"/>
        </patternFill>
      </fill>
    </dxf>
    <dxf>
      <font>
        <color theme="1"/>
      </font>
    </dxf>
    <dxf>
      <fill>
        <patternFill patternType="none">
          <bgColor auto="1"/>
        </patternFill>
      </fill>
    </dxf>
    <dxf>
      <protection locked="1"/>
    </dxf>
    <dxf>
      <font>
        <sz val="9"/>
      </font>
    </dxf>
    <dxf>
      <alignment wrapText="1" readingOrder="0"/>
    </dxf>
    <dxf>
      <alignment vertical="center" readingOrder="0"/>
    </dxf>
    <dxf>
      <alignment vertical="bottom" indent="0" readingOrder="0"/>
    </dxf>
    <dxf>
      <alignment horizontal="center" readingOrder="0"/>
    </dxf>
    <dxf>
      <fill>
        <patternFill patternType="none">
          <bgColor auto="1"/>
        </patternFill>
      </fill>
    </dxf>
    <dxf>
      <font>
        <color rgb="FFFF0000"/>
      </font>
    </dxf>
    <dxf>
      <font>
        <color rgb="FF009900"/>
      </font>
    </dxf>
    <dxf>
      <fill>
        <patternFill patternType="none">
          <bgColor auto="1"/>
        </patternFill>
      </fill>
    </dxf>
    <dxf>
      <font>
        <color rgb="FFFF0000"/>
      </font>
    </dxf>
    <dxf>
      <font>
        <color rgb="FF009900"/>
      </font>
    </dxf>
    <dxf>
      <fill>
        <patternFill patternType="none">
          <bgColor auto="1"/>
        </patternFill>
      </fill>
    </dxf>
    <dxf>
      <fill>
        <patternFill patternType="none">
          <bgColor auto="1"/>
        </patternFill>
      </fill>
    </dxf>
    <dxf>
      <font>
        <color rgb="FFFF0000"/>
      </font>
    </dxf>
    <dxf>
      <font>
        <color rgb="FF009900"/>
      </font>
    </dxf>
    <dxf>
      <fill>
        <patternFill patternType="none">
          <bgColor auto="1"/>
        </patternFill>
      </fill>
    </dxf>
    <dxf>
      <border outline="0">
        <top style="thin">
          <color theme="0" tint="-0.24994659260841701"/>
        </top>
      </border>
    </dxf>
    <dxf>
      <border outline="0">
        <bottom style="thin">
          <color theme="0" tint="-0.24994659260841701"/>
        </bottom>
      </border>
    </dxf>
    <dxf>
      <font>
        <color rgb="FFFF0000"/>
      </font>
    </dxf>
    <dxf>
      <font>
        <color rgb="FF0099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009900"/>
      </font>
    </dxf>
    <dxf>
      <fill>
        <patternFill patternType="none">
          <bgColor auto="1"/>
        </patternFill>
      </fill>
    </dxf>
    <dxf>
      <fill>
        <patternFill patternType="solid">
          <bgColor theme="1" tint="0.499984740745262"/>
        </patternFill>
      </fill>
    </dxf>
    <dxf>
      <font>
        <color rgb="FFFF0000"/>
      </font>
      <fill>
        <patternFill>
          <bgColor theme="1" tint="0.499984740745262"/>
        </patternFill>
      </fill>
    </dxf>
    <dxf>
      <font>
        <color rgb="FF009900"/>
      </font>
      <fill>
        <patternFill>
          <bgColor theme="1" tint="0.499984740745262"/>
        </patternFill>
      </fill>
    </dxf>
    <dxf>
      <font>
        <color rgb="FFFF0000"/>
      </font>
    </dxf>
    <dxf>
      <font>
        <color rgb="FF009900"/>
      </font>
    </dxf>
    <dxf>
      <fill>
        <patternFill patternType="none">
          <bgColor auto="1"/>
        </patternFill>
      </fill>
    </dxf>
    <dxf>
      <fill>
        <patternFill patternType="solid">
          <bgColor theme="1" tint="0.499984740745262"/>
        </patternFill>
      </fill>
    </dxf>
    <dxf>
      <font>
        <color rgb="FFFF0000"/>
      </font>
      <fill>
        <patternFill>
          <bgColor theme="1" tint="0.499984740745262"/>
        </patternFill>
      </fill>
    </dxf>
    <dxf>
      <font>
        <color rgb="FF009900"/>
      </font>
      <fill>
        <patternFill>
          <bgColor theme="1" tint="0.499984740745262"/>
        </patternFill>
      </fill>
    </dxf>
    <dxf>
      <font>
        <color rgb="FFFF0000"/>
      </font>
    </dxf>
    <dxf>
      <font>
        <color rgb="FF009900"/>
      </font>
    </dxf>
    <dxf>
      <font>
        <color rgb="FFFF0000"/>
      </font>
    </dxf>
    <dxf>
      <font>
        <color rgb="FF009900"/>
      </font>
    </dxf>
    <dxf>
      <font>
        <color rgb="FFFF0000"/>
      </font>
    </dxf>
    <dxf>
      <font>
        <color rgb="FF009900"/>
      </font>
    </dxf>
    <dxf>
      <font>
        <color rgb="FFFF0000"/>
      </font>
    </dxf>
    <dxf>
      <font>
        <color rgb="FF009900"/>
      </font>
    </dxf>
    <dxf>
      <font>
        <color rgb="FFFF0000"/>
      </font>
    </dxf>
    <dxf>
      <font>
        <color rgb="FF009900"/>
      </font>
    </dxf>
    <dxf>
      <font>
        <color rgb="FFFF0000"/>
      </font>
    </dxf>
    <dxf>
      <font>
        <color rgb="FF009900"/>
      </font>
    </dxf>
    <dxf>
      <font>
        <color theme="0"/>
      </font>
      <fill>
        <patternFill patternType="none">
          <fgColor indexed="64"/>
          <bgColor auto="1"/>
        </patternFill>
      </fill>
      <border diagonalUp="0" diagonalDown="0">
        <left/>
        <right/>
        <top/>
        <bottom/>
        <vertical/>
        <horizontal/>
      </border>
    </dxf>
    <dxf>
      <font>
        <color theme="0"/>
      </font>
      <fill>
        <patternFill patternType="none">
          <fgColor indexed="64"/>
          <bgColor auto="1"/>
        </patternFill>
      </fill>
      <border diagonalUp="0" diagonalDown="0">
        <left/>
        <right/>
        <top/>
        <bottom/>
        <vertical/>
        <horizontal/>
      </border>
    </dxf>
    <dxf>
      <font>
        <b/>
        <i val="0"/>
      </font>
      <border diagonalUp="0" diagonalDown="0">
        <left/>
        <right/>
        <top style="thin">
          <color theme="0" tint="-0.24994659260841701"/>
        </top>
        <bottom/>
        <vertical/>
        <horizontal style="thin">
          <color theme="0" tint="-0.24994659260841701"/>
        </horizontal>
      </border>
    </dxf>
    <dxf>
      <border diagonalUp="0" diagonalDown="0">
        <left/>
        <right/>
        <top/>
        <bottom style="thin">
          <color theme="0" tint="-0.24994659260841701"/>
        </bottom>
        <vertical/>
        <horizontal/>
      </border>
    </dxf>
    <dxf>
      <border diagonalUp="0" diagonalDown="1">
        <left/>
        <right/>
        <top style="thin">
          <color theme="0" tint="-0.24994659260841701"/>
        </top>
        <bottom style="thin">
          <color theme="0" tint="-0.24994659260841701"/>
        </bottom>
        <diagonal style="thin">
          <color auto="1"/>
        </diagonal>
        <vertical/>
        <horizontal style="thin">
          <color theme="0" tint="-0.24994659260841701"/>
        </horizontal>
      </border>
    </dxf>
    <dxf>
      <font>
        <color theme="0"/>
      </font>
      <fill>
        <patternFill patternType="none">
          <fgColor indexed="64"/>
          <bgColor auto="1"/>
        </patternFill>
      </fill>
      <border diagonalUp="0" diagonalDown="0">
        <left/>
        <right/>
        <top/>
        <bottom/>
        <vertical/>
        <horizontal/>
      </border>
    </dxf>
    <dxf>
      <font>
        <color theme="0"/>
      </font>
      <fill>
        <patternFill patternType="none">
          <fgColor indexed="64"/>
          <bgColor auto="1"/>
        </patternFill>
      </fill>
      <border diagonalUp="0" diagonalDown="0">
        <left/>
        <right/>
        <top/>
        <bottom/>
        <vertical/>
        <horizontal/>
      </border>
    </dxf>
    <dxf>
      <font>
        <b/>
        <i val="0"/>
      </font>
      <border diagonalUp="0" diagonalDown="0">
        <left/>
        <right/>
        <top style="thin">
          <color theme="0" tint="-0.24994659260841701"/>
        </top>
        <bottom/>
        <vertical/>
        <horizontal style="thin">
          <color theme="0" tint="-0.24994659260841701"/>
        </horizontal>
      </border>
    </dxf>
    <dxf>
      <border diagonalUp="0" diagonalDown="0">
        <left/>
        <right/>
        <top/>
        <bottom style="thin">
          <color theme="0" tint="-0.24994659260841701"/>
        </bottom>
        <vertical/>
        <horizontal/>
      </border>
    </dxf>
    <dxf>
      <border diagonalUp="0" diagonalDown="1">
        <left/>
        <right/>
        <top style="thin">
          <color theme="0" tint="-0.24994659260841701"/>
        </top>
        <bottom style="thin">
          <color theme="0" tint="-0.24994659260841701"/>
        </bottom>
        <diagonal style="thin">
          <color auto="1"/>
        </diagonal>
        <vertical/>
        <horizontal style="thin">
          <color theme="0" tint="-0.24994659260841701"/>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font>
        <b/>
        <color theme="1" tint="0.499984740745262"/>
      </font>
    </dxf>
    <dxf>
      <font>
        <b/>
        <color theme="1"/>
      </font>
    </dxf>
    <dxf>
      <font>
        <b/>
        <color theme="1" tint="0.499984740745262"/>
      </font>
    </dxf>
    <dxf>
      <font>
        <b/>
        <color theme="1"/>
      </font>
    </dxf>
    <dxf>
      <fill>
        <patternFill patternType="solid">
          <fgColor theme="0" tint="-0.14999847407452621"/>
          <bgColor theme="0" tint="-0.14999847407452621"/>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solid">
          <fgColor theme="0" tint="-0.14999847407452621"/>
          <bgColor theme="0" tint="-0.14999847407452621"/>
        </patternFill>
      </fill>
      <border>
        <top style="thin">
          <color theme="0" tint="-0.34998626667073579"/>
        </top>
        <bottom style="thin">
          <color theme="0" tint="-0.34998626667073579"/>
        </bottom>
      </border>
    </dxf>
    <dxf>
      <font>
        <b/>
        <color theme="1"/>
      </font>
      <fill>
        <patternFill patternType="solid">
          <fgColor theme="0"/>
          <bgColor theme="0"/>
        </patternFill>
      </fill>
      <border>
        <top style="thin">
          <color theme="1" tint="0.499984740745262"/>
        </top>
        <bottom style="thin">
          <color theme="1" tint="0.499984740745262"/>
        </bottom>
      </border>
    </dxf>
    <dxf>
      <font>
        <b/>
        <color theme="1"/>
      </font>
      <border>
        <top style="thin">
          <color theme="1" tint="0.499984740745262"/>
        </top>
        <bottom style="thin">
          <color theme="1" tint="0.499984740745262"/>
        </bottom>
      </border>
    </dxf>
    <dxf>
      <font>
        <color theme="1"/>
      </font>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font>
        <b/>
        <color theme="1" tint="0.499984740745262"/>
      </font>
    </dxf>
    <dxf>
      <font>
        <b/>
        <color theme="1"/>
      </font>
    </dxf>
    <dxf>
      <font>
        <b/>
        <color theme="1" tint="0.499984740745262"/>
      </font>
    </dxf>
    <dxf>
      <font>
        <b/>
        <color theme="1"/>
      </font>
    </dxf>
    <dxf>
      <fill>
        <patternFill patternType="solid">
          <fgColor theme="0" tint="-0.14999847407452621"/>
          <bgColor theme="0" tint="-0.14999847407452621"/>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solid">
          <fgColor theme="0" tint="-0.14999847407452621"/>
          <bgColor theme="0" tint="-0.14999847407452621"/>
        </patternFill>
      </fill>
      <border>
        <top style="thin">
          <color theme="0" tint="-0.34998626667073579"/>
        </top>
        <bottom style="thin">
          <color theme="0" tint="-0.34998626667073579"/>
        </bottom>
      </border>
    </dxf>
    <dxf>
      <font>
        <b/>
        <color theme="1"/>
      </font>
      <fill>
        <patternFill patternType="solid">
          <fgColor theme="0"/>
          <bgColor theme="0"/>
        </patternFill>
      </fill>
      <border>
        <top style="thin">
          <color theme="1" tint="0.499984740745262"/>
        </top>
        <bottom style="thin">
          <color theme="1" tint="0.499984740745262"/>
        </bottom>
      </border>
    </dxf>
    <dxf>
      <font>
        <b/>
        <color theme="1"/>
      </font>
      <border>
        <top style="thin">
          <color theme="1" tint="0.499984740745262"/>
        </top>
        <bottom style="thin">
          <color theme="1" tint="0.499984740745262"/>
        </bottom>
      </border>
    </dxf>
    <dxf>
      <font>
        <color theme="1"/>
      </font>
      <border>
        <bottom style="thin">
          <color theme="0" tint="-0.14996795556505021"/>
        </bottom>
        <horizontal style="thin">
          <color theme="0" tint="-0.14999847407452621"/>
        </horizontal>
      </border>
    </dxf>
    <dxf>
      <border>
        <left/>
        <right/>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border>
        <top style="thin">
          <color theme="0" tint="-0.24994659260841701"/>
        </top>
        <bottom style="thin">
          <color theme="0" tint="-0.24994659260841701"/>
        </bottom>
        <horizontal style="thin">
          <color theme="0" tint="-0.24994659260841701"/>
        </horizontal>
      </border>
    </dxf>
    <dxf>
      <border diagonalUp="1">
        <top style="thin">
          <color theme="0" tint="-0.24994659260841701"/>
        </top>
        <bottom style="thin">
          <color theme="0" tint="-0.24994659260841701"/>
        </bottom>
        <diagonal style="thin">
          <color theme="0" tint="-0.24994659260841701"/>
        </diagonal>
        <horizontal/>
      </border>
    </dxf>
    <dxf>
      <font>
        <b/>
        <i val="0"/>
      </font>
      <border>
        <top style="thin">
          <color theme="0" tint="-0.24994659260841701"/>
        </top>
        <bottom style="thin">
          <color theme="0" tint="-0.24994659260841701"/>
        </bottom>
        <horizontal/>
      </border>
    </dxf>
    <dxf>
      <font>
        <b/>
        <color theme="1"/>
      </font>
      <fill>
        <patternFill patternType="solid">
          <fgColor theme="0"/>
          <bgColor theme="0"/>
        </patternFill>
      </fill>
      <border>
        <top style="thin">
          <color theme="1" tint="0.499984740745262"/>
        </top>
        <bottom style="thin">
          <color theme="1" tint="0.499984740745262"/>
        </bottom>
      </border>
    </dxf>
    <dxf>
      <font>
        <b/>
        <color theme="1"/>
      </font>
      <border>
        <top style="thin">
          <color theme="1" tint="0.499984740745262"/>
        </top>
        <bottom style="thin">
          <color theme="1" tint="0.499984740745262"/>
        </bottom>
      </border>
    </dxf>
    <dxf>
      <font>
        <color theme="1"/>
      </font>
      <border>
        <top/>
        <bottom/>
        <horizontal/>
      </border>
    </dxf>
  </dxfs>
  <tableStyles count="6" defaultTableStyle="TableStyleMedium9" defaultPivotStyle="PivotStyleLight16">
    <tableStyle name="ICA 01" table="0" count="8" xr9:uid="{00000000-0011-0000-FFFF-FFFF00000000}">
      <tableStyleElement type="wholeTable" dxfId="291"/>
      <tableStyleElement type="headerRow" dxfId="290"/>
      <tableStyleElement type="totalRow" dxfId="289"/>
      <tableStyleElement type="firstRowSubheading" dxfId="288"/>
      <tableStyleElement type="secondRowSubheading" dxfId="287"/>
      <tableStyleElement type="thirdRowSubheading" dxfId="286"/>
      <tableStyleElement type="pageFieldLabels" dxfId="285"/>
      <tableStyleElement type="pageFieldValues" dxfId="284"/>
    </tableStyle>
    <tableStyle name="ICA1" table="0" count="1" xr9:uid="{00000000-0011-0000-FFFF-FFFF01000000}">
      <tableStyleElement type="wholeTable" dxfId="283"/>
    </tableStyle>
    <tableStyle name="ICA2" table="0" count="11" xr9:uid="{00000000-0011-0000-FFFF-FFFF02000000}">
      <tableStyleElement type="wholeTable" dxfId="282"/>
      <tableStyleElement type="headerRow" dxfId="281"/>
      <tableStyleElement type="totalRow" dxfId="280"/>
      <tableStyleElement type="firstRowStripe" dxfId="279"/>
      <tableStyleElement type="firstColumnStripe" dxfId="278"/>
      <tableStyleElement type="firstSubtotalRow" dxfId="277"/>
      <tableStyleElement type="secondSubtotalRow" dxfId="276"/>
      <tableStyleElement type="firstRowSubheading" dxfId="275"/>
      <tableStyleElement type="secondRowSubheading" dxfId="274"/>
      <tableStyleElement type="pageFieldLabels" dxfId="273"/>
      <tableStyleElement type="pageFieldValues" dxfId="272"/>
    </tableStyle>
    <tableStyle name="ICA2 3" table="0" count="11" xr9:uid="{00000000-0011-0000-FFFF-FFFF03000000}">
      <tableStyleElement type="wholeTable" dxfId="271"/>
      <tableStyleElement type="headerRow" dxfId="270"/>
      <tableStyleElement type="totalRow" dxfId="269"/>
      <tableStyleElement type="firstRowStripe" dxfId="268"/>
      <tableStyleElement type="firstColumnStripe" dxfId="267"/>
      <tableStyleElement type="firstSubtotalRow" dxfId="266"/>
      <tableStyleElement type="secondSubtotalRow" dxfId="265"/>
      <tableStyleElement type="firstRowSubheading" dxfId="264"/>
      <tableStyleElement type="secondRowSubheading" dxfId="263"/>
      <tableStyleElement type="pageFieldLabels" dxfId="262"/>
      <tableStyleElement type="pageFieldValues" dxfId="261"/>
    </tableStyle>
    <tableStyle name="NEWSLETTER" table="0" count="5" xr9:uid="{00000000-0011-0000-FFFF-FFFF04000000}">
      <tableStyleElement type="wholeTable" dxfId="260"/>
      <tableStyleElement type="headerRow" dxfId="259"/>
      <tableStyleElement type="totalRow" dxfId="258"/>
      <tableStyleElement type="pageFieldLabels" dxfId="257"/>
      <tableStyleElement type="pageFieldValues" dxfId="256"/>
    </tableStyle>
    <tableStyle name="NEWSLETTER 2" table="0" count="5" xr9:uid="{00000000-0011-0000-FFFF-FFFF05000000}">
      <tableStyleElement type="wholeTable" dxfId="255"/>
      <tableStyleElement type="headerRow" dxfId="254"/>
      <tableStyleElement type="totalRow" dxfId="253"/>
      <tableStyleElement type="pageFieldLabels" dxfId="252"/>
      <tableStyleElement type="pageFieldValues" dxfId="251"/>
    </tableStyle>
  </tableStyles>
  <colors>
    <indexedColors>
      <rgbColor rgb="00000000"/>
      <rgbColor rgb="00FFFFFF"/>
      <rgbColor rgb="00FF0000"/>
      <rgbColor rgb="0000FF00"/>
      <rgbColor rgb="000000FF"/>
      <rgbColor rgb="00FFFF00"/>
      <rgbColor rgb="00FF00FF"/>
      <rgbColor rgb="0000FFFF"/>
      <rgbColor rgb="00A0A0A0"/>
      <rgbColor rgb="00F0F0F0"/>
      <rgbColor rgb="0000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808080"/>
      <color rgb="FFFF0066"/>
      <color rgb="FF0099CC"/>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14137595235669"/>
          <c:y val="5.5436507936510733E-2"/>
          <c:w val="0.76610973003955873"/>
          <c:h val="0.77523888888890002"/>
        </c:manualLayout>
      </c:layout>
      <c:barChart>
        <c:barDir val="col"/>
        <c:grouping val="clustered"/>
        <c:varyColors val="0"/>
        <c:ser>
          <c:idx val="0"/>
          <c:order val="0"/>
          <c:tx>
            <c:strRef>
              <c:f>TABELAS!$E$4</c:f>
              <c:strCache>
                <c:ptCount val="1"/>
                <c:pt idx="0">
                  <c:v>FILMES ESTREADOS
FILMS RELEASED</c:v>
                </c:pt>
              </c:strCache>
            </c:strRef>
          </c:tx>
          <c:spPr>
            <a:solidFill>
              <a:schemeClr val="tx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TABELAS!$D$5:$D$11</c:f>
              <c:strCache>
                <c:ptCount val="7"/>
                <c:pt idx="0">
                  <c:v>NOS</c:v>
                </c:pt>
                <c:pt idx="1">
                  <c:v>CINEMUNDO</c:v>
                </c:pt>
                <c:pt idx="2">
                  <c:v>FILMS4YOU</c:v>
                </c:pt>
                <c:pt idx="3">
                  <c:v>LEOPARDO</c:v>
                </c:pt>
                <c:pt idx="4">
                  <c:v>PRIS</c:v>
                </c:pt>
                <c:pt idx="5">
                  <c:v>MIDAS</c:v>
                </c:pt>
                <c:pt idx="6">
                  <c:v>OUTROS</c:v>
                </c:pt>
              </c:strCache>
            </c:strRef>
          </c:cat>
          <c:val>
            <c:numRef>
              <c:f>TABELAS!$E$5:$E$11</c:f>
              <c:numCache>
                <c:formatCode>General</c:formatCode>
                <c:ptCount val="7"/>
                <c:pt idx="0">
                  <c:v>8</c:v>
                </c:pt>
                <c:pt idx="1">
                  <c:v>3</c:v>
                </c:pt>
                <c:pt idx="2">
                  <c:v>3</c:v>
                </c:pt>
                <c:pt idx="3">
                  <c:v>2</c:v>
                </c:pt>
                <c:pt idx="4">
                  <c:v>2</c:v>
                </c:pt>
                <c:pt idx="5">
                  <c:v>1</c:v>
                </c:pt>
                <c:pt idx="6">
                  <c:v>8</c:v>
                </c:pt>
              </c:numCache>
            </c:numRef>
          </c:val>
          <c:extLst>
            <c:ext xmlns:c16="http://schemas.microsoft.com/office/drawing/2014/chart" uri="{C3380CC4-5D6E-409C-BE32-E72D297353CC}">
              <c16:uniqueId val="{00000000-658B-4ECE-BBE2-4EBC8843A6B1}"/>
            </c:ext>
          </c:extLst>
        </c:ser>
        <c:ser>
          <c:idx val="1"/>
          <c:order val="1"/>
          <c:tx>
            <c:strRef>
              <c:f>TABELAS!$F$4</c:f>
              <c:strCache>
                <c:ptCount val="1"/>
                <c:pt idx="0">
                  <c:v>FILMES EXIBIDOS
FILMS EXHIBITED</c:v>
                </c:pt>
              </c:strCache>
            </c:strRef>
          </c:tx>
          <c:spPr>
            <a:solidFill>
              <a:schemeClr val="tx1">
                <a:lumMod val="50000"/>
                <a:lumOff val="50000"/>
              </a:schemeClr>
            </a:solidFill>
          </c:spPr>
          <c:invertIfNegative val="0"/>
          <c:dLbls>
            <c:numFmt formatCode="General"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TABELAS!$D$5:$D$11</c:f>
              <c:strCache>
                <c:ptCount val="7"/>
                <c:pt idx="0">
                  <c:v>NOS</c:v>
                </c:pt>
                <c:pt idx="1">
                  <c:v>CINEMUNDO</c:v>
                </c:pt>
                <c:pt idx="2">
                  <c:v>FILMS4YOU</c:v>
                </c:pt>
                <c:pt idx="3">
                  <c:v>LEOPARDO</c:v>
                </c:pt>
                <c:pt idx="4">
                  <c:v>PRIS</c:v>
                </c:pt>
                <c:pt idx="5">
                  <c:v>MIDAS</c:v>
                </c:pt>
                <c:pt idx="6">
                  <c:v>OUTROS</c:v>
                </c:pt>
              </c:strCache>
            </c:strRef>
          </c:cat>
          <c:val>
            <c:numRef>
              <c:f>TABELAS!$F$5:$F$11</c:f>
              <c:numCache>
                <c:formatCode>#,##0</c:formatCode>
                <c:ptCount val="7"/>
                <c:pt idx="0">
                  <c:v>31</c:v>
                </c:pt>
                <c:pt idx="1">
                  <c:v>8</c:v>
                </c:pt>
                <c:pt idx="2">
                  <c:v>8</c:v>
                </c:pt>
                <c:pt idx="3">
                  <c:v>7</c:v>
                </c:pt>
                <c:pt idx="4">
                  <c:v>6</c:v>
                </c:pt>
                <c:pt idx="5">
                  <c:v>8</c:v>
                </c:pt>
                <c:pt idx="6" formatCode="General">
                  <c:v>52</c:v>
                </c:pt>
              </c:numCache>
            </c:numRef>
          </c:val>
          <c:extLst>
            <c:ext xmlns:c16="http://schemas.microsoft.com/office/drawing/2014/chart" uri="{C3380CC4-5D6E-409C-BE32-E72D297353CC}">
              <c16:uniqueId val="{00000001-658B-4ECE-BBE2-4EBC8843A6B1}"/>
            </c:ext>
          </c:extLst>
        </c:ser>
        <c:dLbls>
          <c:showLegendKey val="0"/>
          <c:showVal val="0"/>
          <c:showCatName val="0"/>
          <c:showSerName val="0"/>
          <c:showPercent val="0"/>
          <c:showBubbleSize val="0"/>
        </c:dLbls>
        <c:gapWidth val="100"/>
        <c:axId val="104309120"/>
        <c:axId val="104310656"/>
      </c:barChart>
      <c:catAx>
        <c:axId val="104309120"/>
        <c:scaling>
          <c:orientation val="minMax"/>
        </c:scaling>
        <c:delete val="0"/>
        <c:axPos val="b"/>
        <c:numFmt formatCode="General" sourceLinked="1"/>
        <c:majorTickMark val="out"/>
        <c:minorTickMark val="none"/>
        <c:tickLblPos val="nextTo"/>
        <c:crossAx val="104310656"/>
        <c:crosses val="autoZero"/>
        <c:auto val="1"/>
        <c:lblAlgn val="ctr"/>
        <c:lblOffset val="100"/>
        <c:noMultiLvlLbl val="0"/>
      </c:catAx>
      <c:valAx>
        <c:axId val="104310656"/>
        <c:scaling>
          <c:orientation val="minMax"/>
        </c:scaling>
        <c:delete val="1"/>
        <c:axPos val="l"/>
        <c:numFmt formatCode="General" sourceLinked="1"/>
        <c:majorTickMark val="out"/>
        <c:minorTickMark val="none"/>
        <c:tickLblPos val="none"/>
        <c:crossAx val="104309120"/>
        <c:crosses val="autoZero"/>
        <c:crossBetween val="between"/>
      </c:valAx>
      <c:spPr>
        <a:noFill/>
      </c:spPr>
    </c:plotArea>
    <c:legend>
      <c:legendPos val="l"/>
      <c:layout>
        <c:manualLayout>
          <c:xMode val="edge"/>
          <c:yMode val="edge"/>
          <c:x val="0"/>
          <c:y val="0.19795864543837424"/>
          <c:w val="0.18182161037800987"/>
          <c:h val="0.65363789047154652"/>
        </c:manualLayout>
      </c:layout>
      <c:overlay val="0"/>
      <c:txPr>
        <a:bodyPr/>
        <a:lstStyle/>
        <a:p>
          <a:pPr>
            <a:defRPr sz="900"/>
          </a:pPr>
          <a:endParaRPr lang="pt-PT"/>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2.4531833838274012E-2"/>
          <c:y val="7.8214648530181771E-2"/>
          <c:w val="0.95134575163401203"/>
          <c:h val="0.58481049382715256"/>
        </c:manualLayout>
      </c:layout>
      <c:barChart>
        <c:barDir val="col"/>
        <c:grouping val="stacked"/>
        <c:varyColors val="0"/>
        <c:ser>
          <c:idx val="0"/>
          <c:order val="0"/>
          <c:tx>
            <c:strRef>
              <c:f>[9]NEWSLETTER!$W$13</c:f>
              <c:strCache>
                <c:ptCount val="1"/>
                <c:pt idx="0">
                  <c:v>#REF!</c:v>
                </c:pt>
              </c:strCache>
            </c:strRef>
          </c:tx>
          <c:invertIfNegative val="0"/>
          <c:dLbls>
            <c:spPr>
              <a:noFill/>
              <a:ln>
                <a:noFill/>
              </a:ln>
              <a:effectLst/>
            </c:spPr>
            <c:txPr>
              <a:bodyPr/>
              <a:lstStyle/>
              <a:p>
                <a:pPr>
                  <a:defRPr sz="1000" b="1"/>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[6]NEWSLETTER!$U$14:$U$16</c:f>
              <c:strCache>
                <c:ptCount val="3"/>
                <c:pt idx="0">
                  <c:v>DOCUMENTÁRIO Total</c:v>
                </c:pt>
                <c:pt idx="1">
                  <c:v>ANIMAÇÃO</c:v>
                </c:pt>
              </c:strCache>
            </c:strRef>
          </c:cat>
          <c:val>
            <c:numRef>
              <c:f>[6]NEWSLETTER!$W$14:$W$16</c:f>
              <c:numCache>
                <c:formatCode>General</c:formatCode>
                <c:ptCount val="3"/>
                <c:pt idx="0">
                  <c:v>5</c:v>
                </c:pt>
                <c:pt idx="1">
                  <c:v>1</c:v>
                </c:pt>
              </c:numCache>
            </c:numRef>
          </c:val>
          <c:extLst>
            <c:ext xmlns:c16="http://schemas.microsoft.com/office/drawing/2014/chart" uri="{C3380CC4-5D6E-409C-BE32-E72D297353CC}">
              <c16:uniqueId val="{00000000-8737-4FC3-8353-B78E6DBC03A0}"/>
            </c:ext>
          </c:extLst>
        </c:ser>
        <c:dLbls>
          <c:showLegendKey val="0"/>
          <c:showVal val="0"/>
          <c:showCatName val="0"/>
          <c:showSerName val="0"/>
          <c:showPercent val="0"/>
          <c:showBubbleSize val="0"/>
        </c:dLbls>
        <c:gapWidth val="200"/>
        <c:overlap val="100"/>
        <c:axId val="107155840"/>
        <c:axId val="107580416"/>
      </c:barChart>
      <c:lineChart>
        <c:grouping val="standard"/>
        <c:varyColors val="0"/>
        <c:ser>
          <c:idx val="2"/>
          <c:order val="1"/>
          <c:tx>
            <c:strRef>
              <c:f>[9]NEWSLETTER!$V$13</c:f>
              <c:strCache>
                <c:ptCount val="1"/>
                <c:pt idx="0">
                  <c:v>#REF!</c:v>
                </c:pt>
              </c:strCache>
            </c:strRef>
          </c:tx>
          <c:spPr>
            <a:ln w="66675">
              <a:noFill/>
            </a:ln>
          </c:spPr>
          <c:marker>
            <c:symbol val="circle"/>
            <c:size val="6"/>
            <c:spPr>
              <a:solidFill>
                <a:schemeClr val="bg2"/>
              </a:solidFill>
              <a:ln>
                <a:noFill/>
              </a:ln>
            </c:spPr>
          </c:marker>
          <c:dLbls>
            <c:numFmt formatCode="&quot;€&quot;\ #,##0.00" sourceLinked="0"/>
            <c:spPr>
              <a:noFill/>
              <a:ln>
                <a:noFill/>
              </a:ln>
              <a:effectLst/>
            </c:spPr>
            <c:txPr>
              <a:bodyPr/>
              <a:lstStyle/>
              <a:p>
                <a:pPr>
                  <a:defRPr sz="1000" b="1"/>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[6]NEWSLETTER!$U$14:$U$16</c:f>
              <c:strCache>
                <c:ptCount val="3"/>
                <c:pt idx="0">
                  <c:v>DOCUMENTÁRIO Total</c:v>
                </c:pt>
                <c:pt idx="1">
                  <c:v>ANIMAÇÃO</c:v>
                </c:pt>
              </c:strCache>
            </c:strRef>
          </c:cat>
          <c:val>
            <c:numRef>
              <c:f>[6]NEWSLETTER!$V$14:$V$16</c:f>
              <c:numCache>
                <c:formatCode>General</c:formatCode>
                <c:ptCount val="3"/>
                <c:pt idx="1">
                  <c:v>0</c:v>
                </c:pt>
                <c:pt idx="2">
                  <c:v>0</c:v>
                </c:pt>
              </c:numCache>
            </c:numRef>
          </c:val>
          <c:smooth val="0"/>
          <c:extLst>
            <c:ext xmlns:c16="http://schemas.microsoft.com/office/drawing/2014/chart" uri="{C3380CC4-5D6E-409C-BE32-E72D297353CC}">
              <c16:uniqueId val="{00000001-8737-4FC3-8353-B78E6DBC03A0}"/>
            </c:ext>
          </c:extLst>
        </c:ser>
        <c:dLbls>
          <c:showLegendKey val="0"/>
          <c:showVal val="0"/>
          <c:showCatName val="0"/>
          <c:showSerName val="0"/>
          <c:showPercent val="0"/>
          <c:showBubbleSize val="0"/>
        </c:dLbls>
        <c:marker val="1"/>
        <c:smooth val="0"/>
        <c:axId val="107160320"/>
        <c:axId val="107158528"/>
      </c:lineChart>
      <c:catAx>
        <c:axId val="107155840"/>
        <c:scaling>
          <c:orientation val="minMax"/>
        </c:scaling>
        <c:delete val="0"/>
        <c:axPos val="b"/>
        <c:numFmt formatCode="General" sourceLinked="1"/>
        <c:majorTickMark val="out"/>
        <c:minorTickMark val="none"/>
        <c:tickLblPos val="nextTo"/>
        <c:txPr>
          <a:bodyPr/>
          <a:lstStyle/>
          <a:p>
            <a:pPr>
              <a:defRPr sz="800"/>
            </a:pPr>
            <a:endParaRPr lang="pt-PT"/>
          </a:p>
        </c:txPr>
        <c:crossAx val="107580416"/>
        <c:crosses val="autoZero"/>
        <c:auto val="1"/>
        <c:lblAlgn val="ctr"/>
        <c:lblOffset val="100"/>
        <c:noMultiLvlLbl val="0"/>
      </c:catAx>
      <c:valAx>
        <c:axId val="107580416"/>
        <c:scaling>
          <c:orientation val="minMax"/>
          <c:max val="10"/>
        </c:scaling>
        <c:delete val="0"/>
        <c:axPos val="l"/>
        <c:numFmt formatCode="General" sourceLinked="1"/>
        <c:majorTickMark val="none"/>
        <c:minorTickMark val="none"/>
        <c:tickLblPos val="none"/>
        <c:crossAx val="107155840"/>
        <c:crosses val="autoZero"/>
        <c:crossBetween val="between"/>
      </c:valAx>
      <c:valAx>
        <c:axId val="107158528"/>
        <c:scaling>
          <c:orientation val="minMax"/>
          <c:min val="0"/>
        </c:scaling>
        <c:delete val="0"/>
        <c:axPos val="r"/>
        <c:numFmt formatCode="General" sourceLinked="1"/>
        <c:majorTickMark val="none"/>
        <c:minorTickMark val="none"/>
        <c:tickLblPos val="none"/>
        <c:crossAx val="107160320"/>
        <c:crosses val="max"/>
        <c:crossBetween val="between"/>
      </c:valAx>
      <c:catAx>
        <c:axId val="107160320"/>
        <c:scaling>
          <c:orientation val="minMax"/>
        </c:scaling>
        <c:delete val="1"/>
        <c:axPos val="b"/>
        <c:numFmt formatCode="General" sourceLinked="1"/>
        <c:majorTickMark val="out"/>
        <c:minorTickMark val="none"/>
        <c:tickLblPos val="none"/>
        <c:crossAx val="107158528"/>
        <c:crosses val="autoZero"/>
        <c:auto val="1"/>
        <c:lblAlgn val="ctr"/>
        <c:lblOffset val="100"/>
        <c:noMultiLvlLbl val="0"/>
      </c:catAx>
      <c:spPr>
        <a:noFill/>
      </c:spPr>
    </c:plotArea>
    <c:legend>
      <c:legendPos val="l"/>
      <c:layout>
        <c:manualLayout>
          <c:xMode val="edge"/>
          <c:yMode val="edge"/>
          <c:x val="0"/>
          <c:y val="0.82215465636290064"/>
          <c:w val="1"/>
          <c:h val="0.17550694836245331"/>
        </c:manualLayout>
      </c:layout>
      <c:overlay val="0"/>
      <c:txPr>
        <a:bodyPr/>
        <a:lstStyle/>
        <a:p>
          <a:pPr>
            <a:defRPr sz="900"/>
          </a:pPr>
          <a:endParaRPr lang="pt-PT"/>
        </a:p>
      </c:txPr>
    </c:legend>
    <c:plotVisOnly val="1"/>
    <c:dispBlanksAs val="gap"/>
    <c:showDLblsOverMax val="0"/>
  </c:chart>
  <c:spPr>
    <a:noFill/>
    <a:ln>
      <a:noFill/>
    </a:ln>
  </c:spPr>
  <c:txPr>
    <a:bodyPr/>
    <a:lstStyle/>
    <a:p>
      <a:pPr>
        <a:defRPr sz="800">
          <a:solidFill>
            <a:schemeClr val="bg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2.4531833838274012E-2"/>
          <c:y val="0.11937222222222379"/>
          <c:w val="0.96427138002542001"/>
          <c:h val="0.49740000000001106"/>
        </c:manualLayout>
      </c:layout>
      <c:barChart>
        <c:barDir val="col"/>
        <c:grouping val="stacked"/>
        <c:varyColors val="0"/>
        <c:ser>
          <c:idx val="0"/>
          <c:order val="0"/>
          <c:tx>
            <c:strRef>
              <c:f>[6]NEWSLETTER!$V$25</c:f>
              <c:strCache>
                <c:ptCount val="1"/>
                <c:pt idx="0">
                  <c:v>#REF!</c:v>
                </c:pt>
              </c:strCache>
            </c:strRef>
          </c:tx>
          <c:invertIfNegative val="0"/>
          <c:dLbls>
            <c:spPr>
              <a:noFill/>
              <a:ln>
                <a:noFill/>
              </a:ln>
              <a:effectLst/>
            </c:spPr>
            <c:txPr>
              <a:bodyPr/>
              <a:lstStyle/>
              <a:p>
                <a:pPr>
                  <a:defRPr sz="1000" b="1"/>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[6]NEWSLETTER!$U$28:$U$31</c:f>
              <c:numCache>
                <c:formatCode>General</c:formatCode>
                <c:ptCount val="4"/>
              </c:numCache>
            </c:numRef>
          </c:cat>
          <c:val>
            <c:numRef>
              <c:f>[6]NEWSLETTER!$W$28:$W$31</c:f>
              <c:numCache>
                <c:formatCode>General</c:formatCode>
                <c:ptCount val="4"/>
              </c:numCache>
            </c:numRef>
          </c:val>
          <c:extLst>
            <c:ext xmlns:c16="http://schemas.microsoft.com/office/drawing/2014/chart" uri="{C3380CC4-5D6E-409C-BE32-E72D297353CC}">
              <c16:uniqueId val="{00000000-E3B2-415B-92A4-49717E1EC6DE}"/>
            </c:ext>
          </c:extLst>
        </c:ser>
        <c:ser>
          <c:idx val="1"/>
          <c:order val="1"/>
          <c:tx>
            <c:strRef>
              <c:f>[6]NEWSLETTER!$X$25</c:f>
              <c:strCache>
                <c:ptCount val="1"/>
                <c:pt idx="0">
                  <c:v>#REF!</c:v>
                </c:pt>
              </c:strCache>
            </c:strRef>
          </c:tx>
          <c:spPr>
            <a:solidFill>
              <a:schemeClr val="accent4"/>
            </a:solidFill>
          </c:spPr>
          <c:invertIfNegative val="0"/>
          <c:dLbls>
            <c:spPr>
              <a:noFill/>
              <a:ln>
                <a:noFill/>
              </a:ln>
              <a:effectLst/>
            </c:spPr>
            <c:txPr>
              <a:bodyPr/>
              <a:lstStyle/>
              <a:p>
                <a:pPr>
                  <a:defRPr sz="1000" b="1"/>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[6]NEWSLETTER!$U$28:$U$31</c:f>
              <c:numCache>
                <c:formatCode>General</c:formatCode>
                <c:ptCount val="4"/>
              </c:numCache>
            </c:numRef>
          </c:cat>
          <c:val>
            <c:numRef>
              <c:f>[6]NEWSLETTER!$Y$28:$Y$31</c:f>
              <c:numCache>
                <c:formatCode>General</c:formatCode>
                <c:ptCount val="4"/>
              </c:numCache>
            </c:numRef>
          </c:val>
          <c:extLst>
            <c:ext xmlns:c16="http://schemas.microsoft.com/office/drawing/2014/chart" uri="{C3380CC4-5D6E-409C-BE32-E72D297353CC}">
              <c16:uniqueId val="{00000001-E3B2-415B-92A4-49717E1EC6DE}"/>
            </c:ext>
          </c:extLst>
        </c:ser>
        <c:dLbls>
          <c:showLegendKey val="0"/>
          <c:showVal val="0"/>
          <c:showCatName val="0"/>
          <c:showSerName val="0"/>
          <c:showPercent val="0"/>
          <c:showBubbleSize val="0"/>
        </c:dLbls>
        <c:gapWidth val="100"/>
        <c:overlap val="100"/>
        <c:axId val="107213184"/>
        <c:axId val="107214720"/>
      </c:barChart>
      <c:lineChart>
        <c:grouping val="standard"/>
        <c:varyColors val="0"/>
        <c:ser>
          <c:idx val="2"/>
          <c:order val="2"/>
          <c:tx>
            <c:strRef>
              <c:f>[6]NEWSLETTER!$Z$23</c:f>
              <c:strCache>
                <c:ptCount val="1"/>
                <c:pt idx="0">
                  <c:v>#REF!</c:v>
                </c:pt>
              </c:strCache>
            </c:strRef>
          </c:tx>
          <c:spPr>
            <a:ln w="66675">
              <a:noFill/>
            </a:ln>
          </c:spPr>
          <c:marker>
            <c:symbol val="circle"/>
            <c:size val="6"/>
            <c:spPr>
              <a:solidFill>
                <a:schemeClr val="bg2"/>
              </a:solidFill>
              <a:ln>
                <a:noFill/>
              </a:ln>
            </c:spPr>
          </c:marker>
          <c:dLbls>
            <c:numFmt formatCode="&quot;€&quot;\ #,##0.00" sourceLinked="0"/>
            <c:spPr>
              <a:noFill/>
              <a:ln>
                <a:noFill/>
              </a:ln>
              <a:effectLst/>
            </c:spPr>
            <c:txPr>
              <a:bodyPr/>
              <a:lstStyle/>
              <a:p>
                <a:pPr>
                  <a:defRPr sz="1000" b="1"/>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[6]NEWSLETTER!$U$28:$U$31</c:f>
              <c:numCache>
                <c:formatCode>General</c:formatCode>
                <c:ptCount val="4"/>
              </c:numCache>
            </c:numRef>
          </c:cat>
          <c:val>
            <c:numRef>
              <c:f>[6]NEWSLETTER!$Z$28:$Z$31</c:f>
              <c:numCache>
                <c:formatCode>General</c:formatCode>
                <c:ptCount val="4"/>
              </c:numCache>
            </c:numRef>
          </c:val>
          <c:smooth val="0"/>
          <c:extLst>
            <c:ext xmlns:c16="http://schemas.microsoft.com/office/drawing/2014/chart" uri="{C3380CC4-5D6E-409C-BE32-E72D297353CC}">
              <c16:uniqueId val="{00000002-E3B2-415B-92A4-49717E1EC6DE}"/>
            </c:ext>
          </c:extLst>
        </c:ser>
        <c:dLbls>
          <c:showLegendKey val="0"/>
          <c:showVal val="0"/>
          <c:showCatName val="0"/>
          <c:showSerName val="0"/>
          <c:showPercent val="0"/>
          <c:showBubbleSize val="0"/>
        </c:dLbls>
        <c:marker val="1"/>
        <c:smooth val="0"/>
        <c:axId val="126559360"/>
        <c:axId val="107216256"/>
      </c:lineChart>
      <c:catAx>
        <c:axId val="107213184"/>
        <c:scaling>
          <c:orientation val="minMax"/>
        </c:scaling>
        <c:delete val="0"/>
        <c:axPos val="b"/>
        <c:numFmt formatCode="General" sourceLinked="1"/>
        <c:majorTickMark val="out"/>
        <c:minorTickMark val="none"/>
        <c:tickLblPos val="nextTo"/>
        <c:crossAx val="107214720"/>
        <c:crosses val="autoZero"/>
        <c:auto val="1"/>
        <c:lblAlgn val="ctr"/>
        <c:lblOffset val="100"/>
        <c:noMultiLvlLbl val="0"/>
      </c:catAx>
      <c:valAx>
        <c:axId val="107214720"/>
        <c:scaling>
          <c:orientation val="minMax"/>
          <c:max val="50"/>
        </c:scaling>
        <c:delete val="0"/>
        <c:axPos val="l"/>
        <c:numFmt formatCode="General" sourceLinked="1"/>
        <c:majorTickMark val="none"/>
        <c:minorTickMark val="none"/>
        <c:tickLblPos val="none"/>
        <c:crossAx val="107213184"/>
        <c:crosses val="autoZero"/>
        <c:crossBetween val="between"/>
      </c:valAx>
      <c:valAx>
        <c:axId val="107216256"/>
        <c:scaling>
          <c:logBase val="10"/>
          <c:orientation val="minMax"/>
        </c:scaling>
        <c:delete val="0"/>
        <c:axPos val="r"/>
        <c:numFmt formatCode="General" sourceLinked="1"/>
        <c:majorTickMark val="none"/>
        <c:minorTickMark val="none"/>
        <c:tickLblPos val="none"/>
        <c:crossAx val="126559360"/>
        <c:crosses val="max"/>
        <c:crossBetween val="between"/>
      </c:valAx>
      <c:catAx>
        <c:axId val="126559360"/>
        <c:scaling>
          <c:orientation val="minMax"/>
        </c:scaling>
        <c:delete val="1"/>
        <c:axPos val="b"/>
        <c:numFmt formatCode="General" sourceLinked="1"/>
        <c:majorTickMark val="out"/>
        <c:minorTickMark val="none"/>
        <c:tickLblPos val="none"/>
        <c:crossAx val="107216256"/>
        <c:crosses val="autoZero"/>
        <c:auto val="1"/>
        <c:lblAlgn val="ctr"/>
        <c:lblOffset val="100"/>
        <c:noMultiLvlLbl val="0"/>
      </c:catAx>
      <c:spPr>
        <a:noFill/>
      </c:spPr>
    </c:plotArea>
    <c:legend>
      <c:legendPos val="l"/>
      <c:layout>
        <c:manualLayout>
          <c:xMode val="edge"/>
          <c:yMode val="edge"/>
          <c:x val="0"/>
          <c:y val="0.74785757575757572"/>
          <c:w val="1"/>
          <c:h val="0.20490509259260425"/>
        </c:manualLayout>
      </c:layout>
      <c:overlay val="0"/>
      <c:txPr>
        <a:bodyPr/>
        <a:lstStyle/>
        <a:p>
          <a:pPr>
            <a:defRPr sz="800"/>
          </a:pPr>
          <a:endParaRPr lang="pt-PT"/>
        </a:p>
      </c:txPr>
    </c:legend>
    <c:plotVisOnly val="1"/>
    <c:dispBlanksAs val="gap"/>
    <c:showDLblsOverMax val="0"/>
  </c:chart>
  <c:spPr>
    <a:noFill/>
    <a:ln>
      <a:noFill/>
    </a:ln>
  </c:spPr>
  <c:txPr>
    <a:bodyPr/>
    <a:lstStyle/>
    <a:p>
      <a:pPr>
        <a:defRPr sz="800">
          <a:solidFill>
            <a:schemeClr val="bg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1"/>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VALOR A PAGAR</a:t>
            </a:r>
          </a:p>
          <a:p>
            <a:pPr>
              <a:defRPr/>
            </a:pPr>
            <a:r>
              <a:rPr lang="en-US"/>
              <a:t>PAYMENTS DUE BY ICA</a:t>
            </a:r>
          </a:p>
        </c:rich>
      </c:tx>
      <c:overlay val="0"/>
    </c:title>
    <c:autoTitleDeleted val="0"/>
    <c:pivotFmts>
      <c:pivotFmt>
        <c:idx val="0"/>
        <c:spPr>
          <a:solidFill>
            <a:schemeClr val="accent2">
              <a:lumMod val="75000"/>
            </a:schemeClr>
          </a:solidFill>
        </c:spPr>
        <c:marker>
          <c:symbol val="none"/>
        </c:marker>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pivotFmt>
      <c:pivotFmt>
        <c:idx val="2"/>
        <c:dLbl>
          <c:idx val="0"/>
          <c:tx>
            <c:rich>
              <a:bodyPr/>
              <a:lstStyle/>
              <a:p>
                <a:r>
                  <a:rPr lang="en-US"/>
                  <a:t>CRIAÇÃO </a:t>
                </a:r>
                <a:r>
                  <a:rPr lang="en-US" sz="1400" b="1"/>
                  <a:t>0,6%</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3"/>
        <c:dLbl>
          <c:idx val="0"/>
          <c:tx>
            <c:rich>
              <a:bodyPr/>
              <a:lstStyle/>
              <a:p>
                <a:r>
                  <a:rPr lang="en-US"/>
                  <a:t>  ANIMAÇÃO </a:t>
                </a:r>
                <a:r>
                  <a:rPr lang="en-US" sz="1400" b="1"/>
                  <a:t>5,9%</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4"/>
        <c:dLbl>
          <c:idx val="0"/>
          <c:tx>
            <c:rich>
              <a:bodyPr/>
              <a:lstStyle/>
              <a:p>
                <a:r>
                  <a:rPr lang="en-US"/>
                  <a:t>  DOC
</a:t>
                </a:r>
                <a:r>
                  <a:rPr lang="en-US" sz="1400" b="1"/>
                  <a:t>7,6%</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5"/>
        <c:dLbl>
          <c:idx val="0"/>
          <c:tx>
            <c:rich>
              <a:bodyPr/>
              <a:lstStyle/>
              <a:p>
                <a:r>
                  <a:rPr lang="en-US"/>
                  <a:t>  FIC CURTAS
</a:t>
                </a:r>
                <a:r>
                  <a:rPr lang="en-US" sz="1400" b="1"/>
                  <a:t>6,6%</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6"/>
        <c:dLbl>
          <c:idx val="0"/>
          <c:tx>
            <c:rich>
              <a:bodyPr/>
              <a:lstStyle/>
              <a:p>
                <a:pPr>
                  <a:defRPr sz="1050" b="1" i="0">
                    <a:solidFill>
                      <a:schemeClr val="bg1"/>
                    </a:solidFill>
                  </a:defRPr>
                </a:pPr>
                <a:r>
                  <a:rPr lang="en-US" sz="1050" b="1" i="0">
                    <a:solidFill>
                      <a:schemeClr val="bg1"/>
                    </a:solidFill>
                  </a:rPr>
                  <a:t>  </a:t>
                </a:r>
                <a:r>
                  <a:rPr lang="en-US" sz="1000" b="0" i="0">
                    <a:solidFill>
                      <a:schemeClr val="bg1"/>
                    </a:solidFill>
                  </a:rPr>
                  <a:t>FIC LONGAS</a:t>
                </a:r>
                <a:r>
                  <a:rPr lang="en-US" sz="1050" b="1" i="0">
                    <a:solidFill>
                      <a:schemeClr val="bg1"/>
                    </a:solidFill>
                  </a:rPr>
                  <a:t>
</a:t>
                </a:r>
                <a:r>
                  <a:rPr lang="en-US" sz="1400" b="1" i="0">
                    <a:solidFill>
                      <a:schemeClr val="bg1"/>
                    </a:solidFill>
                  </a:rPr>
                  <a:t>79,3%</a:t>
                </a:r>
                <a:endParaRPr lang="en-US" sz="1400">
                  <a:solidFill>
                    <a:schemeClr val="bg1"/>
                  </a:solidFill>
                </a:endParaRPr>
              </a:p>
            </c:rich>
          </c:tx>
          <c:spPr/>
          <c:dLblPos val="ctr"/>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7"/>
        <c:spPr>
          <a:solidFill>
            <a:schemeClr val="accent2">
              <a:lumMod val="75000"/>
            </a:schemeClr>
          </a:solidFill>
        </c:spPr>
        <c:marker>
          <c:symbol val="none"/>
        </c:marker>
        <c:dLbl>
          <c:idx val="0"/>
          <c:spPr/>
          <c:txPr>
            <a:bodyPr/>
            <a:lstStyle/>
            <a:p>
              <a:pPr>
                <a:defRPr/>
              </a:pPr>
              <a:endParaRPr lang="pt-PT"/>
            </a:p>
          </c:txPr>
          <c:showLegendKey val="0"/>
          <c:showVal val="1"/>
          <c:showCatName val="1"/>
          <c:showSerName val="0"/>
          <c:showPercent val="0"/>
          <c:showBubbleSize val="0"/>
          <c:separator>; </c:separator>
          <c:extLst>
            <c:ext xmlns:c15="http://schemas.microsoft.com/office/drawing/2012/chart" uri="{CE6537A1-D6FC-4f65-9D91-7224C49458BB}"/>
          </c:extLst>
        </c:dLbl>
      </c:pivotFmt>
      <c:pivotFmt>
        <c:idx val="8"/>
        <c:dLbl>
          <c:idx val="0"/>
          <c:tx>
            <c:rich>
              <a:bodyPr/>
              <a:lstStyle/>
              <a:p>
                <a:pPr>
                  <a:defRPr sz="1050" b="1" i="0">
                    <a:solidFill>
                      <a:schemeClr val="bg1"/>
                    </a:solidFill>
                  </a:defRPr>
                </a:pPr>
                <a:r>
                  <a:rPr lang="en-US" sz="1050" b="1" i="0">
                    <a:solidFill>
                      <a:schemeClr val="bg1"/>
                    </a:solidFill>
                  </a:rPr>
                  <a:t>  </a:t>
                </a:r>
                <a:r>
                  <a:rPr lang="en-US" sz="1000" b="0" i="0">
                    <a:solidFill>
                      <a:schemeClr val="bg1"/>
                    </a:solidFill>
                  </a:rPr>
                  <a:t>FIC LONGAS</a:t>
                </a:r>
                <a:r>
                  <a:rPr lang="en-US" sz="1050" b="1" i="0">
                    <a:solidFill>
                      <a:schemeClr val="bg1"/>
                    </a:solidFill>
                  </a:rPr>
                  <a:t>
</a:t>
                </a:r>
                <a:r>
                  <a:rPr lang="en-US" sz="1400" b="1" i="0">
                    <a:solidFill>
                      <a:schemeClr val="bg1"/>
                    </a:solidFill>
                  </a:rPr>
                  <a:t>79,3%</a:t>
                </a:r>
                <a:endParaRPr lang="en-US" sz="1400">
                  <a:solidFill>
                    <a:schemeClr val="bg1"/>
                  </a:solidFill>
                </a:endParaRPr>
              </a:p>
            </c:rich>
          </c:tx>
          <c:spPr/>
          <c:dLblPos val="ctr"/>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9"/>
        <c:dLbl>
          <c:idx val="0"/>
          <c:tx>
            <c:rich>
              <a:bodyPr/>
              <a:lstStyle/>
              <a:p>
                <a:r>
                  <a:rPr lang="en-US"/>
                  <a:t>  FIC CURTAS
</a:t>
                </a:r>
                <a:r>
                  <a:rPr lang="en-US" sz="1400" b="1"/>
                  <a:t>6,6%</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0"/>
        <c:dLbl>
          <c:idx val="0"/>
          <c:tx>
            <c:rich>
              <a:bodyPr/>
              <a:lstStyle/>
              <a:p>
                <a:r>
                  <a:rPr lang="en-US"/>
                  <a:t>  DOC
</a:t>
                </a:r>
                <a:r>
                  <a:rPr lang="en-US" sz="1400" b="1"/>
                  <a:t>7,6%</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1"/>
        <c:dLbl>
          <c:idx val="0"/>
          <c:tx>
            <c:rich>
              <a:bodyPr/>
              <a:lstStyle/>
              <a:p>
                <a:r>
                  <a:rPr lang="en-US"/>
                  <a:t>  ANIMAÇÃO </a:t>
                </a:r>
                <a:r>
                  <a:rPr lang="en-US" sz="1400" b="1"/>
                  <a:t>5,9%</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2"/>
        <c:dLbl>
          <c:idx val="0"/>
          <c:tx>
            <c:rich>
              <a:bodyPr/>
              <a:lstStyle/>
              <a:p>
                <a:r>
                  <a:rPr lang="en-US"/>
                  <a:t>CRIAÇÃO </a:t>
                </a:r>
                <a:r>
                  <a:rPr lang="en-US" sz="1400" b="1"/>
                  <a:t>0,6%</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3"/>
        <c:spPr>
          <a:solidFill>
            <a:schemeClr val="accent2">
              <a:lumMod val="75000"/>
            </a:schemeClr>
          </a:solidFill>
        </c:spPr>
        <c:marker>
          <c:symbol val="none"/>
        </c:marker>
        <c:dLbl>
          <c:idx val="0"/>
          <c:spPr/>
          <c:txPr>
            <a:bodyPr/>
            <a:lstStyle/>
            <a:p>
              <a:pPr>
                <a:defRPr/>
              </a:pPr>
              <a:endParaRPr lang="pt-PT"/>
            </a:p>
          </c:txPr>
          <c:showLegendKey val="0"/>
          <c:showVal val="1"/>
          <c:showCatName val="1"/>
          <c:showSerName val="0"/>
          <c:showPercent val="0"/>
          <c:showBubbleSize val="0"/>
          <c:separator>; </c:separator>
          <c:extLst>
            <c:ext xmlns:c15="http://schemas.microsoft.com/office/drawing/2012/chart" uri="{CE6537A1-D6FC-4f65-9D91-7224C49458BB}"/>
          </c:extLst>
        </c:dLbl>
      </c:pivotFmt>
      <c:pivotFmt>
        <c:idx val="14"/>
        <c:dLbl>
          <c:idx val="0"/>
          <c:tx>
            <c:rich>
              <a:bodyPr/>
              <a:lstStyle/>
              <a:p>
                <a:r>
                  <a:rPr lang="en-US"/>
                  <a:t>  FIC LONGAS
79,3%</a:t>
                </a:r>
              </a:p>
            </c:rich>
          </c:tx>
          <c:dLblPos val="ctr"/>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5"/>
        <c:dLbl>
          <c:idx val="0"/>
          <c:tx>
            <c:rich>
              <a:bodyPr/>
              <a:lstStyle/>
              <a:p>
                <a:r>
                  <a:rPr lang="en-US"/>
                  <a:t>  FIC CURTAS
</a:t>
                </a:r>
                <a:r>
                  <a:rPr lang="en-US" sz="1400" b="1"/>
                  <a:t>6,6%</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6"/>
        <c:dLbl>
          <c:idx val="0"/>
          <c:tx>
            <c:rich>
              <a:bodyPr/>
              <a:lstStyle/>
              <a:p>
                <a:r>
                  <a:rPr lang="en-US"/>
                  <a:t>  DOC
</a:t>
                </a:r>
                <a:r>
                  <a:rPr lang="en-US" sz="1400" b="1"/>
                  <a:t>7,6%</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7"/>
        <c:dLbl>
          <c:idx val="0"/>
          <c:tx>
            <c:rich>
              <a:bodyPr/>
              <a:lstStyle/>
              <a:p>
                <a:r>
                  <a:rPr lang="en-US"/>
                  <a:t>  ANIMAÇÃO </a:t>
                </a:r>
                <a:r>
                  <a:rPr lang="en-US" sz="1400" b="1"/>
                  <a:t>5,9%</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
        <c:idx val="18"/>
        <c:dLbl>
          <c:idx val="0"/>
          <c:tx>
            <c:rich>
              <a:bodyPr/>
              <a:lstStyle/>
              <a:p>
                <a:r>
                  <a:rPr lang="en-US"/>
                  <a:t>CRIAÇÃO </a:t>
                </a:r>
                <a:r>
                  <a:rPr lang="en-US" sz="1400" b="1"/>
                  <a:t>0,6%</a:t>
                </a:r>
                <a:endParaRPr lang="en-US" sz="1050" b="1"/>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Lst>
        </c:dLbl>
      </c:pivotFmt>
    </c:pivotFmts>
    <c:plotArea>
      <c:layout>
        <c:manualLayout>
          <c:layoutTarget val="inner"/>
          <c:xMode val="edge"/>
          <c:yMode val="edge"/>
          <c:x val="4.3797169649116514E-2"/>
          <c:y val="0.12432559453426002"/>
          <c:w val="0.93003089702942165"/>
          <c:h val="0.83570597268055791"/>
        </c:manualLayout>
      </c:layout>
      <c:barChart>
        <c:barDir val="bar"/>
        <c:grouping val="clustered"/>
        <c:varyColors val="0"/>
        <c:ser>
          <c:idx val="0"/>
          <c:order val="0"/>
          <c:tx>
            <c:v>Total</c:v>
          </c:tx>
          <c:spPr>
            <a:solidFill>
              <a:schemeClr val="accent2">
                <a:lumMod val="75000"/>
              </a:schemeClr>
            </a:solidFill>
          </c:spPr>
          <c:invertIfNegative val="0"/>
          <c:dLbls>
            <c:spPr>
              <a:noFill/>
              <a:ln>
                <a:noFill/>
              </a:ln>
              <a:effectLst/>
            </c:spPr>
            <c:txPr>
              <a:bodyPr/>
              <a:lstStyle/>
              <a:p>
                <a:pPr>
                  <a:defRPr/>
                </a:pPr>
                <a:endParaRPr lang="pt-PT"/>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Lit>
              <c:ptCount val="7"/>
              <c:pt idx="0">
                <c:v>DISTRIBUIÇÃO</c:v>
              </c:pt>
              <c:pt idx="1">
                <c:v>EXIBIÇÃO</c:v>
              </c:pt>
              <c:pt idx="2">
                <c:v>FORMAÇÃO</c:v>
              </c:pt>
              <c:pt idx="3">
                <c:v>PARCERIAS</c:v>
              </c:pt>
              <c:pt idx="4">
                <c:v>PROMOÇÃO</c:v>
              </c:pt>
              <c:pt idx="5">
                <c:v>PRODUÇÃO</c:v>
              </c:pt>
              <c:pt idx="6">
                <c:v>CRIAÇÃO</c:v>
              </c:pt>
            </c:strLit>
          </c:cat>
          <c:val>
            <c:numLit>
              <c:formatCode>General</c:formatCode>
              <c:ptCount val="7"/>
              <c:pt idx="0">
                <c:v>2.5676956035983484E-2</c:v>
              </c:pt>
              <c:pt idx="1">
                <c:v>1.5753994098859105E-2</c:v>
              </c:pt>
              <c:pt idx="2">
                <c:v>8.2187956822543911E-3</c:v>
              </c:pt>
              <c:pt idx="3">
                <c:v>6.0375672756216138E-3</c:v>
              </c:pt>
              <c:pt idx="4">
                <c:v>6.8032787265686873E-2</c:v>
              </c:pt>
              <c:pt idx="5">
                <c:v>0.86708015650536607</c:v>
              </c:pt>
              <c:pt idx="6">
                <c:v>9.1997431362284346E-3</c:v>
              </c:pt>
            </c:numLit>
          </c:val>
          <c:extLst>
            <c:ext xmlns:c16="http://schemas.microsoft.com/office/drawing/2014/chart" uri="{C3380CC4-5D6E-409C-BE32-E72D297353CC}">
              <c16:uniqueId val="{00000000-49D8-43E2-B3AC-78A747F465CA}"/>
            </c:ext>
          </c:extLst>
        </c:ser>
        <c:dLbls>
          <c:showLegendKey val="0"/>
          <c:showVal val="0"/>
          <c:showCatName val="0"/>
          <c:showSerName val="0"/>
          <c:showPercent val="0"/>
          <c:showBubbleSize val="0"/>
        </c:dLbls>
        <c:gapWidth val="10"/>
        <c:axId val="125946496"/>
        <c:axId val="125944960"/>
      </c:barChart>
      <c:valAx>
        <c:axId val="125944960"/>
        <c:scaling>
          <c:orientation val="minMax"/>
        </c:scaling>
        <c:delete val="1"/>
        <c:axPos val="b"/>
        <c:numFmt formatCode="General" sourceLinked="1"/>
        <c:majorTickMark val="out"/>
        <c:minorTickMark val="none"/>
        <c:tickLblPos val="none"/>
        <c:crossAx val="125946496"/>
        <c:crosses val="autoZero"/>
        <c:crossBetween val="between"/>
      </c:valAx>
      <c:catAx>
        <c:axId val="125946496"/>
        <c:scaling>
          <c:orientation val="minMax"/>
        </c:scaling>
        <c:delete val="1"/>
        <c:axPos val="l"/>
        <c:numFmt formatCode="General" sourceLinked="0"/>
        <c:majorTickMark val="out"/>
        <c:minorTickMark val="none"/>
        <c:tickLblPos val="none"/>
        <c:crossAx val="125944960"/>
        <c:crosses val="autoZero"/>
        <c:auto val="1"/>
        <c:lblAlgn val="ctr"/>
        <c:lblOffset val="100"/>
        <c:noMultiLvlLbl val="0"/>
      </c:catAx>
      <c:spPr>
        <a:noFill/>
      </c:spPr>
    </c:plotArea>
    <c:plotVisOnly val="1"/>
    <c:dispBlanksAs val="gap"/>
    <c:showDLblsOverMax val="0"/>
  </c:chart>
  <c:spPr>
    <a:noFill/>
    <a:ln>
      <a:solidFill>
        <a:schemeClr val="bg1"/>
      </a:solidFill>
    </a:ln>
  </c:spPr>
  <c:txPr>
    <a:bodyPr/>
    <a:lstStyle/>
    <a:p>
      <a:pPr>
        <a:defRPr>
          <a:solidFill>
            <a:schemeClr val="tx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2.4531833838274012E-2"/>
          <c:y val="0.11937222222222379"/>
          <c:w val="0.96427138002542001"/>
          <c:h val="0.49740000000001588"/>
        </c:manualLayout>
      </c:layout>
      <c:barChart>
        <c:barDir val="col"/>
        <c:grouping val="stacked"/>
        <c:varyColors val="0"/>
        <c:ser>
          <c:idx val="0"/>
          <c:order val="0"/>
          <c:tx>
            <c:strRef>
              <c:f>NEWSLETTER!$X$25</c:f>
              <c:strCache>
                <c:ptCount val="1"/>
                <c:pt idx="0">
                  <c:v>N.º DE PROJETOS
Nº OF PROJECTS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NEWSLETTER!$W$28:$W$31</c:f>
              <c:strCache>
                <c:ptCount val="4"/>
                <c:pt idx="0">
                  <c:v>LONGAS | FEATURE FILMS</c:v>
                </c:pt>
                <c:pt idx="1">
                  <c:v>CURTAS | SHORT FILMS</c:v>
                </c:pt>
                <c:pt idx="2">
                  <c:v>DOC</c:v>
                </c:pt>
                <c:pt idx="3">
                  <c:v>ANIM</c:v>
                </c:pt>
              </c:strCache>
            </c:strRef>
          </c:cat>
          <c:val>
            <c:numRef>
              <c:f>NEWSLETTER!$Y$28:$Y$31</c:f>
              <c:numCache>
                <c:formatCode>General</c:formatCode>
                <c:ptCount val="4"/>
                <c:pt idx="0">
                  <c:v>37</c:v>
                </c:pt>
                <c:pt idx="1">
                  <c:v>13</c:v>
                </c:pt>
                <c:pt idx="2">
                  <c:v>31</c:v>
                </c:pt>
                <c:pt idx="3">
                  <c:v>18</c:v>
                </c:pt>
              </c:numCache>
            </c:numRef>
          </c:val>
          <c:extLst>
            <c:ext xmlns:c16="http://schemas.microsoft.com/office/drawing/2014/chart" uri="{C3380CC4-5D6E-409C-BE32-E72D297353CC}">
              <c16:uniqueId val="{00000000-5BC7-4182-933E-B7947A7662D2}"/>
            </c:ext>
          </c:extLst>
        </c:ser>
        <c:ser>
          <c:idx val="1"/>
          <c:order val="1"/>
          <c:tx>
            <c:strRef>
              <c:f>NEWSLETTER!$Z$25</c:f>
              <c:strCache>
                <c:ptCount val="1"/>
                <c:pt idx="0">
                  <c:v>N.º DE PROJECTOS PREVISIONAIS
Nº OF PROJECTS (PREVISIONAL)</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NEWSLETTER!$W$28:$W$31</c:f>
              <c:strCache>
                <c:ptCount val="4"/>
                <c:pt idx="0">
                  <c:v>LONGAS | FEATURE FILMS</c:v>
                </c:pt>
                <c:pt idx="1">
                  <c:v>CURTAS | SHORT FILMS</c:v>
                </c:pt>
                <c:pt idx="2">
                  <c:v>DOC</c:v>
                </c:pt>
                <c:pt idx="3">
                  <c:v>ANIM</c:v>
                </c:pt>
              </c:strCache>
            </c:strRef>
          </c:cat>
          <c:val>
            <c:numRef>
              <c:f>NEWSLETTER!$AA$28:$AA$31</c:f>
              <c:numCache>
                <c:formatCode>General</c:formatCode>
                <c:ptCount val="4"/>
                <c:pt idx="1">
                  <c:v>14</c:v>
                </c:pt>
                <c:pt idx="2">
                  <c:v>10</c:v>
                </c:pt>
                <c:pt idx="3">
                  <c:v>1</c:v>
                </c:pt>
              </c:numCache>
            </c:numRef>
          </c:val>
          <c:extLst>
            <c:ext xmlns:c16="http://schemas.microsoft.com/office/drawing/2014/chart" uri="{C3380CC4-5D6E-409C-BE32-E72D297353CC}">
              <c16:uniqueId val="{00000001-5BC7-4182-933E-B7947A7662D2}"/>
            </c:ext>
          </c:extLst>
        </c:ser>
        <c:dLbls>
          <c:showLegendKey val="0"/>
          <c:showVal val="0"/>
          <c:showCatName val="0"/>
          <c:showSerName val="0"/>
          <c:showPercent val="0"/>
          <c:showBubbleSize val="0"/>
        </c:dLbls>
        <c:gapWidth val="100"/>
        <c:overlap val="100"/>
        <c:axId val="127821696"/>
        <c:axId val="127823232"/>
      </c:barChart>
      <c:lineChart>
        <c:grouping val="standard"/>
        <c:varyColors val="0"/>
        <c:ser>
          <c:idx val="2"/>
          <c:order val="2"/>
          <c:tx>
            <c:strRef>
              <c:f>NEWSLETTER!$AB$23</c:f>
              <c:strCache>
                <c:ptCount val="1"/>
                <c:pt idx="0">
                  <c:v>VALOR A PAGAR
PAYMENTS DUE BY ICA</c:v>
                </c:pt>
              </c:strCache>
            </c:strRef>
          </c:tx>
          <c:spPr>
            <a:ln w="66675">
              <a:noFill/>
            </a:ln>
          </c:spPr>
          <c:marker>
            <c:symbol val="circle"/>
            <c:size val="6"/>
            <c:spPr>
              <a:solidFill>
                <a:schemeClr val="bg2"/>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NEWSLETTER!$W$28:$W$31</c:f>
              <c:strCache>
                <c:ptCount val="4"/>
                <c:pt idx="0">
                  <c:v>LONGAS | FEATURE FILMS</c:v>
                </c:pt>
                <c:pt idx="1">
                  <c:v>CURTAS | SHORT FILMS</c:v>
                </c:pt>
                <c:pt idx="2">
                  <c:v>DOC</c:v>
                </c:pt>
                <c:pt idx="3">
                  <c:v>ANIM</c:v>
                </c:pt>
              </c:strCache>
            </c:strRef>
          </c:cat>
          <c:val>
            <c:numRef>
              <c:f>NEWSLETTER!$AB$28:$AB$31</c:f>
              <c:numCache>
                <c:formatCode>[$€-2]\ #,##0.00</c:formatCode>
                <c:ptCount val="4"/>
                <c:pt idx="0">
                  <c:v>9698932.4199999999</c:v>
                </c:pt>
                <c:pt idx="1">
                  <c:v>882325</c:v>
                </c:pt>
                <c:pt idx="2">
                  <c:v>1381450</c:v>
                </c:pt>
                <c:pt idx="3">
                  <c:v>2016422.6600000001</c:v>
                </c:pt>
              </c:numCache>
            </c:numRef>
          </c:val>
          <c:smooth val="0"/>
          <c:extLst>
            <c:ext xmlns:c16="http://schemas.microsoft.com/office/drawing/2014/chart" uri="{C3380CC4-5D6E-409C-BE32-E72D297353CC}">
              <c16:uniqueId val="{00000002-5BC7-4182-933E-B7947A7662D2}"/>
            </c:ext>
          </c:extLst>
        </c:ser>
        <c:dLbls>
          <c:showLegendKey val="0"/>
          <c:showVal val="0"/>
          <c:showCatName val="0"/>
          <c:showSerName val="0"/>
          <c:showPercent val="0"/>
          <c:showBubbleSize val="0"/>
        </c:dLbls>
        <c:marker val="1"/>
        <c:smooth val="0"/>
        <c:axId val="127842944"/>
        <c:axId val="127841408"/>
      </c:lineChart>
      <c:catAx>
        <c:axId val="127821696"/>
        <c:scaling>
          <c:orientation val="minMax"/>
        </c:scaling>
        <c:delete val="0"/>
        <c:axPos val="b"/>
        <c:numFmt formatCode="General" sourceLinked="0"/>
        <c:majorTickMark val="out"/>
        <c:minorTickMark val="none"/>
        <c:tickLblPos val="nextTo"/>
        <c:crossAx val="127823232"/>
        <c:crosses val="autoZero"/>
        <c:auto val="1"/>
        <c:lblAlgn val="ctr"/>
        <c:lblOffset val="100"/>
        <c:noMultiLvlLbl val="0"/>
      </c:catAx>
      <c:valAx>
        <c:axId val="127823232"/>
        <c:scaling>
          <c:orientation val="minMax"/>
          <c:max val="50"/>
        </c:scaling>
        <c:delete val="0"/>
        <c:axPos val="l"/>
        <c:numFmt formatCode="General" sourceLinked="1"/>
        <c:majorTickMark val="none"/>
        <c:minorTickMark val="none"/>
        <c:tickLblPos val="none"/>
        <c:crossAx val="127821696"/>
        <c:crosses val="autoZero"/>
        <c:crossBetween val="between"/>
      </c:valAx>
      <c:valAx>
        <c:axId val="127841408"/>
        <c:scaling>
          <c:logBase val="10"/>
          <c:orientation val="minMax"/>
        </c:scaling>
        <c:delete val="0"/>
        <c:axPos val="r"/>
        <c:numFmt formatCode="[$€-2]\ #,##0.00" sourceLinked="1"/>
        <c:majorTickMark val="none"/>
        <c:minorTickMark val="none"/>
        <c:tickLblPos val="none"/>
        <c:crossAx val="127842944"/>
        <c:crosses val="max"/>
        <c:crossBetween val="between"/>
      </c:valAx>
      <c:catAx>
        <c:axId val="127842944"/>
        <c:scaling>
          <c:orientation val="minMax"/>
        </c:scaling>
        <c:delete val="1"/>
        <c:axPos val="b"/>
        <c:numFmt formatCode="General" sourceLinked="1"/>
        <c:majorTickMark val="out"/>
        <c:minorTickMark val="none"/>
        <c:tickLblPos val="none"/>
        <c:crossAx val="127841408"/>
        <c:crosses val="autoZero"/>
        <c:auto val="1"/>
        <c:lblAlgn val="ctr"/>
        <c:lblOffset val="100"/>
        <c:noMultiLvlLbl val="0"/>
      </c:catAx>
      <c:spPr>
        <a:noFill/>
      </c:spPr>
    </c:plotArea>
    <c:legend>
      <c:legendPos val="l"/>
      <c:layout>
        <c:manualLayout>
          <c:xMode val="edge"/>
          <c:yMode val="edge"/>
          <c:x val="0"/>
          <c:y val="0.74785757575757572"/>
          <c:w val="1"/>
          <c:h val="0.20490509259261619"/>
        </c:manualLayout>
      </c:layout>
      <c:overlay val="0"/>
    </c:legend>
    <c:plotVisOnly val="1"/>
    <c:dispBlanksAs val="gap"/>
    <c:showDLblsOverMax val="0"/>
  </c:chart>
  <c:spPr>
    <a:noFill/>
    <a:ln>
      <a:noFill/>
    </a:ln>
  </c:spPr>
  <c:txPr>
    <a:bodyPr/>
    <a:lstStyle/>
    <a:p>
      <a:pPr>
        <a:defRPr sz="800">
          <a:solidFill>
            <a:schemeClr val="tx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2.4531833838274012E-2"/>
          <c:y val="7.8214648530181771E-2"/>
          <c:w val="0.95134575163404178"/>
          <c:h val="0.58481049382715256"/>
        </c:manualLayout>
      </c:layout>
      <c:barChart>
        <c:barDir val="col"/>
        <c:grouping val="stacked"/>
        <c:varyColors val="0"/>
        <c:ser>
          <c:idx val="0"/>
          <c:order val="0"/>
          <c:tx>
            <c:strRef>
              <c:f>NEWSLETTER!$X$13</c:f>
              <c:strCache>
                <c:ptCount val="1"/>
                <c:pt idx="0">
                  <c:v>N.º DE PROJETOS
Nº OF PROJECTS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NEWSLETTER!$W$15:$W$17</c:f>
              <c:strCache>
                <c:ptCount val="3"/>
                <c:pt idx="0">
                  <c:v>ESCRITA DE ARGUMENTOS 
SCRIPT WRITING</c:v>
                </c:pt>
                <c:pt idx="1">
                  <c:v>DESENVOLVIMENTO DE DOCUMENTÁRIOS
DEVELOPMENT OF DOCUMENTARY</c:v>
                </c:pt>
                <c:pt idx="2">
                  <c:v>DESENVOLVIMENTO DE ANIMAÇÃO
DEVELOPMENT OF ANIMATION</c:v>
                </c:pt>
              </c:strCache>
            </c:strRef>
          </c:cat>
          <c:val>
            <c:numRef>
              <c:f>NEWSLETTER!$Y$15:$Y$17</c:f>
              <c:numCache>
                <c:formatCode>General</c:formatCode>
                <c:ptCount val="3"/>
                <c:pt idx="0">
                  <c:v>4</c:v>
                </c:pt>
                <c:pt idx="1">
                  <c:v>2</c:v>
                </c:pt>
                <c:pt idx="2">
                  <c:v>5</c:v>
                </c:pt>
              </c:numCache>
            </c:numRef>
          </c:val>
          <c:extLst>
            <c:ext xmlns:c16="http://schemas.microsoft.com/office/drawing/2014/chart" uri="{C3380CC4-5D6E-409C-BE32-E72D297353CC}">
              <c16:uniqueId val="{00000000-FD64-425A-85E6-EB19418E2738}"/>
            </c:ext>
          </c:extLst>
        </c:ser>
        <c:dLbls>
          <c:showLegendKey val="0"/>
          <c:showVal val="0"/>
          <c:showCatName val="0"/>
          <c:showSerName val="0"/>
          <c:showPercent val="0"/>
          <c:showBubbleSize val="0"/>
        </c:dLbls>
        <c:gapWidth val="200"/>
        <c:overlap val="100"/>
        <c:axId val="128001536"/>
        <c:axId val="128003072"/>
      </c:barChart>
      <c:lineChart>
        <c:grouping val="standard"/>
        <c:varyColors val="0"/>
        <c:ser>
          <c:idx val="2"/>
          <c:order val="1"/>
          <c:tx>
            <c:strRef>
              <c:f>NEWSLETTER!$AB$11</c:f>
              <c:strCache>
                <c:ptCount val="1"/>
                <c:pt idx="0">
                  <c:v>VALOR A PAGAR |
PAYMENTS DUE BY ICA</c:v>
                </c:pt>
              </c:strCache>
            </c:strRef>
          </c:tx>
          <c:spPr>
            <a:ln w="66675">
              <a:noFill/>
            </a:ln>
          </c:spPr>
          <c:marker>
            <c:symbol val="circle"/>
            <c:size val="6"/>
            <c:spPr>
              <a:solidFill>
                <a:schemeClr val="bg2"/>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NEWSLETTER!$W$15:$W$17</c:f>
              <c:strCache>
                <c:ptCount val="3"/>
                <c:pt idx="0">
                  <c:v>ESCRITA DE ARGUMENTOS 
SCRIPT WRITING</c:v>
                </c:pt>
                <c:pt idx="1">
                  <c:v>DESENVOLVIMENTO DE DOCUMENTÁRIOS
DEVELOPMENT OF DOCUMENTARY</c:v>
                </c:pt>
                <c:pt idx="2">
                  <c:v>DESENVOLVIMENTO DE ANIMAÇÃO
DEVELOPMENT OF ANIMATION</c:v>
                </c:pt>
              </c:strCache>
            </c:strRef>
          </c:cat>
          <c:val>
            <c:numRef>
              <c:f>NEWSLETTER!$Z$15:$Z$17</c:f>
              <c:numCache>
                <c:formatCode>[$€-2]\ #,##0.00</c:formatCode>
                <c:ptCount val="3"/>
                <c:pt idx="0">
                  <c:v>6333.38</c:v>
                </c:pt>
                <c:pt idx="1">
                  <c:v>4000</c:v>
                </c:pt>
                <c:pt idx="2">
                  <c:v>11400</c:v>
                </c:pt>
              </c:numCache>
            </c:numRef>
          </c:val>
          <c:smooth val="0"/>
          <c:extLst>
            <c:ext xmlns:c16="http://schemas.microsoft.com/office/drawing/2014/chart" uri="{C3380CC4-5D6E-409C-BE32-E72D297353CC}">
              <c16:uniqueId val="{00000001-FD64-425A-85E6-EB19418E2738}"/>
            </c:ext>
          </c:extLst>
        </c:ser>
        <c:dLbls>
          <c:showLegendKey val="0"/>
          <c:showVal val="0"/>
          <c:showCatName val="0"/>
          <c:showSerName val="0"/>
          <c:showPercent val="0"/>
          <c:showBubbleSize val="0"/>
        </c:dLbls>
        <c:marker val="1"/>
        <c:smooth val="0"/>
        <c:axId val="128018688"/>
        <c:axId val="128017152"/>
      </c:lineChart>
      <c:catAx>
        <c:axId val="128001536"/>
        <c:scaling>
          <c:orientation val="minMax"/>
        </c:scaling>
        <c:delete val="0"/>
        <c:axPos val="b"/>
        <c:numFmt formatCode="General" sourceLinked="0"/>
        <c:majorTickMark val="out"/>
        <c:minorTickMark val="none"/>
        <c:tickLblPos val="nextTo"/>
        <c:crossAx val="128003072"/>
        <c:crosses val="autoZero"/>
        <c:auto val="1"/>
        <c:lblAlgn val="ctr"/>
        <c:lblOffset val="100"/>
        <c:noMultiLvlLbl val="0"/>
      </c:catAx>
      <c:valAx>
        <c:axId val="128003072"/>
        <c:scaling>
          <c:orientation val="minMax"/>
          <c:max val="20"/>
        </c:scaling>
        <c:delete val="0"/>
        <c:axPos val="l"/>
        <c:numFmt formatCode="General" sourceLinked="1"/>
        <c:majorTickMark val="none"/>
        <c:minorTickMark val="none"/>
        <c:tickLblPos val="none"/>
        <c:crossAx val="128001536"/>
        <c:crosses val="autoZero"/>
        <c:crossBetween val="between"/>
      </c:valAx>
      <c:valAx>
        <c:axId val="128017152"/>
        <c:scaling>
          <c:orientation val="minMax"/>
          <c:min val="-10000"/>
        </c:scaling>
        <c:delete val="0"/>
        <c:axPos val="r"/>
        <c:numFmt formatCode="[$€-2]\ #,##0.00" sourceLinked="1"/>
        <c:majorTickMark val="none"/>
        <c:minorTickMark val="none"/>
        <c:tickLblPos val="none"/>
        <c:crossAx val="128018688"/>
        <c:crosses val="max"/>
        <c:crossBetween val="between"/>
      </c:valAx>
      <c:catAx>
        <c:axId val="128018688"/>
        <c:scaling>
          <c:orientation val="minMax"/>
        </c:scaling>
        <c:delete val="1"/>
        <c:axPos val="b"/>
        <c:numFmt formatCode="General" sourceLinked="1"/>
        <c:majorTickMark val="out"/>
        <c:minorTickMark val="none"/>
        <c:tickLblPos val="none"/>
        <c:crossAx val="128017152"/>
        <c:crosses val="autoZero"/>
        <c:auto val="1"/>
        <c:lblAlgn val="ctr"/>
        <c:lblOffset val="100"/>
        <c:noMultiLvlLbl val="0"/>
      </c:catAx>
      <c:spPr>
        <a:noFill/>
      </c:spPr>
    </c:plotArea>
    <c:legend>
      <c:legendPos val="l"/>
      <c:layout>
        <c:manualLayout>
          <c:xMode val="edge"/>
          <c:yMode val="edge"/>
          <c:x val="0"/>
          <c:y val="0.81292913825116464"/>
          <c:w val="0.97911281656220261"/>
          <c:h val="0.18707086174883553"/>
        </c:manualLayout>
      </c:layout>
      <c:overlay val="0"/>
    </c:legend>
    <c:plotVisOnly val="1"/>
    <c:dispBlanksAs val="gap"/>
    <c:showDLblsOverMax val="0"/>
  </c:chart>
  <c:spPr>
    <a:noFill/>
    <a:ln>
      <a:noFill/>
    </a:ln>
  </c:spPr>
  <c:txPr>
    <a:bodyPr/>
    <a:lstStyle/>
    <a:p>
      <a:pPr>
        <a:defRPr sz="800">
          <a:solidFill>
            <a:schemeClr val="tx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a:solidFill>
                  <a:schemeClr val="tx1"/>
                </a:solidFill>
              </a:defRPr>
            </a:pPr>
            <a:r>
              <a:rPr lang="en-US" sz="1100">
                <a:solidFill>
                  <a:schemeClr val="tx1"/>
                </a:solidFill>
              </a:rPr>
              <a:t>RECEITA BRUTA - 2022
</a:t>
            </a:r>
            <a:r>
              <a:rPr lang="en-US" sz="1100" b="0">
                <a:solidFill>
                  <a:schemeClr val="tx1"/>
                </a:solidFill>
                <a:latin typeface="+mn-lt"/>
              </a:rPr>
              <a:t>GBO</a:t>
            </a:r>
          </a:p>
        </c:rich>
      </c:tx>
      <c:overlay val="1"/>
    </c:title>
    <c:autoTitleDeleted val="0"/>
    <c:plotArea>
      <c:layout>
        <c:manualLayout>
          <c:layoutTarget val="inner"/>
          <c:xMode val="edge"/>
          <c:yMode val="edge"/>
          <c:x val="3.6201394108043849E-2"/>
          <c:y val="0.35229181561638379"/>
          <c:w val="0.87770864197530862"/>
          <c:h val="0.52233948313141054"/>
        </c:manualLayout>
      </c:layout>
      <c:barChart>
        <c:barDir val="bar"/>
        <c:grouping val="percentStacked"/>
        <c:varyColors val="0"/>
        <c:ser>
          <c:idx val="0"/>
          <c:order val="0"/>
          <c:tx>
            <c:strRef>
              <c:f>TABELAS!$D$17</c:f>
              <c:strCache>
                <c:ptCount val="1"/>
                <c:pt idx="0">
                  <c:v>NOS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1-2CE6-44BA-A5B0-4F5C895D55CB}"/>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3-2CE6-44BA-A5B0-4F5C895D55CB}"/>
              </c:ext>
            </c:extLst>
          </c:dPt>
          <c:dLbls>
            <c:dLbl>
              <c:idx val="0"/>
              <c:numFmt formatCode="0.0%" sourceLinked="0"/>
              <c:spPr/>
              <c:txPr>
                <a:bodyPr/>
                <a:lstStyle/>
                <a:p>
                  <a:pPr>
                    <a:defRPr sz="800" b="1">
                      <a:solidFill>
                        <a:schemeClr val="bg1"/>
                      </a:solidFill>
                      <a:latin typeface="+mj-lt"/>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E6-44BA-A5B0-4F5C895D55CB}"/>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CE6-44BA-A5B0-4F5C895D55C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E6-44BA-A5B0-4F5C895D55CB}"/>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CE6-44BA-A5B0-4F5C895D55CB}"/>
                </c:ext>
              </c:extLst>
            </c:dLbl>
            <c:numFmt formatCode="0.0%" sourceLinked="0"/>
            <c:spPr>
              <a:noFill/>
              <a:ln>
                <a:noFill/>
              </a:ln>
              <a:effectLst/>
            </c:spPr>
            <c:txPr>
              <a:bodyPr/>
              <a:lstStyle/>
              <a:p>
                <a:pPr>
                  <a:defRPr sz="800">
                    <a:latin typeface="+mj-lt"/>
                  </a:defRPr>
                </a:pPr>
                <a:endParaRPr lang="pt-PT"/>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TABELAS!$D$28:$D$32</c:f>
              <c:strCache>
                <c:ptCount val="5"/>
                <c:pt idx="0">
                  <c:v>NOS</c:v>
                </c:pt>
                <c:pt idx="1">
                  <c:v>UCI</c:v>
                </c:pt>
                <c:pt idx="2">
                  <c:v>CINEPLACE</c:v>
                </c:pt>
                <c:pt idx="3">
                  <c:v>NLC</c:v>
                </c:pt>
                <c:pt idx="4">
                  <c:v>OUTROS
OTHERS</c:v>
                </c:pt>
              </c:strCache>
            </c:strRef>
          </c:cat>
          <c:val>
            <c:numRef>
              <c:f>TABELAS!$A$17:$B$17</c:f>
              <c:numCache>
                <c:formatCode>0.0%</c:formatCode>
                <c:ptCount val="2"/>
                <c:pt idx="0">
                  <c:v>0.35199999999999998</c:v>
                </c:pt>
                <c:pt idx="1">
                  <c:v>0.35199999999999998</c:v>
                </c:pt>
              </c:numCache>
            </c:numRef>
          </c:val>
          <c:extLst>
            <c:ext xmlns:c16="http://schemas.microsoft.com/office/drawing/2014/chart" uri="{C3380CC4-5D6E-409C-BE32-E72D297353CC}">
              <c16:uniqueId val="{00000006-2CE6-44BA-A5B0-4F5C895D55CB}"/>
            </c:ext>
          </c:extLst>
        </c:ser>
        <c:ser>
          <c:idx val="1"/>
          <c:order val="1"/>
          <c:tx>
            <c:strRef>
              <c:f>TABELAS!$D$18</c:f>
              <c:strCache>
                <c:ptCount val="1"/>
                <c:pt idx="0">
                  <c:v>CINEMUNDO</c:v>
                </c:pt>
              </c:strCache>
            </c:strRef>
          </c:tx>
          <c:spPr>
            <a:scene3d>
              <a:camera prst="orthographicFront"/>
              <a:lightRig rig="threePt" dir="t"/>
            </a:scene3d>
          </c:spPr>
          <c:invertIfNegative val="0"/>
          <c:dPt>
            <c:idx val="0"/>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8-2CE6-44BA-A5B0-4F5C895D55CB}"/>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A-2CE6-44BA-A5B0-4F5C895D55CB}"/>
              </c:ext>
            </c:extLst>
          </c:dPt>
          <c:dLbls>
            <c:dLbl>
              <c:idx val="0"/>
              <c:spPr/>
              <c:txPr>
                <a:bodyPr/>
                <a:lstStyle/>
                <a:p>
                  <a:pPr>
                    <a:defRPr sz="800" b="1">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8-2CE6-44BA-A5B0-4F5C895D55CB}"/>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2CE6-44BA-A5B0-4F5C895D55CB}"/>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2CE6-44BA-A5B0-4F5C895D55CB}"/>
                </c:ext>
              </c:extLst>
            </c:dLbl>
            <c:spPr>
              <a:noFill/>
              <a:ln>
                <a:noFill/>
              </a:ln>
              <a:effectLst/>
            </c:spPr>
            <c:txPr>
              <a:bodyPr/>
              <a:lstStyle/>
              <a:p>
                <a:pPr>
                  <a:defRPr sz="80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TABELAS!$D$28:$D$32</c:f>
              <c:strCache>
                <c:ptCount val="5"/>
                <c:pt idx="0">
                  <c:v>NOS</c:v>
                </c:pt>
                <c:pt idx="1">
                  <c:v>UCI</c:v>
                </c:pt>
                <c:pt idx="2">
                  <c:v>CINEPLACE</c:v>
                </c:pt>
                <c:pt idx="3">
                  <c:v>NLC</c:v>
                </c:pt>
                <c:pt idx="4">
                  <c:v>OUTROS
OTHERS</c:v>
                </c:pt>
              </c:strCache>
            </c:strRef>
          </c:cat>
          <c:val>
            <c:numRef>
              <c:f>TABELAS!$A$18:$B$18</c:f>
              <c:numCache>
                <c:formatCode>0.0%</c:formatCode>
                <c:ptCount val="2"/>
                <c:pt idx="0">
                  <c:v>0.152</c:v>
                </c:pt>
                <c:pt idx="1">
                  <c:v>0.152</c:v>
                </c:pt>
              </c:numCache>
            </c:numRef>
          </c:val>
          <c:extLst>
            <c:ext xmlns:c16="http://schemas.microsoft.com/office/drawing/2014/chart" uri="{C3380CC4-5D6E-409C-BE32-E72D297353CC}">
              <c16:uniqueId val="{0000000C-2CE6-44BA-A5B0-4F5C895D55CB}"/>
            </c:ext>
          </c:extLst>
        </c:ser>
        <c:ser>
          <c:idx val="2"/>
          <c:order val="2"/>
          <c:tx>
            <c:strRef>
              <c:f>TABELAS!$D$19</c:f>
              <c:strCache>
                <c:ptCount val="1"/>
                <c:pt idx="0">
                  <c:v>PRIS</c:v>
                </c:pt>
              </c:strCache>
            </c:strRef>
          </c:tx>
          <c:spPr>
            <a:scene3d>
              <a:camera prst="orthographicFront"/>
              <a:lightRig rig="threePt" dir="t"/>
            </a:scene3d>
          </c:spPr>
          <c:invertIfNegative val="0"/>
          <c:dPt>
            <c:idx val="0"/>
            <c:invertIfNegative val="0"/>
            <c:bubble3D val="0"/>
            <c:spPr>
              <a:solidFill>
                <a:schemeClr val="tx1">
                  <a:lumMod val="50000"/>
                  <a:lumOff val="50000"/>
                </a:schemeClr>
              </a:solidFill>
              <a:scene3d>
                <a:camera prst="orthographicFront"/>
                <a:lightRig rig="threePt" dir="t"/>
              </a:scene3d>
            </c:spPr>
            <c:extLst>
              <c:ext xmlns:c16="http://schemas.microsoft.com/office/drawing/2014/chart" uri="{C3380CC4-5D6E-409C-BE32-E72D297353CC}">
                <c16:uniqueId val="{0000000E-2CE6-44BA-A5B0-4F5C895D55CB}"/>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0-2CE6-44BA-A5B0-4F5C895D55CB}"/>
              </c:ext>
            </c:extLst>
          </c:dPt>
          <c:dLbls>
            <c:dLbl>
              <c:idx val="0"/>
              <c:spPr/>
              <c:txPr>
                <a:bodyPr/>
                <a:lstStyle/>
                <a:p>
                  <a:pPr>
                    <a:defRPr sz="800" b="0">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E-2CE6-44BA-A5B0-4F5C895D55CB}"/>
                </c:ext>
              </c:extLst>
            </c:dLbl>
            <c:dLbl>
              <c:idx val="1"/>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2CE6-44BA-A5B0-4F5C895D55CB}"/>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2CE6-44BA-A5B0-4F5C895D55CB}"/>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TABELAS!$D$28:$D$32</c:f>
              <c:strCache>
                <c:ptCount val="5"/>
                <c:pt idx="0">
                  <c:v>NOS</c:v>
                </c:pt>
                <c:pt idx="1">
                  <c:v>UCI</c:v>
                </c:pt>
                <c:pt idx="2">
                  <c:v>CINEPLACE</c:v>
                </c:pt>
                <c:pt idx="3">
                  <c:v>NLC</c:v>
                </c:pt>
                <c:pt idx="4">
                  <c:v>OUTROS
OTHERS</c:v>
                </c:pt>
              </c:strCache>
            </c:strRef>
          </c:cat>
          <c:val>
            <c:numRef>
              <c:f>TABELAS!$A$19:$B$19</c:f>
              <c:numCache>
                <c:formatCode>0.0%</c:formatCode>
                <c:ptCount val="2"/>
                <c:pt idx="0">
                  <c:v>4.3999999999999997E-2</c:v>
                </c:pt>
                <c:pt idx="1">
                  <c:v>4.3999999999999997E-2</c:v>
                </c:pt>
              </c:numCache>
            </c:numRef>
          </c:val>
          <c:extLst>
            <c:ext xmlns:c16="http://schemas.microsoft.com/office/drawing/2014/chart" uri="{C3380CC4-5D6E-409C-BE32-E72D297353CC}">
              <c16:uniqueId val="{00000012-2CE6-44BA-A5B0-4F5C895D55CB}"/>
            </c:ext>
          </c:extLst>
        </c:ser>
        <c:ser>
          <c:idx val="3"/>
          <c:order val="3"/>
          <c:tx>
            <c:strRef>
              <c:f>TABELAS!$D$20</c:f>
              <c:strCache>
                <c:ptCount val="1"/>
                <c:pt idx="0">
                  <c:v>OUTSIDER </c:v>
                </c:pt>
              </c:strCache>
            </c:strRef>
          </c:tx>
          <c:spPr>
            <a:scene3d>
              <a:camera prst="orthographicFront"/>
              <a:lightRig rig="threePt" dir="t"/>
            </a:scene3d>
          </c:spPr>
          <c:invertIfNegative val="0"/>
          <c:dPt>
            <c:idx val="0"/>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14-2CE6-44BA-A5B0-4F5C895D55CB}"/>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6-2CE6-44BA-A5B0-4F5C895D55CB}"/>
              </c:ext>
            </c:extLst>
          </c:dPt>
          <c:dLbls>
            <c:dLbl>
              <c:idx val="0"/>
              <c:layout>
                <c:manualLayout>
                  <c:x val="0"/>
                  <c:y val="-0.17734257438646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E6-44BA-A5B0-4F5C895D55CB}"/>
                </c:ext>
              </c:extLst>
            </c:dLbl>
            <c:dLbl>
              <c:idx val="1"/>
              <c:layout>
                <c:manualLayout>
                  <c:x val="0"/>
                  <c:y val="0.456023762708055"/>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2CE6-44BA-A5B0-4F5C895D55CB}"/>
                </c:ext>
              </c:extLst>
            </c:dLbl>
            <c:spPr>
              <a:noFill/>
              <a:ln>
                <a:noFill/>
              </a:ln>
              <a:effectLst/>
            </c:spPr>
            <c:txPr>
              <a:bodyPr/>
              <a:lstStyle/>
              <a:p>
                <a:pPr>
                  <a:defRPr sz="800">
                    <a:latin typeface="+mj-lt"/>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TABELAS!$D$28:$D$32</c:f>
              <c:strCache>
                <c:ptCount val="5"/>
                <c:pt idx="0">
                  <c:v>NOS</c:v>
                </c:pt>
                <c:pt idx="1">
                  <c:v>UCI</c:v>
                </c:pt>
                <c:pt idx="2">
                  <c:v>CINEPLACE</c:v>
                </c:pt>
                <c:pt idx="3">
                  <c:v>NLC</c:v>
                </c:pt>
                <c:pt idx="4">
                  <c:v>OUTROS
OTHERS</c:v>
                </c:pt>
              </c:strCache>
            </c:strRef>
          </c:cat>
          <c:val>
            <c:numRef>
              <c:f>TABELAS!$A$20:$B$20</c:f>
              <c:numCache>
                <c:formatCode>0.0%</c:formatCode>
                <c:ptCount val="2"/>
                <c:pt idx="0">
                  <c:v>1.2E-2</c:v>
                </c:pt>
                <c:pt idx="1">
                  <c:v>1.2E-2</c:v>
                </c:pt>
              </c:numCache>
            </c:numRef>
          </c:val>
          <c:extLst>
            <c:ext xmlns:c16="http://schemas.microsoft.com/office/drawing/2014/chart" uri="{C3380CC4-5D6E-409C-BE32-E72D297353CC}">
              <c16:uniqueId val="{00000017-2CE6-44BA-A5B0-4F5C895D55CB}"/>
            </c:ext>
          </c:extLst>
        </c:ser>
        <c:ser>
          <c:idx val="4"/>
          <c:order val="4"/>
          <c:tx>
            <c:strRef>
              <c:f>TABELAS!$D$21</c:f>
              <c:strCache>
                <c:ptCount val="1"/>
                <c:pt idx="0">
                  <c:v>OUTROS | OTHERS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19-2CE6-44BA-A5B0-4F5C895D55CB}"/>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B-2CE6-44BA-A5B0-4F5C895D55CB}"/>
              </c:ext>
            </c:extLst>
          </c:dPt>
          <c:dLbls>
            <c:dLbl>
              <c:idx val="0"/>
              <c:layout>
                <c:manualLayout>
                  <c:x val="5.2916666666666667E-3"/>
                  <c:y val="0"/>
                </c:manualLayout>
              </c:layout>
              <c:spPr/>
              <c:txPr>
                <a:bodyPr/>
                <a:lstStyle/>
                <a:p>
                  <a:pPr>
                    <a:defRPr sz="800" b="1">
                      <a:solidFill>
                        <a:schemeClr val="bg1"/>
                      </a:solidFill>
                      <a:latin typeface="+mj-lt"/>
                    </a:defRPr>
                  </a:pPr>
                  <a:endParaRPr lang="pt-PT"/>
                </a:p>
              </c:txPr>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2CE6-44BA-A5B0-4F5C895D55CB}"/>
                </c:ext>
              </c:extLst>
            </c:dLbl>
            <c:dLbl>
              <c:idx val="1"/>
              <c:layout>
                <c:manualLayout>
                  <c:x val="5.6836419753087043E-2"/>
                  <c:y val="0.26105555555555554"/>
                </c:manualLayout>
              </c:layout>
              <c:tx>
                <c:rich>
                  <a:bodyPr/>
                  <a:lstStyle/>
                  <a:p>
                    <a:pPr>
                      <a:defRPr sz="800">
                        <a:solidFill>
                          <a:schemeClr val="tx1"/>
                        </a:solidFill>
                        <a:latin typeface="+mj-lt"/>
                      </a:defRPr>
                    </a:pPr>
                    <a:r>
                      <a:rPr lang="en-US" sz="800">
                        <a:solidFill>
                          <a:schemeClr val="tx1"/>
                        </a:solidFill>
                        <a:latin typeface="+mj-lt"/>
                      </a:rPr>
                      <a:t>OUTROS
OTHERS</a:t>
                    </a:r>
                    <a:endParaRPr lang="en-US">
                      <a:solidFill>
                        <a:schemeClr val="tx1"/>
                      </a:solidFill>
                    </a:endParaRPr>
                  </a:p>
                </c:rich>
              </c:tx>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2CE6-44BA-A5B0-4F5C895D55CB}"/>
                </c:ext>
              </c:extLst>
            </c:dLbl>
            <c:dLbl>
              <c:idx val="2"/>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2CE6-44BA-A5B0-4F5C895D55CB}"/>
                </c:ext>
              </c:extLst>
            </c:dLbl>
            <c:dLbl>
              <c:idx val="3"/>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D-2CE6-44BA-A5B0-4F5C895D55CB}"/>
                </c:ext>
              </c:extLst>
            </c:dLbl>
            <c:spPr>
              <a:noFill/>
              <a:ln>
                <a:noFill/>
              </a:ln>
              <a:effectLst/>
            </c:spPr>
            <c:txPr>
              <a:bodyPr/>
              <a:lstStyle/>
              <a:p>
                <a:pPr>
                  <a:defRPr sz="800">
                    <a:latin typeface="+mj-lt"/>
                  </a:defRPr>
                </a:pPr>
                <a:endParaRPr lang="pt-PT"/>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TABELAS!$D$28:$D$32</c:f>
              <c:strCache>
                <c:ptCount val="5"/>
                <c:pt idx="0">
                  <c:v>NOS</c:v>
                </c:pt>
                <c:pt idx="1">
                  <c:v>UCI</c:v>
                </c:pt>
                <c:pt idx="2">
                  <c:v>CINEPLACE</c:v>
                </c:pt>
                <c:pt idx="3">
                  <c:v>NLC</c:v>
                </c:pt>
                <c:pt idx="4">
                  <c:v>OUTROS
OTHERS</c:v>
                </c:pt>
              </c:strCache>
            </c:strRef>
          </c:cat>
          <c:val>
            <c:numRef>
              <c:f>TABELAS!$A$21:$B$21</c:f>
              <c:numCache>
                <c:formatCode>0.0%</c:formatCode>
                <c:ptCount val="2"/>
                <c:pt idx="0">
                  <c:v>0.44</c:v>
                </c:pt>
                <c:pt idx="1">
                  <c:v>0.44</c:v>
                </c:pt>
              </c:numCache>
            </c:numRef>
          </c:val>
          <c:extLst>
            <c:ext xmlns:c16="http://schemas.microsoft.com/office/drawing/2014/chart" uri="{C3380CC4-5D6E-409C-BE32-E72D297353CC}">
              <c16:uniqueId val="{0000001E-2CE6-44BA-A5B0-4F5C895D55CB}"/>
            </c:ext>
          </c:extLst>
        </c:ser>
        <c:dLbls>
          <c:showLegendKey val="0"/>
          <c:showVal val="0"/>
          <c:showCatName val="0"/>
          <c:showSerName val="0"/>
          <c:showPercent val="0"/>
          <c:showBubbleSize val="0"/>
        </c:dLbls>
        <c:gapWidth val="10"/>
        <c:overlap val="100"/>
        <c:axId val="106431232"/>
        <c:axId val="106351616"/>
      </c:barChart>
      <c:valAx>
        <c:axId val="106351616"/>
        <c:scaling>
          <c:orientation val="minMax"/>
        </c:scaling>
        <c:delete val="1"/>
        <c:axPos val="b"/>
        <c:numFmt formatCode="0%" sourceLinked="1"/>
        <c:majorTickMark val="out"/>
        <c:minorTickMark val="none"/>
        <c:tickLblPos val="none"/>
        <c:crossAx val="106431232"/>
        <c:crosses val="autoZero"/>
        <c:crossBetween val="between"/>
        <c:majorUnit val="1"/>
      </c:valAx>
      <c:catAx>
        <c:axId val="106431232"/>
        <c:scaling>
          <c:orientation val="minMax"/>
        </c:scaling>
        <c:delete val="1"/>
        <c:axPos val="l"/>
        <c:numFmt formatCode="General" sourceLinked="0"/>
        <c:majorTickMark val="out"/>
        <c:minorTickMark val="none"/>
        <c:tickLblPos val="none"/>
        <c:crossAx val="106351616"/>
        <c:crosses val="autoZero"/>
        <c:auto val="1"/>
        <c:lblAlgn val="ctr"/>
        <c:lblOffset val="100"/>
        <c:noMultiLvlLbl val="0"/>
      </c:catAx>
      <c:spPr>
        <a:noFill/>
        <a:ln>
          <a:noFill/>
        </a:ln>
      </c:spPr>
    </c:plotArea>
    <c:plotVisOnly val="1"/>
    <c:dispBlanksAs val="zero"/>
    <c:showDLblsOverMax val="0"/>
  </c:chart>
  <c:spPr>
    <a:noFill/>
    <a:ln>
      <a:noFill/>
    </a:ln>
  </c:spPr>
  <c:txPr>
    <a:bodyPr/>
    <a:lstStyle/>
    <a:p>
      <a:pPr>
        <a:defRPr>
          <a:solidFill>
            <a:schemeClr val="tx1"/>
          </a:solidFill>
        </a:defRPr>
      </a:pPr>
      <a:endParaRPr lang="pt-PT"/>
    </a:p>
  </c:txPr>
  <c:printSettings>
    <c:headerFooter/>
    <c:pageMargins b="0.75000000000001465" l="0.70000000000000062" r="0.70000000000000062" t="0.75000000000001465" header="0.30000000000000032" footer="0.30000000000000032"/>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a:solidFill>
                  <a:schemeClr val="tx1"/>
                </a:solidFill>
              </a:defRPr>
            </a:pPr>
            <a:r>
              <a:rPr lang="en-US" sz="1100">
                <a:solidFill>
                  <a:schemeClr val="tx1"/>
                </a:solidFill>
              </a:rPr>
              <a:t>ESPECTADORES - 2022
</a:t>
            </a:r>
            <a:r>
              <a:rPr lang="en-US" sz="1100" b="0">
                <a:solidFill>
                  <a:schemeClr val="tx1"/>
                </a:solidFill>
              </a:rPr>
              <a:t>ADMISSIONS</a:t>
            </a:r>
          </a:p>
        </c:rich>
      </c:tx>
      <c:layout>
        <c:manualLayout>
          <c:xMode val="edge"/>
          <c:yMode val="edge"/>
          <c:x val="0.4060111111111111"/>
          <c:y val="6.156222222222222E-2"/>
        </c:manualLayout>
      </c:layout>
      <c:overlay val="1"/>
    </c:title>
    <c:autoTitleDeleted val="0"/>
    <c:plotArea>
      <c:layout>
        <c:manualLayout>
          <c:layoutTarget val="inner"/>
          <c:xMode val="edge"/>
          <c:yMode val="edge"/>
          <c:x val="3.6201394108043836E-2"/>
          <c:y val="0.35229181561638379"/>
          <c:w val="0.87836625000000013"/>
          <c:h val="0.52233948313141054"/>
        </c:manualLayout>
      </c:layout>
      <c:barChart>
        <c:barDir val="bar"/>
        <c:grouping val="percentStacked"/>
        <c:varyColors val="0"/>
        <c:ser>
          <c:idx val="0"/>
          <c:order val="0"/>
          <c:tx>
            <c:strRef>
              <c:f>TABELAS!$I$17</c:f>
              <c:strCache>
                <c:ptCount val="1"/>
                <c:pt idx="0">
                  <c:v>NOS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1-3E8C-48AB-8145-AD27AF6FC4EC}"/>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3-3E8C-48AB-8145-AD27AF6FC4E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C-48AB-8145-AD27AF6FC4EC}"/>
                </c:ext>
              </c:extLst>
            </c:dLbl>
            <c:dLbl>
              <c:idx val="1"/>
              <c:numFmt formatCode="0.0%" sourceLinked="0"/>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3E8C-48AB-8145-AD27AF6FC4E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8C-48AB-8145-AD27AF6FC4EC}"/>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E8C-48AB-8145-AD27AF6FC4EC}"/>
                </c:ext>
              </c:extLst>
            </c:dLbl>
            <c:numFmt formatCode="0.0%" sourceLinked="0"/>
            <c:spPr>
              <a:noFill/>
              <a:ln>
                <a:noFill/>
              </a:ln>
              <a:effectLst/>
            </c:spPr>
            <c:txPr>
              <a:bodyPr/>
              <a:lstStyle/>
              <a:p>
                <a:pPr>
                  <a:defRPr sz="800" b="0">
                    <a:latin typeface="+mj-lt"/>
                  </a:defRPr>
                </a:pPr>
                <a:endParaRPr lang="pt-PT"/>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TABELAS!$G$27</c:f>
              <c:strCache>
                <c:ptCount val="1"/>
                <c:pt idx="0">
                  <c:v>ESPETADORES | ADMISSIONS - 2015</c:v>
                </c:pt>
              </c:strCache>
            </c:strRef>
          </c:cat>
          <c:val>
            <c:numRef>
              <c:f>TABELAS!$N$17:$O$17</c:f>
              <c:numCache>
                <c:formatCode>0.0%</c:formatCode>
                <c:ptCount val="2"/>
                <c:pt idx="0">
                  <c:v>0.35899999999999999</c:v>
                </c:pt>
                <c:pt idx="1">
                  <c:v>0.35899999999999999</c:v>
                </c:pt>
              </c:numCache>
            </c:numRef>
          </c:val>
          <c:extLst>
            <c:ext xmlns:c16="http://schemas.microsoft.com/office/drawing/2014/chart" uri="{C3380CC4-5D6E-409C-BE32-E72D297353CC}">
              <c16:uniqueId val="{00000006-3E8C-48AB-8145-AD27AF6FC4EC}"/>
            </c:ext>
          </c:extLst>
        </c:ser>
        <c:ser>
          <c:idx val="1"/>
          <c:order val="1"/>
          <c:tx>
            <c:strRef>
              <c:f>TABELAS!$I$18</c:f>
              <c:strCache>
                <c:ptCount val="1"/>
                <c:pt idx="0">
                  <c:v>CINEMUNDO</c:v>
                </c:pt>
              </c:strCache>
            </c:strRef>
          </c:tx>
          <c:spPr>
            <a:scene3d>
              <a:camera prst="orthographicFront"/>
              <a:lightRig rig="threePt" dir="t"/>
            </a:scene3d>
          </c:spPr>
          <c:invertIfNegative val="0"/>
          <c:dPt>
            <c:idx val="0"/>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8-3E8C-48AB-8145-AD27AF6FC4EC}"/>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A-3E8C-48AB-8145-AD27AF6FC4EC}"/>
              </c:ext>
            </c:extLst>
          </c:dPt>
          <c:dLbls>
            <c:dLbl>
              <c:idx val="1"/>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3E8C-48AB-8145-AD27AF6FC4EC}"/>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3E8C-48AB-8145-AD27AF6FC4EC}"/>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TABELAS!$G$27</c:f>
              <c:strCache>
                <c:ptCount val="1"/>
                <c:pt idx="0">
                  <c:v>ESPETADORES | ADMISSIONS - 2015</c:v>
                </c:pt>
              </c:strCache>
            </c:strRef>
          </c:cat>
          <c:val>
            <c:numRef>
              <c:f>TABELAS!$N$18:$O$18</c:f>
              <c:numCache>
                <c:formatCode>0.0%</c:formatCode>
                <c:ptCount val="2"/>
                <c:pt idx="0">
                  <c:v>0.157</c:v>
                </c:pt>
                <c:pt idx="1">
                  <c:v>0.157</c:v>
                </c:pt>
              </c:numCache>
            </c:numRef>
          </c:val>
          <c:extLst>
            <c:ext xmlns:c16="http://schemas.microsoft.com/office/drawing/2014/chart" uri="{C3380CC4-5D6E-409C-BE32-E72D297353CC}">
              <c16:uniqueId val="{0000000C-3E8C-48AB-8145-AD27AF6FC4EC}"/>
            </c:ext>
          </c:extLst>
        </c:ser>
        <c:ser>
          <c:idx val="2"/>
          <c:order val="2"/>
          <c:tx>
            <c:strRef>
              <c:f>TABELAS!$I$19</c:f>
              <c:strCache>
                <c:ptCount val="1"/>
                <c:pt idx="0">
                  <c:v>PRIS</c:v>
                </c:pt>
              </c:strCache>
            </c:strRef>
          </c:tx>
          <c:spPr>
            <a:scene3d>
              <a:camera prst="orthographicFront"/>
              <a:lightRig rig="threePt" dir="t"/>
            </a:scene3d>
          </c:spPr>
          <c:invertIfNegative val="0"/>
          <c:dPt>
            <c:idx val="0"/>
            <c:invertIfNegative val="0"/>
            <c:bubble3D val="0"/>
            <c:spPr>
              <a:solidFill>
                <a:schemeClr val="tx1">
                  <a:lumMod val="50000"/>
                  <a:lumOff val="50000"/>
                </a:schemeClr>
              </a:solidFill>
              <a:scene3d>
                <a:camera prst="orthographicFront"/>
                <a:lightRig rig="threePt" dir="t"/>
              </a:scene3d>
            </c:spPr>
            <c:extLst>
              <c:ext xmlns:c16="http://schemas.microsoft.com/office/drawing/2014/chart" uri="{C3380CC4-5D6E-409C-BE32-E72D297353CC}">
                <c16:uniqueId val="{0000000E-3E8C-48AB-8145-AD27AF6FC4EC}"/>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0-3E8C-48AB-8145-AD27AF6FC4EC}"/>
              </c:ext>
            </c:extLst>
          </c:dPt>
          <c:dLbls>
            <c:dLbl>
              <c:idx val="1"/>
              <c:layout>
                <c:manualLayout>
                  <c:x val="-1.7697420649712724E-3"/>
                  <c:y val="-1.7638888888888888E-3"/>
                </c:manualLayout>
              </c:layout>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3E8C-48AB-8145-AD27AF6FC4EC}"/>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E8C-48AB-8145-AD27AF6FC4EC}"/>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TABELAS!$G$27</c:f>
              <c:strCache>
                <c:ptCount val="1"/>
                <c:pt idx="0">
                  <c:v>ESPETADORES | ADMISSIONS - 2015</c:v>
                </c:pt>
              </c:strCache>
            </c:strRef>
          </c:cat>
          <c:val>
            <c:numRef>
              <c:f>TABELAS!$N$19:$O$19</c:f>
              <c:numCache>
                <c:formatCode>0.0%</c:formatCode>
                <c:ptCount val="2"/>
                <c:pt idx="0">
                  <c:v>4.4999999999999998E-2</c:v>
                </c:pt>
                <c:pt idx="1">
                  <c:v>4.4999999999999998E-2</c:v>
                </c:pt>
              </c:numCache>
            </c:numRef>
          </c:val>
          <c:extLst>
            <c:ext xmlns:c16="http://schemas.microsoft.com/office/drawing/2014/chart" uri="{C3380CC4-5D6E-409C-BE32-E72D297353CC}">
              <c16:uniqueId val="{00000012-3E8C-48AB-8145-AD27AF6FC4EC}"/>
            </c:ext>
          </c:extLst>
        </c:ser>
        <c:ser>
          <c:idx val="3"/>
          <c:order val="3"/>
          <c:tx>
            <c:strRef>
              <c:f>TABELAS!$I$20</c:f>
              <c:strCache>
                <c:ptCount val="1"/>
                <c:pt idx="0">
                  <c:v>OUTSIDER </c:v>
                </c:pt>
              </c:strCache>
            </c:strRef>
          </c:tx>
          <c:spPr>
            <a:scene3d>
              <a:camera prst="orthographicFront"/>
              <a:lightRig rig="threePt" dir="t"/>
            </a:scene3d>
          </c:spPr>
          <c:invertIfNegative val="0"/>
          <c:dPt>
            <c:idx val="0"/>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14-3E8C-48AB-8145-AD27AF6FC4EC}"/>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6-3E8C-48AB-8145-AD27AF6FC4EC}"/>
              </c:ext>
            </c:extLst>
          </c:dPt>
          <c:dLbls>
            <c:dLbl>
              <c:idx val="0"/>
              <c:layout>
                <c:manualLayout>
                  <c:x val="0"/>
                  <c:y val="-0.20284722222222223"/>
                </c:manualLayout>
              </c:layout>
              <c:spPr>
                <a:noFill/>
                <a:ln>
                  <a:noFill/>
                </a:ln>
                <a:effectLst/>
              </c:spPr>
              <c:txPr>
                <a:bodyPr/>
                <a:lstStyle/>
                <a:p>
                  <a:pPr>
                    <a:defRPr sz="800" b="0">
                      <a:solidFill>
                        <a:schemeClr val="tx1"/>
                      </a:solidFill>
                      <a:latin typeface="+mj-lt"/>
                    </a:defRPr>
                  </a:pPr>
                  <a:endParaRPr lang="pt-PT"/>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E8C-48AB-8145-AD27AF6FC4EC}"/>
                </c:ext>
              </c:extLst>
            </c:dLbl>
            <c:dLbl>
              <c:idx val="1"/>
              <c:layout>
                <c:manualLayout>
                  <c:x val="-1.2935035758548312E-16"/>
                  <c:y val="0.45861111111111097"/>
                </c:manualLayout>
              </c:layout>
              <c:spPr/>
              <c:txPr>
                <a:bodyPr/>
                <a:lstStyle/>
                <a:p>
                  <a:pPr>
                    <a:defRPr sz="800" b="0">
                      <a:solidFill>
                        <a:schemeClr val="tx1"/>
                      </a:solidFill>
                      <a:latin typeface="+mj-lt"/>
                    </a:defRPr>
                  </a:pPr>
                  <a:endParaRPr lang="pt-PT"/>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3E8C-48AB-8145-AD27AF6FC4EC}"/>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E8C-48AB-8145-AD27AF6FC4EC}"/>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TABELAS!$G$27</c:f>
              <c:strCache>
                <c:ptCount val="1"/>
                <c:pt idx="0">
                  <c:v>ESPETADORES | ADMISSIONS - 2015</c:v>
                </c:pt>
              </c:strCache>
            </c:strRef>
          </c:cat>
          <c:val>
            <c:numRef>
              <c:f>TABELAS!$N$20:$O$20</c:f>
              <c:numCache>
                <c:formatCode>0.0%</c:formatCode>
                <c:ptCount val="2"/>
                <c:pt idx="0">
                  <c:v>1.4E-2</c:v>
                </c:pt>
                <c:pt idx="1">
                  <c:v>1.4E-2</c:v>
                </c:pt>
              </c:numCache>
            </c:numRef>
          </c:val>
          <c:extLst>
            <c:ext xmlns:c16="http://schemas.microsoft.com/office/drawing/2014/chart" uri="{C3380CC4-5D6E-409C-BE32-E72D297353CC}">
              <c16:uniqueId val="{00000018-3E8C-48AB-8145-AD27AF6FC4EC}"/>
            </c:ext>
          </c:extLst>
        </c:ser>
        <c:ser>
          <c:idx val="4"/>
          <c:order val="4"/>
          <c:tx>
            <c:strRef>
              <c:f>TABELAS!$I$21</c:f>
              <c:strCache>
                <c:ptCount val="1"/>
                <c:pt idx="0">
                  <c:v>OUTROS | OTHERS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1A-3E8C-48AB-8145-AD27AF6FC4EC}"/>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C-3E8C-48AB-8145-AD27AF6FC4EC}"/>
              </c:ext>
            </c:extLst>
          </c:dPt>
          <c:dLbls>
            <c:dLbl>
              <c:idx val="0"/>
              <c:spPr/>
              <c:txPr>
                <a:bodyPr/>
                <a:lstStyle/>
                <a:p>
                  <a:pPr>
                    <a:defRPr sz="800" b="1"/>
                  </a:pPr>
                  <a:endParaRPr lang="pt-PT"/>
                </a:p>
              </c:txPr>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3E8C-48AB-8145-AD27AF6FC4EC}"/>
                </c:ext>
              </c:extLst>
            </c:dLbl>
            <c:dLbl>
              <c:idx val="1"/>
              <c:layout>
                <c:manualLayout>
                  <c:x val="5.4815603147365929E-2"/>
                  <c:y val="0.25165538796381387"/>
                </c:manualLayout>
              </c:layout>
              <c:tx>
                <c:rich>
                  <a:bodyPr/>
                  <a:lstStyle/>
                  <a:p>
                    <a:pPr>
                      <a:defRPr sz="800" b="1">
                        <a:solidFill>
                          <a:schemeClr val="tx1"/>
                        </a:solidFill>
                      </a:defRPr>
                    </a:pPr>
                    <a:r>
                      <a:rPr lang="en-US" sz="800" b="1">
                        <a:solidFill>
                          <a:schemeClr val="tx1"/>
                        </a:solidFill>
                      </a:rPr>
                      <a:t>OUTROS
OTHERS</a:t>
                    </a:r>
                    <a:endParaRPr lang="en-US" b="0">
                      <a:solidFill>
                        <a:schemeClr val="tx1"/>
                      </a:solidFill>
                    </a:endParaRPr>
                  </a:p>
                </c:rich>
              </c:tx>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3E8C-48AB-8145-AD27AF6FC4EC}"/>
                </c:ext>
              </c:extLst>
            </c:dLbl>
            <c:dLbl>
              <c:idx val="2"/>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3E8C-48AB-8145-AD27AF6FC4EC}"/>
                </c:ext>
              </c:extLst>
            </c:dLbl>
            <c:dLbl>
              <c:idx val="3"/>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E-3E8C-48AB-8145-AD27AF6FC4EC}"/>
                </c:ext>
              </c:extLst>
            </c:dLbl>
            <c:spPr>
              <a:noFill/>
              <a:ln>
                <a:noFill/>
              </a:ln>
              <a:effectLst/>
            </c:spPr>
            <c:txPr>
              <a:bodyPr/>
              <a:lstStyle/>
              <a:p>
                <a:pPr>
                  <a:defRPr sz="800" b="1"/>
                </a:pPr>
                <a:endParaRPr lang="pt-PT"/>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TABELAS!$G$27</c:f>
              <c:strCache>
                <c:ptCount val="1"/>
                <c:pt idx="0">
                  <c:v>ESPETADORES | ADMISSIONS - 2015</c:v>
                </c:pt>
              </c:strCache>
            </c:strRef>
          </c:cat>
          <c:val>
            <c:numRef>
              <c:f>TABELAS!$N$21:$O$21</c:f>
              <c:numCache>
                <c:formatCode>0.0%</c:formatCode>
                <c:ptCount val="2"/>
                <c:pt idx="0">
                  <c:v>0.4250000000000001</c:v>
                </c:pt>
                <c:pt idx="1">
                  <c:v>0.4250000000000001</c:v>
                </c:pt>
              </c:numCache>
            </c:numRef>
          </c:val>
          <c:extLst>
            <c:ext xmlns:c16="http://schemas.microsoft.com/office/drawing/2014/chart" uri="{C3380CC4-5D6E-409C-BE32-E72D297353CC}">
              <c16:uniqueId val="{0000001F-3E8C-48AB-8145-AD27AF6FC4EC}"/>
            </c:ext>
          </c:extLst>
        </c:ser>
        <c:dLbls>
          <c:showLegendKey val="0"/>
          <c:showVal val="0"/>
          <c:showCatName val="0"/>
          <c:showSerName val="0"/>
          <c:showPercent val="0"/>
          <c:showBubbleSize val="0"/>
        </c:dLbls>
        <c:gapWidth val="10"/>
        <c:overlap val="100"/>
        <c:axId val="106811776"/>
        <c:axId val="106797696"/>
      </c:barChart>
      <c:valAx>
        <c:axId val="106797696"/>
        <c:scaling>
          <c:orientation val="minMax"/>
        </c:scaling>
        <c:delete val="1"/>
        <c:axPos val="b"/>
        <c:numFmt formatCode="0%" sourceLinked="1"/>
        <c:majorTickMark val="out"/>
        <c:minorTickMark val="none"/>
        <c:tickLblPos val="none"/>
        <c:crossAx val="106811776"/>
        <c:crosses val="autoZero"/>
        <c:crossBetween val="between"/>
        <c:majorUnit val="1"/>
      </c:valAx>
      <c:catAx>
        <c:axId val="106811776"/>
        <c:scaling>
          <c:orientation val="minMax"/>
        </c:scaling>
        <c:delete val="1"/>
        <c:axPos val="l"/>
        <c:numFmt formatCode="General" sourceLinked="0"/>
        <c:majorTickMark val="out"/>
        <c:minorTickMark val="none"/>
        <c:tickLblPos val="none"/>
        <c:crossAx val="106797696"/>
        <c:crosses val="autoZero"/>
        <c:auto val="1"/>
        <c:lblAlgn val="ctr"/>
        <c:lblOffset val="100"/>
        <c:noMultiLvlLbl val="0"/>
      </c:catAx>
      <c:spPr>
        <a:noFill/>
        <a:ln>
          <a:noFill/>
        </a:ln>
      </c:spPr>
    </c:plotArea>
    <c:plotVisOnly val="1"/>
    <c:dispBlanksAs val="zero"/>
    <c:showDLblsOverMax val="0"/>
  </c:chart>
  <c:spPr>
    <a:noFill/>
    <a:ln>
      <a:noFill/>
    </a:ln>
  </c:spPr>
  <c:txPr>
    <a:bodyPr/>
    <a:lstStyle/>
    <a:p>
      <a:pPr>
        <a:defRPr>
          <a:solidFill>
            <a:schemeClr val="bg1"/>
          </a:solidFill>
        </a:defRPr>
      </a:pPr>
      <a:endParaRPr lang="pt-PT"/>
    </a:p>
  </c:txPr>
  <c:printSettings>
    <c:headerFooter/>
    <c:pageMargins b="0.75000000000001465" l="0.70000000000000062" r="0.70000000000000062" t="0.75000000000001465" header="0.30000000000000032" footer="0.30000000000000032"/>
    <c:pageSetup paperSize="9" orientation="landscape"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0289789272030651"/>
          <c:y val="9.2409236121242366E-3"/>
          <c:w val="0.73762100778195072"/>
          <c:h val="0.83804517356386377"/>
        </c:manualLayout>
      </c:layout>
      <c:barChart>
        <c:barDir val="bar"/>
        <c:grouping val="percentStacked"/>
        <c:varyColors val="0"/>
        <c:ser>
          <c:idx val="0"/>
          <c:order val="0"/>
          <c:tx>
            <c:strRef>
              <c:f>TABELAS!$D$37</c:f>
              <c:strCache>
                <c:ptCount val="1"/>
                <c:pt idx="0">
                  <c:v>EUROPA
EUROPE</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1-065D-4F23-A5AE-290453D945DD}"/>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3-065D-4F23-A5AE-290453D945DD}"/>
              </c:ext>
            </c:extLst>
          </c:dPt>
          <c:dPt>
            <c:idx val="2"/>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5-065D-4F23-A5AE-290453D945DD}"/>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07-065D-4F23-A5AE-290453D945DD}"/>
              </c:ext>
            </c:extLst>
          </c:dPt>
          <c:dLbls>
            <c:dLbl>
              <c:idx val="0"/>
              <c:numFmt formatCode="0.0%" sourceLinked="0"/>
              <c:spPr>
                <a:noFill/>
              </c:spPr>
              <c:txPr>
                <a:bodyPr/>
                <a:lstStyle/>
                <a:p>
                  <a:pPr>
                    <a:defRPr sz="800" b="1">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1-065D-4F23-A5AE-290453D945DD}"/>
                </c:ext>
              </c:extLst>
            </c:dLbl>
            <c:dLbl>
              <c:idx val="1"/>
              <c:delete val="1"/>
              <c:extLst>
                <c:ext xmlns:c15="http://schemas.microsoft.com/office/drawing/2012/chart" uri="{CE6537A1-D6FC-4f65-9D91-7224C49458BB}"/>
                <c:ext xmlns:c16="http://schemas.microsoft.com/office/drawing/2014/chart" uri="{C3380CC4-5D6E-409C-BE32-E72D297353CC}">
                  <c16:uniqueId val="{00000003-065D-4F23-A5AE-290453D945DD}"/>
                </c:ext>
              </c:extLst>
            </c:dLbl>
            <c:dLbl>
              <c:idx val="2"/>
              <c:numFmt formatCode="0.0%" sourceLinked="0"/>
              <c:spPr/>
              <c:txPr>
                <a:bodyPr/>
                <a:lstStyle/>
                <a:p>
                  <a:pPr>
                    <a:defRPr sz="800" b="1">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5-065D-4F23-A5AE-290453D945DD}"/>
                </c:ext>
              </c:extLst>
            </c:dLbl>
            <c:dLbl>
              <c:idx val="3"/>
              <c:tx>
                <c:rich>
                  <a:bodyPr/>
                  <a:lstStyle/>
                  <a:p>
                    <a:pPr>
                      <a:defRPr sz="800">
                        <a:solidFill>
                          <a:sysClr val="windowText" lastClr="000000"/>
                        </a:solidFill>
                        <a:latin typeface="+mj-lt"/>
                      </a:defRPr>
                    </a:pPr>
                    <a:r>
                      <a:rPr lang="en-US" sz="800">
                        <a:solidFill>
                          <a:sysClr val="windowText" lastClr="000000"/>
                        </a:solidFill>
                        <a:latin typeface="+mj-lt"/>
                      </a:rPr>
                      <a:t>EUROPA
</a:t>
                    </a:r>
                    <a:r>
                      <a:rPr lang="en-US" sz="800">
                        <a:solidFill>
                          <a:schemeClr val="tx1">
                            <a:lumMod val="65000"/>
                            <a:lumOff val="35000"/>
                          </a:schemeClr>
                        </a:solidFill>
                        <a:latin typeface="+mj-lt"/>
                      </a:rPr>
                      <a:t>EUROPE</a:t>
                    </a:r>
                    <a:endParaRPr lang="en-US">
                      <a:solidFill>
                        <a:schemeClr val="tx1">
                          <a:lumMod val="65000"/>
                          <a:lumOff val="35000"/>
                        </a:schemeClr>
                      </a:solidFill>
                    </a:endParaRPr>
                  </a:p>
                </c:rich>
              </c:tx>
              <c:numFmt formatCode="0.0%" sourceLinked="0"/>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65D-4F23-A5AE-290453D945DD}"/>
                </c:ext>
              </c:extLst>
            </c:dLbl>
            <c:numFmt formatCode="0.0%" sourceLinked="0"/>
            <c:spPr>
              <a:noFill/>
              <a:ln>
                <a:noFill/>
              </a:ln>
              <a:effectLst/>
            </c:spPr>
            <c:txPr>
              <a:bodyPr/>
              <a:lstStyle/>
              <a:p>
                <a:pPr>
                  <a:defRPr sz="800">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TABELAS!$C$38:$C$41</c:f>
              <c:strCache>
                <c:ptCount val="3"/>
                <c:pt idx="0">
                  <c:v>FILMES EXIBIDOS
FILMS EXHIBITED</c:v>
                </c:pt>
                <c:pt idx="2">
                  <c:v>FILMES ESTREADOS
FILMS RELEASED</c:v>
                </c:pt>
              </c:strCache>
            </c:strRef>
          </c:cat>
          <c:val>
            <c:numRef>
              <c:f>TABELAS!$D$38:$D$41</c:f>
              <c:numCache>
                <c:formatCode>0.00</c:formatCode>
                <c:ptCount val="4"/>
                <c:pt idx="0" formatCode="0.0%">
                  <c:v>0.52500000000000002</c:v>
                </c:pt>
                <c:pt idx="1">
                  <c:v>0.52500000000000002</c:v>
                </c:pt>
                <c:pt idx="2" formatCode="0.0%">
                  <c:v>0.66666666666666663</c:v>
                </c:pt>
                <c:pt idx="3" formatCode="General">
                  <c:v>0.66666666666666663</c:v>
                </c:pt>
              </c:numCache>
            </c:numRef>
          </c:val>
          <c:extLst>
            <c:ext xmlns:c16="http://schemas.microsoft.com/office/drawing/2014/chart" uri="{C3380CC4-5D6E-409C-BE32-E72D297353CC}">
              <c16:uniqueId val="{00000008-065D-4F23-A5AE-290453D945DD}"/>
            </c:ext>
          </c:extLst>
        </c:ser>
        <c:ser>
          <c:idx val="1"/>
          <c:order val="1"/>
          <c:tx>
            <c:strRef>
              <c:f>TABELAS!$E$37</c:f>
              <c:strCache>
                <c:ptCount val="1"/>
                <c:pt idx="0">
                  <c:v>EUROPA/ EUA
EUROPE/ US</c:v>
                </c:pt>
              </c:strCache>
            </c:strRef>
          </c:tx>
          <c:spPr>
            <a:scene3d>
              <a:camera prst="orthographicFront"/>
              <a:lightRig rig="threePt" dir="t"/>
            </a:scene3d>
          </c:spPr>
          <c:invertIfNegative val="0"/>
          <c:dPt>
            <c:idx val="0"/>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A-065D-4F23-A5AE-290453D945DD}"/>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C-065D-4F23-A5AE-290453D945DD}"/>
              </c:ext>
            </c:extLst>
          </c:dPt>
          <c:dPt>
            <c:idx val="2"/>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E-065D-4F23-A5AE-290453D945DD}"/>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10-065D-4F23-A5AE-290453D945DD}"/>
              </c:ext>
            </c:extLst>
          </c:dPt>
          <c:dLbls>
            <c:dLbl>
              <c:idx val="0"/>
              <c:spPr>
                <a:noFill/>
              </c:spPr>
              <c:txPr>
                <a:bodyPr/>
                <a:lstStyle/>
                <a:p>
                  <a:pPr>
                    <a:defRPr sz="800" b="1">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A-065D-4F23-A5AE-290453D945DD}"/>
                </c:ext>
              </c:extLst>
            </c:dLbl>
            <c:dLbl>
              <c:idx val="1"/>
              <c:delete val="1"/>
              <c:extLst>
                <c:ext xmlns:c15="http://schemas.microsoft.com/office/drawing/2012/chart" uri="{CE6537A1-D6FC-4f65-9D91-7224C49458BB}"/>
                <c:ext xmlns:c16="http://schemas.microsoft.com/office/drawing/2014/chart" uri="{C3380CC4-5D6E-409C-BE32-E72D297353CC}">
                  <c16:uniqueId val="{0000000C-065D-4F23-A5AE-290453D945DD}"/>
                </c:ext>
              </c:extLst>
            </c:dLbl>
            <c:dLbl>
              <c:idx val="2"/>
              <c:spPr>
                <a:noFill/>
              </c:spPr>
              <c:txPr>
                <a:bodyPr/>
                <a:lstStyle/>
                <a:p>
                  <a:pPr>
                    <a:defRPr sz="800" b="1">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E-065D-4F23-A5AE-290453D945DD}"/>
                </c:ext>
              </c:extLst>
            </c:dLbl>
            <c:dLbl>
              <c:idx val="3"/>
              <c:layout>
                <c:manualLayout>
                  <c:x val="0"/>
                  <c:y val="7.0715923555530061E-3"/>
                </c:manualLayout>
              </c:layout>
              <c:tx>
                <c:rich>
                  <a:bodyPr wrap="square" lIns="38100" tIns="19050" rIns="38100" bIns="19050" anchor="ctr">
                    <a:spAutoFit/>
                  </a:bodyPr>
                  <a:lstStyle/>
                  <a:p>
                    <a:pPr>
                      <a:defRPr sz="800">
                        <a:solidFill>
                          <a:sysClr val="windowText" lastClr="000000"/>
                        </a:solidFill>
                        <a:latin typeface="+mj-lt"/>
                      </a:defRPr>
                    </a:pPr>
                    <a:r>
                      <a:rPr lang="en-US" sz="800">
                        <a:solidFill>
                          <a:sysClr val="windowText" lastClr="000000"/>
                        </a:solidFill>
                        <a:latin typeface="+mj-lt"/>
                      </a:rPr>
                      <a:t>EUROPA/ EUA
</a:t>
                    </a:r>
                    <a:r>
                      <a:rPr lang="en-US" sz="800">
                        <a:solidFill>
                          <a:schemeClr val="tx1">
                            <a:lumMod val="65000"/>
                            <a:lumOff val="35000"/>
                          </a:schemeClr>
                        </a:solidFill>
                        <a:latin typeface="+mj-lt"/>
                      </a:rPr>
                      <a:t>EUROPE/ US</a:t>
                    </a:r>
                    <a:endParaRPr lang="en-US">
                      <a:solidFill>
                        <a:schemeClr val="tx1">
                          <a:lumMod val="65000"/>
                          <a:lumOff val="35000"/>
                        </a:schemeClr>
                      </a:solidFill>
                    </a:endParaRPr>
                  </a:p>
                </c:rich>
              </c:tx>
              <c:spPr>
                <a:noFill/>
                <a:ln>
                  <a:noFill/>
                </a:ln>
                <a:effectLst/>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65D-4F23-A5AE-290453D945DD}"/>
                </c:ext>
              </c:extLst>
            </c:dLbl>
            <c:spPr>
              <a:noFill/>
              <a:ln>
                <a:noFill/>
              </a:ln>
              <a:effectLst/>
            </c:spPr>
            <c:txPr>
              <a:bodyPr/>
              <a:lstStyle/>
              <a:p>
                <a:pPr>
                  <a:defRPr sz="800">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TABELAS!$C$38:$C$41</c:f>
              <c:strCache>
                <c:ptCount val="3"/>
                <c:pt idx="0">
                  <c:v>FILMES EXIBIDOS
FILMS EXHIBITED</c:v>
                </c:pt>
                <c:pt idx="2">
                  <c:v>FILMES ESTREADOS
FILMS RELEASED</c:v>
                </c:pt>
              </c:strCache>
            </c:strRef>
          </c:cat>
          <c:val>
            <c:numRef>
              <c:f>TABELAS!$E$38:$E$41</c:f>
              <c:numCache>
                <c:formatCode>0.00</c:formatCode>
                <c:ptCount val="4"/>
                <c:pt idx="0" formatCode="0.0%">
                  <c:v>6.6666666666666666E-2</c:v>
                </c:pt>
                <c:pt idx="1">
                  <c:v>6.6666666666666666E-2</c:v>
                </c:pt>
                <c:pt idx="2" formatCode="0.0%">
                  <c:v>3.7037037037037035E-2</c:v>
                </c:pt>
                <c:pt idx="3" formatCode="General">
                  <c:v>3.7037037037037035E-2</c:v>
                </c:pt>
              </c:numCache>
            </c:numRef>
          </c:val>
          <c:extLst>
            <c:ext xmlns:c16="http://schemas.microsoft.com/office/drawing/2014/chart" uri="{C3380CC4-5D6E-409C-BE32-E72D297353CC}">
              <c16:uniqueId val="{00000011-065D-4F23-A5AE-290453D945DD}"/>
            </c:ext>
          </c:extLst>
        </c:ser>
        <c:ser>
          <c:idx val="2"/>
          <c:order val="2"/>
          <c:tx>
            <c:strRef>
              <c:f>TABELAS!$F$37</c:f>
              <c:strCache>
                <c:ptCount val="1"/>
                <c:pt idx="0">
                  <c:v>EUA
US </c:v>
                </c:pt>
              </c:strCache>
            </c:strRef>
          </c:tx>
          <c:spPr>
            <a:effectLst/>
            <a:scene3d>
              <a:camera prst="orthographicFront"/>
              <a:lightRig rig="threePt" dir="t"/>
            </a:scene3d>
          </c:spPr>
          <c:invertIfNegative val="0"/>
          <c:dPt>
            <c:idx val="0"/>
            <c:invertIfNegative val="0"/>
            <c:bubble3D val="0"/>
            <c:spPr>
              <a:solidFill>
                <a:schemeClr val="tx1">
                  <a:lumMod val="50000"/>
                  <a:lumOff val="50000"/>
                </a:schemeClr>
              </a:solidFill>
              <a:effectLst/>
              <a:scene3d>
                <a:camera prst="orthographicFront"/>
                <a:lightRig rig="threePt" dir="t"/>
              </a:scene3d>
            </c:spPr>
            <c:extLst>
              <c:ext xmlns:c16="http://schemas.microsoft.com/office/drawing/2014/chart" uri="{C3380CC4-5D6E-409C-BE32-E72D297353CC}">
                <c16:uniqueId val="{00000013-065D-4F23-A5AE-290453D945DD}"/>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5-065D-4F23-A5AE-290453D945DD}"/>
              </c:ext>
            </c:extLst>
          </c:dPt>
          <c:dPt>
            <c:idx val="2"/>
            <c:invertIfNegative val="0"/>
            <c:bubble3D val="0"/>
            <c:spPr>
              <a:solidFill>
                <a:schemeClr val="tx1">
                  <a:lumMod val="50000"/>
                  <a:lumOff val="50000"/>
                </a:schemeClr>
              </a:solidFill>
              <a:effectLst/>
              <a:scene3d>
                <a:camera prst="orthographicFront"/>
                <a:lightRig rig="threePt" dir="t"/>
              </a:scene3d>
            </c:spPr>
            <c:extLst>
              <c:ext xmlns:c16="http://schemas.microsoft.com/office/drawing/2014/chart" uri="{C3380CC4-5D6E-409C-BE32-E72D297353CC}">
                <c16:uniqueId val="{00000017-065D-4F23-A5AE-290453D945DD}"/>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19-065D-4F23-A5AE-290453D945DD}"/>
              </c:ext>
            </c:extLst>
          </c:dPt>
          <c:dLbls>
            <c:dLbl>
              <c:idx val="0"/>
              <c:spPr>
                <a:noFill/>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13-065D-4F23-A5AE-290453D945DD}"/>
                </c:ext>
              </c:extLst>
            </c:dLbl>
            <c:dLbl>
              <c:idx val="1"/>
              <c:delete val="1"/>
              <c:extLst>
                <c:ext xmlns:c15="http://schemas.microsoft.com/office/drawing/2012/chart" uri="{CE6537A1-D6FC-4f65-9D91-7224C49458BB}"/>
                <c:ext xmlns:c16="http://schemas.microsoft.com/office/drawing/2014/chart" uri="{C3380CC4-5D6E-409C-BE32-E72D297353CC}">
                  <c16:uniqueId val="{00000015-065D-4F23-A5AE-290453D945DD}"/>
                </c:ext>
              </c:extLst>
            </c:dLbl>
            <c:dLbl>
              <c:idx val="2"/>
              <c:spPr>
                <a:noFill/>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17-065D-4F23-A5AE-290453D945DD}"/>
                </c:ext>
              </c:extLst>
            </c:dLbl>
            <c:dLbl>
              <c:idx val="3"/>
              <c:tx>
                <c:rich>
                  <a:bodyPr/>
                  <a:lstStyle/>
                  <a:p>
                    <a:pPr>
                      <a:defRPr sz="800" b="0">
                        <a:solidFill>
                          <a:sysClr val="windowText" lastClr="000000"/>
                        </a:solidFill>
                        <a:latin typeface="+mj-lt"/>
                      </a:defRPr>
                    </a:pPr>
                    <a:r>
                      <a:rPr lang="en-US" sz="800" b="0">
                        <a:solidFill>
                          <a:sysClr val="windowText" lastClr="000000"/>
                        </a:solidFill>
                        <a:latin typeface="+mj-lt"/>
                      </a:rPr>
                      <a:t>EUA
</a:t>
                    </a:r>
                    <a:r>
                      <a:rPr lang="en-US" sz="800" b="0">
                        <a:solidFill>
                          <a:schemeClr val="tx1">
                            <a:lumMod val="65000"/>
                            <a:lumOff val="35000"/>
                          </a:schemeClr>
                        </a:solidFill>
                        <a:latin typeface="+mj-lt"/>
                      </a:rPr>
                      <a:t>US</a:t>
                    </a:r>
                    <a:r>
                      <a:rPr lang="en-US" sz="800" b="0">
                        <a:solidFill>
                          <a:sysClr val="windowText" lastClr="000000"/>
                        </a:solidFill>
                        <a:latin typeface="+mj-lt"/>
                      </a:rPr>
                      <a:t> </a:t>
                    </a:r>
                    <a:endParaRPr lang="en-US">
                      <a:solidFill>
                        <a:sysClr val="windowText" lastClr="000000"/>
                      </a:solidFill>
                    </a:endParaRPr>
                  </a:p>
                </c:rich>
              </c:tx>
              <c:spPr>
                <a:noFill/>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065D-4F23-A5AE-290453D945DD}"/>
                </c:ext>
              </c:extLst>
            </c:dLbl>
            <c:spPr>
              <a:noFill/>
            </c:spPr>
            <c:txPr>
              <a:bodyPr/>
              <a:lstStyle/>
              <a:p>
                <a:pPr>
                  <a:defRPr sz="800" b="0">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TABELAS!$C$38:$C$41</c:f>
              <c:strCache>
                <c:ptCount val="3"/>
                <c:pt idx="0">
                  <c:v>FILMES EXIBIDOS
FILMS EXHIBITED</c:v>
                </c:pt>
                <c:pt idx="2">
                  <c:v>FILMES ESTREADOS
FILMS RELEASED</c:v>
                </c:pt>
              </c:strCache>
            </c:strRef>
          </c:cat>
          <c:val>
            <c:numRef>
              <c:f>TABELAS!$F$38:$F$41</c:f>
              <c:numCache>
                <c:formatCode>0.00</c:formatCode>
                <c:ptCount val="4"/>
                <c:pt idx="0" formatCode="0.0%">
                  <c:v>0.32500000000000001</c:v>
                </c:pt>
                <c:pt idx="1">
                  <c:v>0.32500000000000001</c:v>
                </c:pt>
                <c:pt idx="2" formatCode="0.0%">
                  <c:v>0.25925925925925924</c:v>
                </c:pt>
                <c:pt idx="3" formatCode="General">
                  <c:v>0.25925925925925924</c:v>
                </c:pt>
              </c:numCache>
            </c:numRef>
          </c:val>
          <c:extLst>
            <c:ext xmlns:c16="http://schemas.microsoft.com/office/drawing/2014/chart" uri="{C3380CC4-5D6E-409C-BE32-E72D297353CC}">
              <c16:uniqueId val="{0000001A-065D-4F23-A5AE-290453D945DD}"/>
            </c:ext>
          </c:extLst>
        </c:ser>
        <c:ser>
          <c:idx val="3"/>
          <c:order val="3"/>
          <c:tx>
            <c:strRef>
              <c:f>TABELAS!$G$37</c:f>
              <c:strCache>
                <c:ptCount val="1"/>
                <c:pt idx="0">
                  <c:v>OUTROS
OTHERS</c:v>
                </c:pt>
              </c:strCache>
            </c:strRef>
          </c:tx>
          <c:spPr>
            <a:scene3d>
              <a:camera prst="orthographicFront"/>
              <a:lightRig rig="threePt" dir="t"/>
            </a:scene3d>
          </c:spPr>
          <c:invertIfNegative val="0"/>
          <c:dPt>
            <c:idx val="0"/>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1C-065D-4F23-A5AE-290453D945DD}"/>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E-065D-4F23-A5AE-290453D945DD}"/>
              </c:ext>
            </c:extLst>
          </c:dPt>
          <c:dPt>
            <c:idx val="2"/>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20-065D-4F23-A5AE-290453D945DD}"/>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22-065D-4F23-A5AE-290453D945DD}"/>
              </c:ext>
            </c:extLst>
          </c:dPt>
          <c:dLbls>
            <c:dLbl>
              <c:idx val="0"/>
              <c:layout>
                <c:manualLayout>
                  <c:x val="6.5547262109777543E-2"/>
                  <c:y val="7.9552352654084936E-17"/>
                </c:manualLayout>
              </c:layout>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65D-4F23-A5AE-290453D945DD}"/>
                </c:ext>
              </c:extLst>
            </c:dLbl>
            <c:dLbl>
              <c:idx val="1"/>
              <c:delete val="1"/>
              <c:extLst>
                <c:ext xmlns:c15="http://schemas.microsoft.com/office/drawing/2012/chart" uri="{CE6537A1-D6FC-4f65-9D91-7224C49458BB}"/>
                <c:ext xmlns:c16="http://schemas.microsoft.com/office/drawing/2014/chart" uri="{C3380CC4-5D6E-409C-BE32-E72D297353CC}">
                  <c16:uniqueId val="{0000001E-065D-4F23-A5AE-290453D945DD}"/>
                </c:ext>
              </c:extLst>
            </c:dLbl>
            <c:dLbl>
              <c:idx val="2"/>
              <c:layout>
                <c:manualLayout>
                  <c:x val="4.7032965201623748E-2"/>
                  <c:y val="0"/>
                </c:manualLayout>
              </c:layout>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65D-4F23-A5AE-290453D945DD}"/>
                </c:ext>
              </c:extLst>
            </c:dLbl>
            <c:dLbl>
              <c:idx val="3"/>
              <c:layout>
                <c:manualLayout>
                  <c:x val="0"/>
                  <c:y val="-2.4308317910450565E-17"/>
                </c:manualLayout>
              </c:layout>
              <c:tx>
                <c:rich>
                  <a:bodyPr wrap="square" lIns="38100" tIns="19050" rIns="38100" bIns="19050" anchor="ctr">
                    <a:spAutoFit/>
                  </a:bodyPr>
                  <a:lstStyle/>
                  <a:p>
                    <a:pPr>
                      <a:defRPr sz="800">
                        <a:solidFill>
                          <a:sysClr val="windowText" lastClr="000000"/>
                        </a:solidFill>
                        <a:latin typeface="+mj-lt"/>
                      </a:defRPr>
                    </a:pPr>
                    <a:r>
                      <a:rPr lang="en-US" sz="800">
                        <a:solidFill>
                          <a:sysClr val="windowText" lastClr="000000"/>
                        </a:solidFill>
                        <a:latin typeface="+mj-lt"/>
                      </a:rPr>
                      <a:t>OUTROS
</a:t>
                    </a:r>
                    <a:r>
                      <a:rPr lang="en-US" sz="800">
                        <a:solidFill>
                          <a:schemeClr val="tx1">
                            <a:lumMod val="65000"/>
                            <a:lumOff val="35000"/>
                          </a:schemeClr>
                        </a:solidFill>
                        <a:latin typeface="+mj-lt"/>
                      </a:rPr>
                      <a:t>OTHERS</a:t>
                    </a:r>
                    <a:endParaRPr lang="en-US">
                      <a:solidFill>
                        <a:schemeClr val="tx1">
                          <a:lumMod val="65000"/>
                          <a:lumOff val="35000"/>
                        </a:schemeClr>
                      </a:solidFill>
                    </a:endParaRPr>
                  </a:p>
                </c:rich>
              </c:tx>
              <c:spPr>
                <a:noFill/>
                <a:ln>
                  <a:noFill/>
                </a:ln>
                <a:effectLst/>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065D-4F23-A5AE-290453D945DD}"/>
                </c:ext>
              </c:extLst>
            </c:dLbl>
            <c:spPr>
              <a:noFill/>
              <a:ln>
                <a:noFill/>
              </a:ln>
              <a:effectLst/>
            </c:spPr>
            <c:txPr>
              <a:bodyPr/>
              <a:lstStyle/>
              <a:p>
                <a:pPr>
                  <a:defRPr sz="800">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TABELAS!$C$38:$C$41</c:f>
              <c:strCache>
                <c:ptCount val="3"/>
                <c:pt idx="0">
                  <c:v>FILMES EXIBIDOS
FILMS EXHIBITED</c:v>
                </c:pt>
                <c:pt idx="2">
                  <c:v>FILMES ESTREADOS
FILMS RELEASED</c:v>
                </c:pt>
              </c:strCache>
            </c:strRef>
          </c:cat>
          <c:val>
            <c:numRef>
              <c:f>TABELAS!$G$38:$G$41</c:f>
              <c:numCache>
                <c:formatCode>0.00</c:formatCode>
                <c:ptCount val="4"/>
                <c:pt idx="0" formatCode="0.0%">
                  <c:v>8.3333333333333329E-2</c:v>
                </c:pt>
                <c:pt idx="1">
                  <c:v>8.3333333333333329E-2</c:v>
                </c:pt>
                <c:pt idx="2" formatCode="0.0%">
                  <c:v>3.7037037037037035E-2</c:v>
                </c:pt>
                <c:pt idx="3" formatCode="General">
                  <c:v>3.7037037037037035E-2</c:v>
                </c:pt>
              </c:numCache>
            </c:numRef>
          </c:val>
          <c:extLst>
            <c:ext xmlns:c16="http://schemas.microsoft.com/office/drawing/2014/chart" uri="{C3380CC4-5D6E-409C-BE32-E72D297353CC}">
              <c16:uniqueId val="{00000023-065D-4F23-A5AE-290453D945DD}"/>
            </c:ext>
          </c:extLst>
        </c:ser>
        <c:dLbls>
          <c:showLegendKey val="0"/>
          <c:showVal val="1"/>
          <c:showCatName val="0"/>
          <c:showSerName val="0"/>
          <c:showPercent val="0"/>
          <c:showBubbleSize val="0"/>
        </c:dLbls>
        <c:gapWidth val="0"/>
        <c:overlap val="100"/>
        <c:axId val="107430656"/>
        <c:axId val="107432192"/>
      </c:barChart>
      <c:catAx>
        <c:axId val="107430656"/>
        <c:scaling>
          <c:orientation val="minMax"/>
        </c:scaling>
        <c:delete val="0"/>
        <c:axPos val="l"/>
        <c:numFmt formatCode="General" sourceLinked="0"/>
        <c:majorTickMark val="out"/>
        <c:minorTickMark val="none"/>
        <c:tickLblPos val="nextTo"/>
        <c:spPr>
          <a:ln>
            <a:noFill/>
          </a:ln>
        </c:spPr>
        <c:txPr>
          <a:bodyPr/>
          <a:lstStyle/>
          <a:p>
            <a:pPr>
              <a:defRPr sz="800">
                <a:solidFill>
                  <a:schemeClr val="tx1"/>
                </a:solidFill>
              </a:defRPr>
            </a:pPr>
            <a:endParaRPr lang="pt-PT"/>
          </a:p>
        </c:txPr>
        <c:crossAx val="107432192"/>
        <c:crosses val="autoZero"/>
        <c:auto val="1"/>
        <c:lblAlgn val="ctr"/>
        <c:lblOffset val="100"/>
        <c:noMultiLvlLbl val="0"/>
      </c:catAx>
      <c:valAx>
        <c:axId val="107432192"/>
        <c:scaling>
          <c:orientation val="minMax"/>
        </c:scaling>
        <c:delete val="1"/>
        <c:axPos val="b"/>
        <c:numFmt formatCode="0%" sourceLinked="1"/>
        <c:majorTickMark val="out"/>
        <c:minorTickMark val="none"/>
        <c:tickLblPos val="none"/>
        <c:crossAx val="107430656"/>
        <c:crosses val="autoZero"/>
        <c:crossBetween val="between"/>
        <c:majorUnit val="1"/>
      </c:valAx>
      <c:spPr>
        <a:noFill/>
      </c:spPr>
    </c:plotArea>
    <c:plotVisOnly val="1"/>
    <c:dispBlanksAs val="gap"/>
    <c:showDLblsOverMax val="0"/>
  </c:chart>
  <c:spPr>
    <a:noFill/>
    <a:ln>
      <a:noFill/>
    </a:ln>
  </c:spPr>
  <c:txPr>
    <a:bodyPr/>
    <a:lstStyle/>
    <a:p>
      <a:pPr>
        <a:defRPr sz="900">
          <a:solidFill>
            <a:schemeClr val="bg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029479319688422"/>
          <c:y val="9.2409236121242366E-3"/>
          <c:w val="0.74486521998098931"/>
          <c:h val="0.83804517356386421"/>
        </c:manualLayout>
      </c:layout>
      <c:barChart>
        <c:barDir val="bar"/>
        <c:grouping val="percentStacked"/>
        <c:varyColors val="0"/>
        <c:ser>
          <c:idx val="0"/>
          <c:order val="0"/>
          <c:tx>
            <c:strRef>
              <c:f>TABELAS!$D$44</c:f>
              <c:strCache>
                <c:ptCount val="1"/>
                <c:pt idx="0">
                  <c:v>EUROPA
EUROPE</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1-E897-4187-988B-92E7EBEF0056}"/>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3-E897-4187-988B-92E7EBEF0056}"/>
              </c:ext>
            </c:extLst>
          </c:dPt>
          <c:dPt>
            <c:idx val="2"/>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5-E897-4187-988B-92E7EBEF0056}"/>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07-E897-4187-988B-92E7EBEF0056}"/>
              </c:ext>
            </c:extLst>
          </c:dPt>
          <c:dLbls>
            <c:dLbl>
              <c:idx val="0"/>
              <c:numFmt formatCode="0.0%" sourceLinked="0"/>
              <c:spPr>
                <a:noFill/>
              </c:spPr>
              <c:txPr>
                <a:bodyPr/>
                <a:lstStyle/>
                <a:p>
                  <a:pPr>
                    <a:defRPr sz="800" b="0">
                      <a:solidFill>
                        <a:schemeClr val="bg1"/>
                      </a:solidFill>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1-E897-4187-988B-92E7EBEF0056}"/>
                </c:ext>
              </c:extLst>
            </c:dLbl>
            <c:dLbl>
              <c:idx val="1"/>
              <c:delete val="1"/>
              <c:extLst>
                <c:ext xmlns:c15="http://schemas.microsoft.com/office/drawing/2012/chart" uri="{CE6537A1-D6FC-4f65-9D91-7224C49458BB}"/>
                <c:ext xmlns:c16="http://schemas.microsoft.com/office/drawing/2014/chart" uri="{C3380CC4-5D6E-409C-BE32-E72D297353CC}">
                  <c16:uniqueId val="{00000003-E897-4187-988B-92E7EBEF0056}"/>
                </c:ext>
              </c:extLst>
            </c:dLbl>
            <c:dLbl>
              <c:idx val="2"/>
              <c:numFmt formatCode="0.0%" sourceLinked="0"/>
              <c:spPr/>
              <c:txPr>
                <a:bodyPr/>
                <a:lstStyle/>
                <a:p>
                  <a:pPr>
                    <a:defRPr sz="800" b="0">
                      <a:solidFill>
                        <a:schemeClr val="bg1"/>
                      </a:solidFill>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5-E897-4187-988B-92E7EBEF0056}"/>
                </c:ext>
              </c:extLst>
            </c:dLbl>
            <c:dLbl>
              <c:idx val="3"/>
              <c:tx>
                <c:rich>
                  <a:bodyPr/>
                  <a:lstStyle/>
                  <a:p>
                    <a:pPr>
                      <a:defRPr sz="800">
                        <a:solidFill>
                          <a:schemeClr val="tx1"/>
                        </a:solidFill>
                        <a:latin typeface="+mj-lt"/>
                      </a:defRPr>
                    </a:pPr>
                    <a:r>
                      <a:rPr lang="en-US" sz="800">
                        <a:solidFill>
                          <a:schemeClr val="tx1"/>
                        </a:solidFill>
                        <a:latin typeface="+mj-lt"/>
                      </a:rPr>
                      <a:t>EUROPA
</a:t>
                    </a:r>
                    <a:r>
                      <a:rPr lang="en-US" sz="800">
                        <a:solidFill>
                          <a:schemeClr val="tx1">
                            <a:lumMod val="65000"/>
                            <a:lumOff val="35000"/>
                          </a:schemeClr>
                        </a:solidFill>
                        <a:latin typeface="+mj-lt"/>
                      </a:rPr>
                      <a:t>EUROPE</a:t>
                    </a:r>
                    <a:endParaRPr lang="en-US">
                      <a:solidFill>
                        <a:schemeClr val="tx1">
                          <a:lumMod val="65000"/>
                          <a:lumOff val="35000"/>
                        </a:schemeClr>
                      </a:solidFill>
                    </a:endParaRPr>
                  </a:p>
                </c:rich>
              </c:tx>
              <c:numFmt formatCode="0.0%" sourceLinked="0"/>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897-4187-988B-92E7EBEF0056}"/>
                </c:ext>
              </c:extLst>
            </c:dLbl>
            <c:numFmt formatCode="0.0%" sourceLinked="0"/>
            <c:spPr>
              <a:noFill/>
              <a:ln>
                <a:noFill/>
              </a:ln>
              <a:effectLst/>
            </c:spPr>
            <c:txPr>
              <a:bodyPr wrap="square" lIns="38100" tIns="19050" rIns="38100" bIns="19050" anchor="ctr">
                <a:spAutoFit/>
              </a:bodyPr>
              <a:lstStyle/>
              <a:p>
                <a:pPr>
                  <a:defRPr sz="800">
                    <a:solidFill>
                      <a:schemeClr val="tx1"/>
                    </a:solidFill>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TABELAS!$C$45:$C$48</c:f>
              <c:strCache>
                <c:ptCount val="3"/>
                <c:pt idx="0">
                  <c:v>ESPECTADORES
ADMISSIONS</c:v>
                </c:pt>
                <c:pt idx="2">
                  <c:v>RECEITA BRUTA
GBO</c:v>
                </c:pt>
              </c:strCache>
            </c:strRef>
          </c:cat>
          <c:val>
            <c:numRef>
              <c:f>TABELAS!$D$45:$D$48</c:f>
              <c:numCache>
                <c:formatCode>0.00</c:formatCode>
                <c:ptCount val="4"/>
                <c:pt idx="0" formatCode="0.0%">
                  <c:v>0.12768956716380928</c:v>
                </c:pt>
                <c:pt idx="1">
                  <c:v>0.12768956716380928</c:v>
                </c:pt>
                <c:pt idx="2" formatCode="0.0%">
                  <c:v>0.12076516478497601</c:v>
                </c:pt>
                <c:pt idx="3">
                  <c:v>0.12076516478497601</c:v>
                </c:pt>
              </c:numCache>
            </c:numRef>
          </c:val>
          <c:extLst>
            <c:ext xmlns:c16="http://schemas.microsoft.com/office/drawing/2014/chart" uri="{C3380CC4-5D6E-409C-BE32-E72D297353CC}">
              <c16:uniqueId val="{00000008-E897-4187-988B-92E7EBEF0056}"/>
            </c:ext>
          </c:extLst>
        </c:ser>
        <c:ser>
          <c:idx val="1"/>
          <c:order val="1"/>
          <c:tx>
            <c:strRef>
              <c:f>TABELAS!$E$44</c:f>
              <c:strCache>
                <c:ptCount val="1"/>
                <c:pt idx="0">
                  <c:v>EUROPA/ EUA
EUROPE/ US</c:v>
                </c:pt>
              </c:strCache>
            </c:strRef>
          </c:tx>
          <c:spPr>
            <a:scene3d>
              <a:camera prst="orthographicFront"/>
              <a:lightRig rig="threePt" dir="t"/>
            </a:scene3d>
          </c:spPr>
          <c:invertIfNegative val="0"/>
          <c:dPt>
            <c:idx val="0"/>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A-E897-4187-988B-92E7EBEF0056}"/>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C-E897-4187-988B-92E7EBEF0056}"/>
              </c:ext>
            </c:extLst>
          </c:dPt>
          <c:dPt>
            <c:idx val="2"/>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E-E897-4187-988B-92E7EBEF0056}"/>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10-E897-4187-988B-92E7EBEF0056}"/>
              </c:ext>
            </c:extLst>
          </c:dPt>
          <c:dLbls>
            <c:dLbl>
              <c:idx val="0"/>
              <c:spPr>
                <a:noFill/>
              </c:spPr>
              <c:txPr>
                <a:bodyPr/>
                <a:lstStyle/>
                <a:p>
                  <a:pPr>
                    <a:defRPr sz="800" b="0">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A-E897-4187-988B-92E7EBEF0056}"/>
                </c:ext>
              </c:extLst>
            </c:dLbl>
            <c:dLbl>
              <c:idx val="1"/>
              <c:layout>
                <c:manualLayout>
                  <c:x val="7.862620822015302E-3"/>
                  <c:y val="0"/>
                </c:manualLayout>
              </c:layout>
              <c:tx>
                <c:rich>
                  <a:bodyPr/>
                  <a:lstStyle/>
                  <a:p>
                    <a:pPr>
                      <a:defRPr sz="800">
                        <a:solidFill>
                          <a:sysClr val="windowText" lastClr="000000"/>
                        </a:solidFill>
                        <a:latin typeface="+mj-lt"/>
                      </a:defRPr>
                    </a:pPr>
                    <a:r>
                      <a:rPr lang="en-US" sz="800">
                        <a:solidFill>
                          <a:sysClr val="windowText" lastClr="000000"/>
                        </a:solidFill>
                        <a:latin typeface="+mj-lt"/>
                      </a:rPr>
                      <a:t>EUROPA/ EUA
</a:t>
                    </a:r>
                    <a:r>
                      <a:rPr lang="en-US" sz="800" b="0">
                        <a:solidFill>
                          <a:sysClr val="windowText" lastClr="000000"/>
                        </a:solidFill>
                        <a:latin typeface="+mj-lt"/>
                      </a:rPr>
                      <a:t>EUROPE/ US</a:t>
                    </a:r>
                    <a:endParaRPr lang="en-US" b="0">
                      <a:solidFill>
                        <a:sysClr val="windowText" lastClr="000000"/>
                      </a:solidFill>
                    </a:endParaRPr>
                  </a:p>
                </c:rich>
              </c:tx>
              <c:spPr>
                <a:noFill/>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897-4187-988B-92E7EBEF0056}"/>
                </c:ext>
              </c:extLst>
            </c:dLbl>
            <c:dLbl>
              <c:idx val="2"/>
              <c:spPr>
                <a:noFill/>
              </c:spPr>
              <c:txPr>
                <a:bodyPr/>
                <a:lstStyle/>
                <a:p>
                  <a:pPr>
                    <a:defRPr sz="800" b="0">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E-E897-4187-988B-92E7EBEF0056}"/>
                </c:ext>
              </c:extLst>
            </c:dLbl>
            <c:dLbl>
              <c:idx val="3"/>
              <c:delete val="1"/>
              <c:extLst>
                <c:ext xmlns:c15="http://schemas.microsoft.com/office/drawing/2012/chart" uri="{CE6537A1-D6FC-4f65-9D91-7224C49458BB}"/>
                <c:ext xmlns:c16="http://schemas.microsoft.com/office/drawing/2014/chart" uri="{C3380CC4-5D6E-409C-BE32-E72D297353CC}">
                  <c16:uniqueId val="{00000010-E897-4187-988B-92E7EBEF0056}"/>
                </c:ext>
              </c:extLst>
            </c:dLbl>
            <c:spPr>
              <a:noFill/>
            </c:spPr>
            <c:txPr>
              <a:bodyPr/>
              <a:lstStyle/>
              <a:p>
                <a:pPr>
                  <a:defRPr sz="800">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TABELAS!$C$45:$C$48</c:f>
              <c:strCache>
                <c:ptCount val="3"/>
                <c:pt idx="0">
                  <c:v>ESPECTADORES
ADMISSIONS</c:v>
                </c:pt>
                <c:pt idx="2">
                  <c:v>RECEITA BRUTA
GBO</c:v>
                </c:pt>
              </c:strCache>
            </c:strRef>
          </c:cat>
          <c:val>
            <c:numRef>
              <c:f>TABELAS!$E$45:$E$48</c:f>
              <c:numCache>
                <c:formatCode>0.00</c:formatCode>
                <c:ptCount val="4"/>
                <c:pt idx="0" formatCode="0.0%">
                  <c:v>0.45476296016893852</c:v>
                </c:pt>
                <c:pt idx="1">
                  <c:v>0.45476296016893852</c:v>
                </c:pt>
                <c:pt idx="2" formatCode="0.0%">
                  <c:v>0.47323573294380317</c:v>
                </c:pt>
                <c:pt idx="3">
                  <c:v>0.47323573294380317</c:v>
                </c:pt>
              </c:numCache>
            </c:numRef>
          </c:val>
          <c:extLst>
            <c:ext xmlns:c16="http://schemas.microsoft.com/office/drawing/2014/chart" uri="{C3380CC4-5D6E-409C-BE32-E72D297353CC}">
              <c16:uniqueId val="{00000011-E897-4187-988B-92E7EBEF0056}"/>
            </c:ext>
          </c:extLst>
        </c:ser>
        <c:ser>
          <c:idx val="2"/>
          <c:order val="2"/>
          <c:tx>
            <c:strRef>
              <c:f>TABELAS!$F$44</c:f>
              <c:strCache>
                <c:ptCount val="1"/>
                <c:pt idx="0">
                  <c:v>EUA
US </c:v>
                </c:pt>
              </c:strCache>
            </c:strRef>
          </c:tx>
          <c:spPr>
            <a:scene3d>
              <a:camera prst="orthographicFront"/>
              <a:lightRig rig="threePt" dir="t"/>
            </a:scene3d>
          </c:spPr>
          <c:invertIfNegative val="0"/>
          <c:dPt>
            <c:idx val="0"/>
            <c:invertIfNegative val="0"/>
            <c:bubble3D val="0"/>
            <c:spPr>
              <a:solidFill>
                <a:schemeClr val="tx1">
                  <a:lumMod val="50000"/>
                  <a:lumOff val="50000"/>
                </a:schemeClr>
              </a:solidFill>
              <a:scene3d>
                <a:camera prst="orthographicFront"/>
                <a:lightRig rig="threePt" dir="t"/>
              </a:scene3d>
            </c:spPr>
            <c:extLst>
              <c:ext xmlns:c16="http://schemas.microsoft.com/office/drawing/2014/chart" uri="{C3380CC4-5D6E-409C-BE32-E72D297353CC}">
                <c16:uniqueId val="{00000013-E897-4187-988B-92E7EBEF0056}"/>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5-E897-4187-988B-92E7EBEF0056}"/>
              </c:ext>
            </c:extLst>
          </c:dPt>
          <c:dPt>
            <c:idx val="2"/>
            <c:invertIfNegative val="0"/>
            <c:bubble3D val="0"/>
            <c:spPr>
              <a:solidFill>
                <a:schemeClr val="tx1">
                  <a:lumMod val="50000"/>
                  <a:lumOff val="50000"/>
                </a:schemeClr>
              </a:solidFill>
              <a:scene3d>
                <a:camera prst="orthographicFront"/>
                <a:lightRig rig="threePt" dir="t"/>
              </a:scene3d>
            </c:spPr>
            <c:extLst>
              <c:ext xmlns:c16="http://schemas.microsoft.com/office/drawing/2014/chart" uri="{C3380CC4-5D6E-409C-BE32-E72D297353CC}">
                <c16:uniqueId val="{00000017-E897-4187-988B-92E7EBEF0056}"/>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19-E897-4187-988B-92E7EBEF0056}"/>
              </c:ext>
            </c:extLst>
          </c:dPt>
          <c:dLbls>
            <c:dLbl>
              <c:idx val="0"/>
              <c:spPr>
                <a:noFill/>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13-E897-4187-988B-92E7EBEF0056}"/>
                </c:ext>
              </c:extLst>
            </c:dLbl>
            <c:dLbl>
              <c:idx val="1"/>
              <c:delete val="1"/>
              <c:extLst>
                <c:ext xmlns:c15="http://schemas.microsoft.com/office/drawing/2012/chart" uri="{CE6537A1-D6FC-4f65-9D91-7224C49458BB}"/>
                <c:ext xmlns:c16="http://schemas.microsoft.com/office/drawing/2014/chart" uri="{C3380CC4-5D6E-409C-BE32-E72D297353CC}">
                  <c16:uniqueId val="{00000015-E897-4187-988B-92E7EBEF0056}"/>
                </c:ext>
              </c:extLst>
            </c:dLbl>
            <c:dLbl>
              <c:idx val="2"/>
              <c:spPr>
                <a:noFill/>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17-E897-4187-988B-92E7EBEF0056}"/>
                </c:ext>
              </c:extLst>
            </c:dLbl>
            <c:dLbl>
              <c:idx val="3"/>
              <c:tx>
                <c:rich>
                  <a:bodyPr/>
                  <a:lstStyle/>
                  <a:p>
                    <a:pPr>
                      <a:defRPr sz="800">
                        <a:solidFill>
                          <a:schemeClr val="tx1"/>
                        </a:solidFill>
                        <a:latin typeface="+mj-lt"/>
                      </a:defRPr>
                    </a:pPr>
                    <a:r>
                      <a:rPr lang="en-US" sz="800">
                        <a:solidFill>
                          <a:schemeClr val="tx1"/>
                        </a:solidFill>
                        <a:latin typeface="+mj-lt"/>
                      </a:rPr>
                      <a:t>EUA
</a:t>
                    </a:r>
                    <a:r>
                      <a:rPr lang="en-US" sz="800">
                        <a:solidFill>
                          <a:schemeClr val="tx1">
                            <a:lumMod val="65000"/>
                            <a:lumOff val="35000"/>
                          </a:schemeClr>
                        </a:solidFill>
                        <a:latin typeface="+mj-lt"/>
                      </a:rPr>
                      <a:t>US</a:t>
                    </a:r>
                    <a:r>
                      <a:rPr lang="en-US" sz="800">
                        <a:solidFill>
                          <a:schemeClr val="tx1"/>
                        </a:solidFill>
                        <a:latin typeface="+mj-lt"/>
                      </a:rPr>
                      <a:t> </a:t>
                    </a:r>
                    <a:endParaRPr lang="en-US">
                      <a:solidFill>
                        <a:schemeClr val="tx1"/>
                      </a:solidFill>
                    </a:endParaRPr>
                  </a:p>
                </c:rich>
              </c:tx>
              <c:spPr>
                <a:noFill/>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897-4187-988B-92E7EBEF0056}"/>
                </c:ext>
              </c:extLst>
            </c:dLbl>
            <c:spPr>
              <a:noFill/>
            </c:spPr>
            <c:txPr>
              <a:bodyPr wrap="square" lIns="38100" tIns="19050" rIns="38100" bIns="19050" anchor="ctr">
                <a:spAutoFit/>
              </a:bodyPr>
              <a:lstStyle/>
              <a:p>
                <a:pPr>
                  <a:defRPr sz="800">
                    <a:solidFill>
                      <a:schemeClr val="tx1"/>
                    </a:solidFill>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TABELAS!$C$45:$C$48</c:f>
              <c:strCache>
                <c:ptCount val="3"/>
                <c:pt idx="0">
                  <c:v>ESPECTADORES
ADMISSIONS</c:v>
                </c:pt>
                <c:pt idx="2">
                  <c:v>RECEITA BRUTA
GBO</c:v>
                </c:pt>
              </c:strCache>
            </c:strRef>
          </c:cat>
          <c:val>
            <c:numRef>
              <c:f>TABELAS!$F$45:$F$48</c:f>
              <c:numCache>
                <c:formatCode>0.00</c:formatCode>
                <c:ptCount val="4"/>
                <c:pt idx="0" formatCode="0.0%">
                  <c:v>0.41183175527038152</c:v>
                </c:pt>
                <c:pt idx="1">
                  <c:v>0.41183175527038152</c:v>
                </c:pt>
                <c:pt idx="2" formatCode="0.0%">
                  <c:v>0.40154764199895954</c:v>
                </c:pt>
                <c:pt idx="3">
                  <c:v>0.40154764199895954</c:v>
                </c:pt>
              </c:numCache>
            </c:numRef>
          </c:val>
          <c:extLst>
            <c:ext xmlns:c16="http://schemas.microsoft.com/office/drawing/2014/chart" uri="{C3380CC4-5D6E-409C-BE32-E72D297353CC}">
              <c16:uniqueId val="{0000001A-E897-4187-988B-92E7EBEF0056}"/>
            </c:ext>
          </c:extLst>
        </c:ser>
        <c:ser>
          <c:idx val="3"/>
          <c:order val="3"/>
          <c:tx>
            <c:strRef>
              <c:f>TABELAS!$G$44</c:f>
              <c:strCache>
                <c:ptCount val="1"/>
                <c:pt idx="0">
                  <c:v>OUTROS
OTHERS</c:v>
                </c:pt>
              </c:strCache>
            </c:strRef>
          </c:tx>
          <c:spPr>
            <a:scene3d>
              <a:camera prst="orthographicFront"/>
              <a:lightRig rig="threePt" dir="t"/>
            </a:scene3d>
          </c:spPr>
          <c:invertIfNegative val="0"/>
          <c:dPt>
            <c:idx val="0"/>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1C-E897-4187-988B-92E7EBEF0056}"/>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E-E897-4187-988B-92E7EBEF0056}"/>
              </c:ext>
            </c:extLst>
          </c:dPt>
          <c:dPt>
            <c:idx val="2"/>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20-E897-4187-988B-92E7EBEF0056}"/>
              </c:ext>
            </c:extLst>
          </c:dPt>
          <c:dPt>
            <c:idx val="3"/>
            <c:invertIfNegative val="0"/>
            <c:bubble3D val="0"/>
            <c:spPr>
              <a:noFill/>
              <a:effectLst/>
              <a:scene3d>
                <a:camera prst="orthographicFront"/>
                <a:lightRig rig="threePt" dir="t"/>
              </a:scene3d>
            </c:spPr>
            <c:extLst>
              <c:ext xmlns:c16="http://schemas.microsoft.com/office/drawing/2014/chart" uri="{C3380CC4-5D6E-409C-BE32-E72D297353CC}">
                <c16:uniqueId val="{00000022-E897-4187-988B-92E7EBEF0056}"/>
              </c:ext>
            </c:extLst>
          </c:dPt>
          <c:dLbls>
            <c:dLbl>
              <c:idx val="0"/>
              <c:layout>
                <c:manualLayout>
                  <c:x val="3.3317901234567904E-2"/>
                  <c:y val="0"/>
                </c:manualLayout>
              </c:layout>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7-4187-988B-92E7EBEF0056}"/>
                </c:ext>
              </c:extLst>
            </c:dLbl>
            <c:dLbl>
              <c:idx val="1"/>
              <c:delete val="1"/>
              <c:extLst>
                <c:ext xmlns:c15="http://schemas.microsoft.com/office/drawing/2012/chart" uri="{CE6537A1-D6FC-4f65-9D91-7224C49458BB}"/>
                <c:ext xmlns:c16="http://schemas.microsoft.com/office/drawing/2014/chart" uri="{C3380CC4-5D6E-409C-BE32-E72D297353CC}">
                  <c16:uniqueId val="{0000001E-E897-4187-988B-92E7EBEF0056}"/>
                </c:ext>
              </c:extLst>
            </c:dLbl>
            <c:dLbl>
              <c:idx val="2"/>
              <c:layout>
                <c:manualLayout>
                  <c:x val="3.3317901234567904E-2"/>
                  <c:y val="0"/>
                </c:manualLayout>
              </c:layout>
              <c:spPr/>
              <c:txPr>
                <a:bodyPr/>
                <a:lstStyle/>
                <a:p>
                  <a:pPr>
                    <a:defRPr sz="800" b="1">
                      <a:solidFill>
                        <a:schemeClr val="tx1"/>
                      </a:solidFill>
                      <a:latin typeface="+mj-lt"/>
                    </a:defRPr>
                  </a:pPr>
                  <a:endParaRPr lang="pt-PT"/>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97-4187-988B-92E7EBEF0056}"/>
                </c:ext>
              </c:extLst>
            </c:dLbl>
            <c:dLbl>
              <c:idx val="3"/>
              <c:tx>
                <c:rich>
                  <a:bodyPr/>
                  <a:lstStyle/>
                  <a:p>
                    <a:pPr>
                      <a:defRPr sz="800">
                        <a:solidFill>
                          <a:schemeClr val="tx1"/>
                        </a:solidFill>
                        <a:latin typeface="+mj-lt"/>
                      </a:defRPr>
                    </a:pPr>
                    <a:r>
                      <a:rPr lang="en-US" sz="800">
                        <a:solidFill>
                          <a:schemeClr val="tx1"/>
                        </a:solidFill>
                        <a:latin typeface="+mj-lt"/>
                      </a:rPr>
                      <a:t>OUTROS
</a:t>
                    </a:r>
                    <a:r>
                      <a:rPr lang="en-US" sz="800">
                        <a:solidFill>
                          <a:schemeClr val="tx1">
                            <a:lumMod val="65000"/>
                            <a:lumOff val="35000"/>
                          </a:schemeClr>
                        </a:solidFill>
                        <a:latin typeface="+mj-lt"/>
                      </a:rPr>
                      <a:t>OTHERS</a:t>
                    </a:r>
                    <a:endParaRPr lang="en-US">
                      <a:solidFill>
                        <a:schemeClr val="tx1">
                          <a:lumMod val="65000"/>
                          <a:lumOff val="35000"/>
                        </a:schemeClr>
                      </a:solidFill>
                    </a:endParaRPr>
                  </a:p>
                </c:rich>
              </c:tx>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897-4187-988B-92E7EBEF0056}"/>
                </c:ext>
              </c:extLst>
            </c:dLbl>
            <c:spPr>
              <a:noFill/>
              <a:ln>
                <a:noFill/>
              </a:ln>
              <a:effectLst/>
            </c:spPr>
            <c:txPr>
              <a:bodyPr wrap="square" lIns="38100" tIns="19050" rIns="38100" bIns="19050" anchor="ctr">
                <a:spAutoFit/>
              </a:bodyPr>
              <a:lstStyle/>
              <a:p>
                <a:pPr>
                  <a:defRPr sz="800">
                    <a:solidFill>
                      <a:schemeClr val="tx1"/>
                    </a:solidFill>
                    <a:latin typeface="+mj-lt"/>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TABELAS!$C$45:$C$48</c:f>
              <c:strCache>
                <c:ptCount val="3"/>
                <c:pt idx="0">
                  <c:v>ESPECTADORES
ADMISSIONS</c:v>
                </c:pt>
                <c:pt idx="2">
                  <c:v>RECEITA BRUTA
GBO</c:v>
                </c:pt>
              </c:strCache>
            </c:strRef>
          </c:cat>
          <c:val>
            <c:numRef>
              <c:f>TABELAS!$G$45:$G$48</c:f>
              <c:numCache>
                <c:formatCode>0.00</c:formatCode>
                <c:ptCount val="4"/>
                <c:pt idx="0" formatCode="0.0%">
                  <c:v>5.7157173968706721E-3</c:v>
                </c:pt>
                <c:pt idx="1">
                  <c:v>5.7157173968706721E-3</c:v>
                </c:pt>
                <c:pt idx="2" formatCode="0.0%">
                  <c:v>4.4514602722613194E-3</c:v>
                </c:pt>
                <c:pt idx="3">
                  <c:v>4.4514602722613194E-3</c:v>
                </c:pt>
              </c:numCache>
            </c:numRef>
          </c:val>
          <c:extLst>
            <c:ext xmlns:c16="http://schemas.microsoft.com/office/drawing/2014/chart" uri="{C3380CC4-5D6E-409C-BE32-E72D297353CC}">
              <c16:uniqueId val="{00000023-E897-4187-988B-92E7EBEF0056}"/>
            </c:ext>
          </c:extLst>
        </c:ser>
        <c:dLbls>
          <c:showLegendKey val="0"/>
          <c:showVal val="1"/>
          <c:showCatName val="0"/>
          <c:showSerName val="0"/>
          <c:showPercent val="0"/>
          <c:showBubbleSize val="0"/>
        </c:dLbls>
        <c:gapWidth val="0"/>
        <c:overlap val="100"/>
        <c:axId val="107527168"/>
        <c:axId val="107537152"/>
      </c:barChart>
      <c:catAx>
        <c:axId val="107527168"/>
        <c:scaling>
          <c:orientation val="minMax"/>
        </c:scaling>
        <c:delete val="0"/>
        <c:axPos val="l"/>
        <c:numFmt formatCode="General" sourceLinked="0"/>
        <c:majorTickMark val="out"/>
        <c:minorTickMark val="none"/>
        <c:tickLblPos val="nextTo"/>
        <c:spPr>
          <a:ln>
            <a:noFill/>
          </a:ln>
        </c:spPr>
        <c:txPr>
          <a:bodyPr/>
          <a:lstStyle/>
          <a:p>
            <a:pPr>
              <a:defRPr sz="800">
                <a:solidFill>
                  <a:schemeClr val="tx1"/>
                </a:solidFill>
                <a:latin typeface="+mn-lt"/>
              </a:defRPr>
            </a:pPr>
            <a:endParaRPr lang="pt-PT"/>
          </a:p>
        </c:txPr>
        <c:crossAx val="107537152"/>
        <c:crosses val="autoZero"/>
        <c:auto val="1"/>
        <c:lblAlgn val="ctr"/>
        <c:lblOffset val="100"/>
        <c:noMultiLvlLbl val="0"/>
      </c:catAx>
      <c:valAx>
        <c:axId val="107537152"/>
        <c:scaling>
          <c:orientation val="minMax"/>
        </c:scaling>
        <c:delete val="1"/>
        <c:axPos val="b"/>
        <c:numFmt formatCode="0%" sourceLinked="1"/>
        <c:majorTickMark val="out"/>
        <c:minorTickMark val="none"/>
        <c:tickLblPos val="none"/>
        <c:crossAx val="107527168"/>
        <c:crosses val="autoZero"/>
        <c:crossBetween val="between"/>
        <c:majorUnit val="1"/>
      </c:valAx>
      <c:spPr>
        <a:noFill/>
      </c:spPr>
    </c:plotArea>
    <c:plotVisOnly val="1"/>
    <c:dispBlanksAs val="gap"/>
    <c:showDLblsOverMax val="0"/>
  </c:chart>
  <c:spPr>
    <a:noFill/>
    <a:ln>
      <a:noFill/>
    </a:ln>
  </c:spPr>
  <c:txPr>
    <a:bodyPr/>
    <a:lstStyle/>
    <a:p>
      <a:pPr>
        <a:defRPr sz="900">
          <a:solidFill>
            <a:schemeClr val="bg1"/>
          </a:solidFill>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solidFill>
                  <a:schemeClr val="tx1"/>
                </a:solidFill>
              </a:defRPr>
            </a:pPr>
            <a:r>
              <a:rPr lang="en-US" sz="1200">
                <a:solidFill>
                  <a:schemeClr val="tx1"/>
                </a:solidFill>
                <a:latin typeface="+mj-lt"/>
              </a:rPr>
              <a:t>ESPECTADORES - 2022</a:t>
            </a:r>
            <a:r>
              <a:rPr lang="en-US" sz="1200">
                <a:solidFill>
                  <a:schemeClr val="tx1"/>
                </a:solidFill>
              </a:rPr>
              <a:t>
</a:t>
            </a:r>
            <a:r>
              <a:rPr lang="en-US" sz="1200" b="0">
                <a:solidFill>
                  <a:schemeClr val="tx1"/>
                </a:solidFill>
              </a:rPr>
              <a:t>ADMISSIONS</a:t>
            </a:r>
          </a:p>
        </c:rich>
      </c:tx>
      <c:overlay val="1"/>
    </c:title>
    <c:autoTitleDeleted val="0"/>
    <c:plotArea>
      <c:layout>
        <c:manualLayout>
          <c:layoutTarget val="inner"/>
          <c:xMode val="edge"/>
          <c:yMode val="edge"/>
          <c:x val="3.6201394108043822E-2"/>
          <c:y val="0.35229181561638379"/>
          <c:w val="0.92866547619050943"/>
          <c:h val="0.52233948313141054"/>
        </c:manualLayout>
      </c:layout>
      <c:barChart>
        <c:barDir val="bar"/>
        <c:grouping val="percentStacked"/>
        <c:varyColors val="0"/>
        <c:ser>
          <c:idx val="0"/>
          <c:order val="0"/>
          <c:tx>
            <c:strRef>
              <c:f>TABELAS!$D$28</c:f>
              <c:strCache>
                <c:ptCount val="1"/>
                <c:pt idx="0">
                  <c:v>NOS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1-24DD-4ED9-9634-D52FC5C6A6BE}"/>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3-24DD-4ED9-9634-D52FC5C6A6BE}"/>
              </c:ext>
            </c:extLst>
          </c:dPt>
          <c:dLbls>
            <c:dLbl>
              <c:idx val="0"/>
              <c:numFmt formatCode="0.0%" sourceLinked="0"/>
              <c:spPr/>
              <c:txPr>
                <a:bodyPr/>
                <a:lstStyle/>
                <a:p>
                  <a:pPr>
                    <a:defRPr sz="800" b="1">
                      <a:solidFill>
                        <a:schemeClr val="bg1"/>
                      </a:solidFill>
                      <a:latin typeface="+mj-lt"/>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D-4ED9-9634-D52FC5C6A6BE}"/>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4DD-4ED9-9634-D52FC5C6A6B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DD-4ED9-9634-D52FC5C6A6BE}"/>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4DD-4ED9-9634-D52FC5C6A6BE}"/>
                </c:ext>
              </c:extLst>
            </c:dLbl>
            <c:numFmt formatCode="0.0%" sourceLinked="0"/>
            <c:spPr>
              <a:noFill/>
              <a:ln>
                <a:noFill/>
              </a:ln>
              <a:effectLst/>
            </c:spPr>
            <c:txPr>
              <a:bodyPr/>
              <a:lstStyle/>
              <a:p>
                <a:pPr>
                  <a:defRPr sz="800" b="1">
                    <a:latin typeface="+mj-lt"/>
                  </a:defRPr>
                </a:pPr>
                <a:endParaRPr lang="pt-PT"/>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[8]TABELAS!$G$27</c:f>
              <c:strCache>
                <c:ptCount val="1"/>
                <c:pt idx="0">
                  <c:v>ESPETADORES | ADMISSIONS - 2014</c:v>
                </c:pt>
              </c:strCache>
            </c:strRef>
          </c:cat>
          <c:val>
            <c:numRef>
              <c:f>TABELAS!$H$28:$I$28</c:f>
              <c:numCache>
                <c:formatCode>#,##0</c:formatCode>
                <c:ptCount val="2"/>
                <c:pt idx="0" formatCode="0.0%">
                  <c:v>0.629</c:v>
                </c:pt>
                <c:pt idx="1">
                  <c:v>228547</c:v>
                </c:pt>
              </c:numCache>
            </c:numRef>
          </c:val>
          <c:extLst>
            <c:ext xmlns:c16="http://schemas.microsoft.com/office/drawing/2014/chart" uri="{C3380CC4-5D6E-409C-BE32-E72D297353CC}">
              <c16:uniqueId val="{00000006-24DD-4ED9-9634-D52FC5C6A6BE}"/>
            </c:ext>
          </c:extLst>
        </c:ser>
        <c:ser>
          <c:idx val="1"/>
          <c:order val="1"/>
          <c:tx>
            <c:strRef>
              <c:f>TABELAS!$D$29</c:f>
              <c:strCache>
                <c:ptCount val="1"/>
                <c:pt idx="0">
                  <c:v>UCI</c:v>
                </c:pt>
              </c:strCache>
            </c:strRef>
          </c:tx>
          <c:spPr>
            <a:scene3d>
              <a:camera prst="orthographicFront"/>
              <a:lightRig rig="threePt" dir="t"/>
            </a:scene3d>
          </c:spPr>
          <c:invertIfNegative val="0"/>
          <c:dPt>
            <c:idx val="0"/>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8-24DD-4ED9-9634-D52FC5C6A6BE}"/>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A-24DD-4ED9-9634-D52FC5C6A6BE}"/>
              </c:ext>
            </c:extLst>
          </c:dPt>
          <c:dLbls>
            <c:dLbl>
              <c:idx val="0"/>
              <c:numFmt formatCode="0.0%" sourceLinked="0"/>
              <c:spPr/>
              <c:txPr>
                <a:bodyPr/>
                <a:lstStyle/>
                <a:p>
                  <a:pPr>
                    <a:defRPr sz="800" b="0">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8-24DD-4ED9-9634-D52FC5C6A6BE}"/>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24DD-4ED9-9634-D52FC5C6A6BE}"/>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24DD-4ED9-9634-D52FC5C6A6BE}"/>
                </c:ext>
              </c:extLst>
            </c:dLbl>
            <c:numFmt formatCode="0.0%" sourceLinked="0"/>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[8]TABELAS!$G$27</c:f>
              <c:strCache>
                <c:ptCount val="1"/>
                <c:pt idx="0">
                  <c:v>ESPETADORES | ADMISSIONS - 2014</c:v>
                </c:pt>
              </c:strCache>
            </c:strRef>
          </c:cat>
          <c:val>
            <c:numRef>
              <c:f>TABELAS!$H$29:$I$29</c:f>
              <c:numCache>
                <c:formatCode>#,##0</c:formatCode>
                <c:ptCount val="2"/>
                <c:pt idx="0" formatCode="0.0%">
                  <c:v>0.123</c:v>
                </c:pt>
                <c:pt idx="1">
                  <c:v>44582</c:v>
                </c:pt>
              </c:numCache>
            </c:numRef>
          </c:val>
          <c:extLst>
            <c:ext xmlns:c16="http://schemas.microsoft.com/office/drawing/2014/chart" uri="{C3380CC4-5D6E-409C-BE32-E72D297353CC}">
              <c16:uniqueId val="{0000000C-24DD-4ED9-9634-D52FC5C6A6BE}"/>
            </c:ext>
          </c:extLst>
        </c:ser>
        <c:ser>
          <c:idx val="2"/>
          <c:order val="2"/>
          <c:tx>
            <c:strRef>
              <c:f>TABELAS!$D$30</c:f>
              <c:strCache>
                <c:ptCount val="1"/>
                <c:pt idx="0">
                  <c:v>CINEPLACE</c:v>
                </c:pt>
              </c:strCache>
            </c:strRef>
          </c:tx>
          <c:spPr>
            <a:scene3d>
              <a:camera prst="orthographicFront"/>
              <a:lightRig rig="threePt" dir="t"/>
            </a:scene3d>
          </c:spPr>
          <c:invertIfNegative val="0"/>
          <c:dPt>
            <c:idx val="0"/>
            <c:invertIfNegative val="0"/>
            <c:bubble3D val="0"/>
            <c:spPr>
              <a:solidFill>
                <a:schemeClr val="tx1">
                  <a:lumMod val="50000"/>
                  <a:lumOff val="50000"/>
                </a:schemeClr>
              </a:solidFill>
              <a:scene3d>
                <a:camera prst="orthographicFront"/>
                <a:lightRig rig="threePt" dir="t"/>
              </a:scene3d>
            </c:spPr>
            <c:extLst>
              <c:ext xmlns:c16="http://schemas.microsoft.com/office/drawing/2014/chart" uri="{C3380CC4-5D6E-409C-BE32-E72D297353CC}">
                <c16:uniqueId val="{0000000E-24DD-4ED9-9634-D52FC5C6A6BE}"/>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0-24DD-4ED9-9634-D52FC5C6A6BE}"/>
              </c:ext>
            </c:extLst>
          </c:dPt>
          <c:dLbls>
            <c:dLbl>
              <c:idx val="0"/>
              <c:numFmt formatCode="0.0%" sourceLinked="0"/>
              <c:spPr/>
              <c:txPr>
                <a:bodyPr/>
                <a:lstStyle/>
                <a:p>
                  <a:pPr>
                    <a:defRPr sz="800" b="0">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E-24DD-4ED9-9634-D52FC5C6A6BE}"/>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24DD-4ED9-9634-D52FC5C6A6BE}"/>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24DD-4ED9-9634-D52FC5C6A6BE}"/>
                </c:ext>
              </c:extLst>
            </c:dLbl>
            <c:numFmt formatCode="0.0%" sourceLinked="0"/>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[8]TABELAS!$G$27</c:f>
              <c:strCache>
                <c:ptCount val="1"/>
                <c:pt idx="0">
                  <c:v>ESPETADORES | ADMISSIONS - 2014</c:v>
                </c:pt>
              </c:strCache>
            </c:strRef>
          </c:cat>
          <c:val>
            <c:numRef>
              <c:f>TABELAS!$H$30:$I$30</c:f>
              <c:numCache>
                <c:formatCode>#,##0</c:formatCode>
                <c:ptCount val="2"/>
                <c:pt idx="0" formatCode="0.0%">
                  <c:v>7.3999999999999996E-2</c:v>
                </c:pt>
                <c:pt idx="1">
                  <c:v>27034</c:v>
                </c:pt>
              </c:numCache>
            </c:numRef>
          </c:val>
          <c:extLst>
            <c:ext xmlns:c16="http://schemas.microsoft.com/office/drawing/2014/chart" uri="{C3380CC4-5D6E-409C-BE32-E72D297353CC}">
              <c16:uniqueId val="{00000012-24DD-4ED9-9634-D52FC5C6A6BE}"/>
            </c:ext>
          </c:extLst>
        </c:ser>
        <c:ser>
          <c:idx val="3"/>
          <c:order val="3"/>
          <c:tx>
            <c:strRef>
              <c:f>TABELAS!$D$31</c:f>
              <c:strCache>
                <c:ptCount val="1"/>
                <c:pt idx="0">
                  <c:v>NLC</c:v>
                </c:pt>
              </c:strCache>
            </c:strRef>
          </c:tx>
          <c:spPr>
            <a:scene3d>
              <a:camera prst="orthographicFront"/>
              <a:lightRig rig="threePt" dir="t"/>
            </a:scene3d>
          </c:spPr>
          <c:invertIfNegative val="0"/>
          <c:dPt>
            <c:idx val="0"/>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14-24DD-4ED9-9634-D52FC5C6A6BE}"/>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6-24DD-4ED9-9634-D52FC5C6A6BE}"/>
              </c:ext>
            </c:extLst>
          </c:dPt>
          <c:dLbls>
            <c:dLbl>
              <c:idx val="0"/>
              <c:numFmt formatCode="0.0%" sourceLinked="0"/>
              <c:spPr/>
              <c:txPr>
                <a:bodyPr/>
                <a:lstStyle/>
                <a:p>
                  <a:pPr>
                    <a:defRPr sz="800" b="0" u="none">
                      <a:solidFill>
                        <a:schemeClr val="tx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14-24DD-4ED9-9634-D52FC5C6A6BE}"/>
                </c:ext>
              </c:extLst>
            </c:dLbl>
            <c:dLbl>
              <c:idx val="1"/>
              <c:layout>
                <c:manualLayout>
                  <c:x val="5.8796296296297077E-3"/>
                  <c:y val="0.4374444444444469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24DD-4ED9-9634-D52FC5C6A6BE}"/>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24DD-4ED9-9634-D52FC5C6A6BE}"/>
                </c:ext>
              </c:extLst>
            </c:dLbl>
            <c:numFmt formatCode="0.0%" sourceLinked="0"/>
            <c:spPr>
              <a:noFill/>
              <a:ln>
                <a:noFill/>
              </a:ln>
              <a:effectLst/>
            </c:spPr>
            <c:txPr>
              <a:bodyPr/>
              <a:lstStyle/>
              <a:p>
                <a:pPr>
                  <a:defRPr sz="800" b="0" u="none">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[8]TABELAS!$G$27</c:f>
              <c:strCache>
                <c:ptCount val="1"/>
                <c:pt idx="0">
                  <c:v>ESPETADORES | ADMISSIONS - 2014</c:v>
                </c:pt>
              </c:strCache>
            </c:strRef>
          </c:cat>
          <c:val>
            <c:numRef>
              <c:f>TABELAS!$H$31:$I$31</c:f>
              <c:numCache>
                <c:formatCode>#,##0</c:formatCode>
                <c:ptCount val="2"/>
                <c:pt idx="0" formatCode="0.0%">
                  <c:v>5.3999999999999999E-2</c:v>
                </c:pt>
                <c:pt idx="1">
                  <c:v>19443</c:v>
                </c:pt>
              </c:numCache>
            </c:numRef>
          </c:val>
          <c:extLst>
            <c:ext xmlns:c16="http://schemas.microsoft.com/office/drawing/2014/chart" uri="{C3380CC4-5D6E-409C-BE32-E72D297353CC}">
              <c16:uniqueId val="{00000018-24DD-4ED9-9634-D52FC5C6A6BE}"/>
            </c:ext>
          </c:extLst>
        </c:ser>
        <c:ser>
          <c:idx val="4"/>
          <c:order val="4"/>
          <c:tx>
            <c:strRef>
              <c:f>TABELAS!$D$32</c:f>
              <c:strCache>
                <c:ptCount val="1"/>
                <c:pt idx="0">
                  <c:v>OUTROS
OTHERS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1A-24DD-4ED9-9634-D52FC5C6A6BE}"/>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C-24DD-4ED9-9634-D52FC5C6A6BE}"/>
              </c:ext>
            </c:extLst>
          </c:dPt>
          <c:dLbls>
            <c:dLbl>
              <c:idx val="0"/>
              <c:numFmt formatCode="0.0%" sourceLinked="0"/>
              <c:spPr/>
              <c:txPr>
                <a:bodyPr/>
                <a:lstStyle/>
                <a:p>
                  <a:pPr>
                    <a:defRPr sz="800" b="1">
                      <a:solidFill>
                        <a:schemeClr val="bg1"/>
                      </a:solidFill>
                      <a:latin typeface="+mj-lt"/>
                    </a:defRPr>
                  </a:pPr>
                  <a:endParaRPr lang="pt-PT"/>
                </a:p>
              </c:txPr>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24DD-4ED9-9634-D52FC5C6A6BE}"/>
                </c:ext>
              </c:extLst>
            </c:dLbl>
            <c:dLbl>
              <c:idx val="1"/>
              <c:tx>
                <c:rich>
                  <a:bodyPr/>
                  <a:lstStyle/>
                  <a:p>
                    <a:r>
                      <a:rPr lang="en-US" sz="800" b="1">
                        <a:latin typeface="+mj-lt"/>
                      </a:rPr>
                      <a:t>OUTROS
</a:t>
                    </a:r>
                    <a:r>
                      <a:rPr lang="en-US" sz="800" b="1">
                        <a:solidFill>
                          <a:schemeClr val="tx1">
                            <a:lumMod val="65000"/>
                            <a:lumOff val="35000"/>
                          </a:schemeClr>
                        </a:solidFill>
                        <a:latin typeface="+mj-lt"/>
                      </a:rPr>
                      <a:t>OTHERS</a:t>
                    </a:r>
                    <a:endParaRPr lang="en-US">
                      <a:solidFill>
                        <a:schemeClr val="tx1">
                          <a:lumMod val="65000"/>
                          <a:lumOff val="35000"/>
                        </a:schemeClr>
                      </a:solidFill>
                    </a:endParaRPr>
                  </a:p>
                </c:rich>
              </c:tx>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24DD-4ED9-9634-D52FC5C6A6BE}"/>
                </c:ext>
              </c:extLst>
            </c:dLbl>
            <c:dLbl>
              <c:idx val="2"/>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24DD-4ED9-9634-D52FC5C6A6BE}"/>
                </c:ext>
              </c:extLst>
            </c:dLbl>
            <c:dLbl>
              <c:idx val="3"/>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E-24DD-4ED9-9634-D52FC5C6A6BE}"/>
                </c:ext>
              </c:extLst>
            </c:dLbl>
            <c:numFmt formatCode="0.0%" sourceLinked="0"/>
            <c:spPr>
              <a:noFill/>
              <a:ln>
                <a:noFill/>
              </a:ln>
              <a:effectLst/>
            </c:spPr>
            <c:txPr>
              <a:bodyPr/>
              <a:lstStyle/>
              <a:p>
                <a:pPr>
                  <a:defRPr sz="800" b="1">
                    <a:latin typeface="+mj-lt"/>
                  </a:defRPr>
                </a:pPr>
                <a:endParaRPr lang="pt-PT"/>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[8]TABELAS!$G$27</c:f>
              <c:strCache>
                <c:ptCount val="1"/>
                <c:pt idx="0">
                  <c:v>ESPETADORES | ADMISSIONS - 2014</c:v>
                </c:pt>
              </c:strCache>
            </c:strRef>
          </c:cat>
          <c:val>
            <c:numRef>
              <c:f>TABELAS!$H$32:$I$32</c:f>
              <c:numCache>
                <c:formatCode>#,##0</c:formatCode>
                <c:ptCount val="2"/>
                <c:pt idx="0" formatCode="0.0%">
                  <c:v>0.12</c:v>
                </c:pt>
                <c:pt idx="1">
                  <c:v>43603</c:v>
                </c:pt>
              </c:numCache>
            </c:numRef>
          </c:val>
          <c:extLst>
            <c:ext xmlns:c16="http://schemas.microsoft.com/office/drawing/2014/chart" uri="{C3380CC4-5D6E-409C-BE32-E72D297353CC}">
              <c16:uniqueId val="{0000001F-24DD-4ED9-9634-D52FC5C6A6BE}"/>
            </c:ext>
          </c:extLst>
        </c:ser>
        <c:dLbls>
          <c:showLegendKey val="0"/>
          <c:showVal val="0"/>
          <c:showCatName val="0"/>
          <c:showSerName val="0"/>
          <c:showPercent val="0"/>
          <c:showBubbleSize val="0"/>
        </c:dLbls>
        <c:gapWidth val="10"/>
        <c:overlap val="100"/>
        <c:axId val="109008768"/>
        <c:axId val="109007232"/>
      </c:barChart>
      <c:valAx>
        <c:axId val="109007232"/>
        <c:scaling>
          <c:orientation val="minMax"/>
        </c:scaling>
        <c:delete val="1"/>
        <c:axPos val="b"/>
        <c:numFmt formatCode="0%" sourceLinked="1"/>
        <c:majorTickMark val="out"/>
        <c:minorTickMark val="none"/>
        <c:tickLblPos val="none"/>
        <c:crossAx val="109008768"/>
        <c:crosses val="autoZero"/>
        <c:crossBetween val="between"/>
        <c:majorUnit val="1"/>
      </c:valAx>
      <c:catAx>
        <c:axId val="109008768"/>
        <c:scaling>
          <c:orientation val="minMax"/>
        </c:scaling>
        <c:delete val="1"/>
        <c:axPos val="l"/>
        <c:numFmt formatCode="General" sourceLinked="0"/>
        <c:majorTickMark val="out"/>
        <c:minorTickMark val="none"/>
        <c:tickLblPos val="none"/>
        <c:crossAx val="109007232"/>
        <c:crosses val="autoZero"/>
        <c:auto val="1"/>
        <c:lblAlgn val="ctr"/>
        <c:lblOffset val="100"/>
        <c:noMultiLvlLbl val="0"/>
      </c:catAx>
      <c:spPr>
        <a:noFill/>
        <a:ln>
          <a:noFill/>
        </a:ln>
      </c:spPr>
    </c:plotArea>
    <c:plotVisOnly val="1"/>
    <c:dispBlanksAs val="zero"/>
    <c:showDLblsOverMax val="0"/>
  </c:chart>
  <c:spPr>
    <a:noFill/>
    <a:ln>
      <a:noFill/>
    </a:ln>
  </c:spPr>
  <c:txPr>
    <a:bodyPr/>
    <a:lstStyle/>
    <a:p>
      <a:pPr>
        <a:defRPr>
          <a:solidFill>
            <a:schemeClr val="tx1"/>
          </a:solidFill>
        </a:defRPr>
      </a:pPr>
      <a:endParaRPr lang="pt-PT"/>
    </a:p>
  </c:txPr>
  <c:printSettings>
    <c:headerFooter/>
    <c:pageMargins b="0.75000000000001465" l="0.70000000000000062" r="0.70000000000000062" t="0.75000000000001465" header="0.30000000000000032" footer="0.30000000000000032"/>
    <c:pageSetup paperSize="9"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solidFill>
                  <a:schemeClr val="tx1"/>
                </a:solidFill>
              </a:defRPr>
            </a:pPr>
            <a:r>
              <a:rPr lang="en-US" sz="1200">
                <a:solidFill>
                  <a:schemeClr val="tx1"/>
                </a:solidFill>
              </a:rPr>
              <a:t>RECEITA BRUTA - 2022
</a:t>
            </a:r>
            <a:r>
              <a:rPr lang="en-US" sz="1200" b="0">
                <a:solidFill>
                  <a:schemeClr val="tx1"/>
                </a:solidFill>
              </a:rPr>
              <a:t>GBO</a:t>
            </a:r>
          </a:p>
        </c:rich>
      </c:tx>
      <c:overlay val="1"/>
    </c:title>
    <c:autoTitleDeleted val="0"/>
    <c:plotArea>
      <c:layout>
        <c:manualLayout>
          <c:layoutTarget val="inner"/>
          <c:xMode val="edge"/>
          <c:yMode val="edge"/>
          <c:x val="3.6201394108043836E-2"/>
          <c:y val="0.35229181561638379"/>
          <c:w val="0.92866547619050976"/>
          <c:h val="0.52233948313141054"/>
        </c:manualLayout>
      </c:layout>
      <c:barChart>
        <c:barDir val="bar"/>
        <c:grouping val="percentStacked"/>
        <c:varyColors val="0"/>
        <c:ser>
          <c:idx val="0"/>
          <c:order val="0"/>
          <c:tx>
            <c:strRef>
              <c:f>TABELAS!$D$28</c:f>
              <c:strCache>
                <c:ptCount val="1"/>
                <c:pt idx="0">
                  <c:v>NOS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01-0809-4B21-8DAA-EEE6B651EE53}"/>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3-0809-4B21-8DAA-EEE6B651EE53}"/>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09-4B21-8DAA-EEE6B651EE53}"/>
                </c:ext>
              </c:extLst>
            </c:dLbl>
            <c:dLbl>
              <c:idx val="1"/>
              <c:numFmt formatCode="0.0%" sourceLinked="0"/>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809-4B21-8DAA-EEE6B651EE53}"/>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09-4B21-8DAA-EEE6B651EE53}"/>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0809-4B21-8DAA-EEE6B651EE53}"/>
                </c:ext>
              </c:extLst>
            </c:dLbl>
            <c:numFmt formatCode="0.0%" sourceLinked="0"/>
            <c:spPr>
              <a:noFill/>
              <a:ln>
                <a:noFill/>
              </a:ln>
              <a:effectLst/>
            </c:spPr>
            <c:txPr>
              <a:bodyPr/>
              <a:lstStyle/>
              <a:p>
                <a:pPr>
                  <a:defRPr sz="800" b="0">
                    <a:latin typeface="+mj-lt"/>
                  </a:defRPr>
                </a:pPr>
                <a:endParaRPr lang="pt-PT"/>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[8]TABELAS!$D$28:$D$32</c:f>
              <c:strCache>
                <c:ptCount val="5"/>
                <c:pt idx="0">
                  <c:v>NOS</c:v>
                </c:pt>
                <c:pt idx="1">
                  <c:v>UCI</c:v>
                </c:pt>
                <c:pt idx="2">
                  <c:v>CINEPLACE</c:v>
                </c:pt>
                <c:pt idx="3">
                  <c:v>NLC</c:v>
                </c:pt>
                <c:pt idx="4">
                  <c:v>OUTROS
OTHERS</c:v>
                </c:pt>
              </c:strCache>
            </c:strRef>
          </c:cat>
          <c:val>
            <c:numRef>
              <c:f>TABELAS!$E$28:$F$28</c:f>
              <c:numCache>
                <c:formatCode>[$€-2]\ #,##0.00</c:formatCode>
                <c:ptCount val="2"/>
                <c:pt idx="0" formatCode="0.0%">
                  <c:v>0.64500000000000002</c:v>
                </c:pt>
                <c:pt idx="1">
                  <c:v>1314414.69</c:v>
                </c:pt>
              </c:numCache>
            </c:numRef>
          </c:val>
          <c:extLst>
            <c:ext xmlns:c16="http://schemas.microsoft.com/office/drawing/2014/chart" uri="{C3380CC4-5D6E-409C-BE32-E72D297353CC}">
              <c16:uniqueId val="{00000006-0809-4B21-8DAA-EEE6B651EE53}"/>
            </c:ext>
          </c:extLst>
        </c:ser>
        <c:ser>
          <c:idx val="1"/>
          <c:order val="1"/>
          <c:tx>
            <c:strRef>
              <c:f>TABELAS!$D$29</c:f>
              <c:strCache>
                <c:ptCount val="1"/>
                <c:pt idx="0">
                  <c:v>UCI</c:v>
                </c:pt>
              </c:strCache>
            </c:strRef>
          </c:tx>
          <c:spPr>
            <a:scene3d>
              <a:camera prst="orthographicFront"/>
              <a:lightRig rig="threePt" dir="t"/>
            </a:scene3d>
          </c:spPr>
          <c:invertIfNegative val="0"/>
          <c:dPt>
            <c:idx val="0"/>
            <c:invertIfNegative val="0"/>
            <c:bubble3D val="0"/>
            <c:spPr>
              <a:solidFill>
                <a:schemeClr val="tx1">
                  <a:lumMod val="75000"/>
                  <a:lumOff val="25000"/>
                </a:schemeClr>
              </a:solidFill>
              <a:scene3d>
                <a:camera prst="orthographicFront"/>
                <a:lightRig rig="threePt" dir="t"/>
              </a:scene3d>
            </c:spPr>
            <c:extLst>
              <c:ext xmlns:c16="http://schemas.microsoft.com/office/drawing/2014/chart" uri="{C3380CC4-5D6E-409C-BE32-E72D297353CC}">
                <c16:uniqueId val="{00000008-0809-4B21-8DAA-EEE6B651EE53}"/>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0A-0809-4B21-8DAA-EEE6B651EE53}"/>
              </c:ext>
            </c:extLst>
          </c:dPt>
          <c:dLbls>
            <c:dLbl>
              <c:idx val="1"/>
              <c:numFmt formatCode="0.0%" sourceLinked="0"/>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809-4B21-8DAA-EEE6B651EE53}"/>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809-4B21-8DAA-EEE6B651EE53}"/>
                </c:ext>
              </c:extLst>
            </c:dLbl>
            <c:numFmt formatCode="0.0%" sourceLinked="0"/>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[8]TABELAS!$D$28:$D$32</c:f>
              <c:strCache>
                <c:ptCount val="5"/>
                <c:pt idx="0">
                  <c:v>NOS</c:v>
                </c:pt>
                <c:pt idx="1">
                  <c:v>UCI</c:v>
                </c:pt>
                <c:pt idx="2">
                  <c:v>CINEPLACE</c:v>
                </c:pt>
                <c:pt idx="3">
                  <c:v>NLC</c:v>
                </c:pt>
                <c:pt idx="4">
                  <c:v>OUTROS
OTHERS</c:v>
                </c:pt>
              </c:strCache>
            </c:strRef>
          </c:cat>
          <c:val>
            <c:numRef>
              <c:f>TABELAS!$E$29:$F$29</c:f>
              <c:numCache>
                <c:formatCode>[$€-2]\ #,##0.00</c:formatCode>
                <c:ptCount val="2"/>
                <c:pt idx="0" formatCode="0.0%">
                  <c:v>0.11899999999999999</c:v>
                </c:pt>
                <c:pt idx="1">
                  <c:v>242085.96</c:v>
                </c:pt>
              </c:numCache>
            </c:numRef>
          </c:val>
          <c:extLst>
            <c:ext xmlns:c16="http://schemas.microsoft.com/office/drawing/2014/chart" uri="{C3380CC4-5D6E-409C-BE32-E72D297353CC}">
              <c16:uniqueId val="{0000000C-0809-4B21-8DAA-EEE6B651EE53}"/>
            </c:ext>
          </c:extLst>
        </c:ser>
        <c:ser>
          <c:idx val="2"/>
          <c:order val="2"/>
          <c:tx>
            <c:strRef>
              <c:f>TABELAS!$D$30</c:f>
              <c:strCache>
                <c:ptCount val="1"/>
                <c:pt idx="0">
                  <c:v>CINEPLACE</c:v>
                </c:pt>
              </c:strCache>
            </c:strRef>
          </c:tx>
          <c:spPr>
            <a:scene3d>
              <a:camera prst="orthographicFront"/>
              <a:lightRig rig="threePt" dir="t"/>
            </a:scene3d>
          </c:spPr>
          <c:invertIfNegative val="0"/>
          <c:dPt>
            <c:idx val="0"/>
            <c:invertIfNegative val="0"/>
            <c:bubble3D val="0"/>
            <c:spPr>
              <a:solidFill>
                <a:schemeClr val="tx1">
                  <a:lumMod val="50000"/>
                  <a:lumOff val="50000"/>
                </a:schemeClr>
              </a:solidFill>
              <a:scene3d>
                <a:camera prst="orthographicFront"/>
                <a:lightRig rig="threePt" dir="t"/>
              </a:scene3d>
            </c:spPr>
            <c:extLst>
              <c:ext xmlns:c16="http://schemas.microsoft.com/office/drawing/2014/chart" uri="{C3380CC4-5D6E-409C-BE32-E72D297353CC}">
                <c16:uniqueId val="{0000000E-0809-4B21-8DAA-EEE6B651EE53}"/>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0-0809-4B21-8DAA-EEE6B651EE53}"/>
              </c:ext>
            </c:extLst>
          </c:dPt>
          <c:dLbls>
            <c:dLbl>
              <c:idx val="1"/>
              <c:numFmt formatCode="0.0%" sourceLinked="0"/>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0809-4B21-8DAA-EEE6B651EE53}"/>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0809-4B21-8DAA-EEE6B651EE53}"/>
                </c:ext>
              </c:extLst>
            </c:dLbl>
            <c:numFmt formatCode="0.0%" sourceLinked="0"/>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[8]TABELAS!$D$28:$D$32</c:f>
              <c:strCache>
                <c:ptCount val="5"/>
                <c:pt idx="0">
                  <c:v>NOS</c:v>
                </c:pt>
                <c:pt idx="1">
                  <c:v>UCI</c:v>
                </c:pt>
                <c:pt idx="2">
                  <c:v>CINEPLACE</c:v>
                </c:pt>
                <c:pt idx="3">
                  <c:v>NLC</c:v>
                </c:pt>
                <c:pt idx="4">
                  <c:v>OUTROS
OTHERS</c:v>
                </c:pt>
              </c:strCache>
            </c:strRef>
          </c:cat>
          <c:val>
            <c:numRef>
              <c:f>TABELAS!$E$30:$F$30</c:f>
              <c:numCache>
                <c:formatCode>[$€-2]\ #,##0.00</c:formatCode>
                <c:ptCount val="2"/>
                <c:pt idx="0" formatCode="0.0%">
                  <c:v>7.1999999999999995E-2</c:v>
                </c:pt>
                <c:pt idx="1">
                  <c:v>147314.70000000001</c:v>
                </c:pt>
              </c:numCache>
            </c:numRef>
          </c:val>
          <c:extLst>
            <c:ext xmlns:c16="http://schemas.microsoft.com/office/drawing/2014/chart" uri="{C3380CC4-5D6E-409C-BE32-E72D297353CC}">
              <c16:uniqueId val="{00000012-0809-4B21-8DAA-EEE6B651EE53}"/>
            </c:ext>
          </c:extLst>
        </c:ser>
        <c:ser>
          <c:idx val="3"/>
          <c:order val="3"/>
          <c:tx>
            <c:strRef>
              <c:f>TABELAS!$D$31</c:f>
              <c:strCache>
                <c:ptCount val="1"/>
                <c:pt idx="0">
                  <c:v>NLC</c:v>
                </c:pt>
              </c:strCache>
            </c:strRef>
          </c:tx>
          <c:spPr>
            <a:scene3d>
              <a:camera prst="orthographicFront"/>
              <a:lightRig rig="threePt" dir="t"/>
            </a:scene3d>
          </c:spPr>
          <c:invertIfNegative val="0"/>
          <c:dPt>
            <c:idx val="0"/>
            <c:invertIfNegative val="0"/>
            <c:bubble3D val="0"/>
            <c:spPr>
              <a:solidFill>
                <a:schemeClr val="bg1">
                  <a:lumMod val="75000"/>
                </a:schemeClr>
              </a:solidFill>
              <a:scene3d>
                <a:camera prst="orthographicFront"/>
                <a:lightRig rig="threePt" dir="t"/>
              </a:scene3d>
            </c:spPr>
            <c:extLst>
              <c:ext xmlns:c16="http://schemas.microsoft.com/office/drawing/2014/chart" uri="{C3380CC4-5D6E-409C-BE32-E72D297353CC}">
                <c16:uniqueId val="{00000014-0809-4B21-8DAA-EEE6B651EE53}"/>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6-0809-4B21-8DAA-EEE6B651EE53}"/>
              </c:ext>
            </c:extLst>
          </c:dPt>
          <c:dLbls>
            <c:dLbl>
              <c:idx val="0"/>
              <c:numFmt formatCode="0.0%" sourceLinked="0"/>
              <c:spPr>
                <a:noFill/>
                <a:ln>
                  <a:noFill/>
                </a:ln>
                <a:effectLst/>
              </c:spPr>
              <c:txPr>
                <a:bodyPr/>
                <a:lstStyle/>
                <a:p>
                  <a:pPr>
                    <a:defRPr sz="800" b="0">
                      <a:solidFill>
                        <a:schemeClr val="tx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14-0809-4B21-8DAA-EEE6B651EE53}"/>
                </c:ext>
              </c:extLst>
            </c:dLbl>
            <c:dLbl>
              <c:idx val="1"/>
              <c:layout>
                <c:manualLayout>
                  <c:x val="5.8796296296297077E-3"/>
                  <c:y val="0.44450000000000001"/>
                </c:manualLayout>
              </c:layout>
              <c:numFmt formatCode="0.0%" sourceLinked="0"/>
              <c:spPr/>
              <c:txPr>
                <a:bodyPr/>
                <a:lstStyle/>
                <a:p>
                  <a:pPr>
                    <a:defRPr sz="800" b="0">
                      <a:solidFill>
                        <a:schemeClr val="tx1"/>
                      </a:solidFill>
                      <a:latin typeface="+mj-lt"/>
                    </a:defRPr>
                  </a:pPr>
                  <a:endParaRPr lang="pt-PT"/>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0809-4B21-8DAA-EEE6B651EE53}"/>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0809-4B21-8DAA-EEE6B651EE53}"/>
                </c:ext>
              </c:extLst>
            </c:dLbl>
            <c:numFmt formatCode="0.0%" sourceLinked="0"/>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[8]TABELAS!$D$28:$D$32</c:f>
              <c:strCache>
                <c:ptCount val="5"/>
                <c:pt idx="0">
                  <c:v>NOS</c:v>
                </c:pt>
                <c:pt idx="1">
                  <c:v>UCI</c:v>
                </c:pt>
                <c:pt idx="2">
                  <c:v>CINEPLACE</c:v>
                </c:pt>
                <c:pt idx="3">
                  <c:v>NLC</c:v>
                </c:pt>
                <c:pt idx="4">
                  <c:v>OUTROS
OTHERS</c:v>
                </c:pt>
              </c:strCache>
            </c:strRef>
          </c:cat>
          <c:val>
            <c:numRef>
              <c:f>TABELAS!$E$31:$F$31</c:f>
              <c:numCache>
                <c:formatCode>[$€-2]\ #,##0.00</c:formatCode>
                <c:ptCount val="2"/>
                <c:pt idx="0" formatCode="0.0%">
                  <c:v>5.7000000000000002E-2</c:v>
                </c:pt>
                <c:pt idx="1">
                  <c:v>115499.7</c:v>
                </c:pt>
              </c:numCache>
            </c:numRef>
          </c:val>
          <c:extLst>
            <c:ext xmlns:c16="http://schemas.microsoft.com/office/drawing/2014/chart" uri="{C3380CC4-5D6E-409C-BE32-E72D297353CC}">
              <c16:uniqueId val="{00000018-0809-4B21-8DAA-EEE6B651EE53}"/>
            </c:ext>
          </c:extLst>
        </c:ser>
        <c:ser>
          <c:idx val="4"/>
          <c:order val="4"/>
          <c:tx>
            <c:strRef>
              <c:f>TABELAS!$D$32</c:f>
              <c:strCache>
                <c:ptCount val="1"/>
                <c:pt idx="0">
                  <c:v>OUTROS
OTHERS</c:v>
                </c:pt>
              </c:strCache>
            </c:strRef>
          </c:tx>
          <c:spPr>
            <a:scene3d>
              <a:camera prst="orthographicFront"/>
              <a:lightRig rig="threePt" dir="t"/>
            </a:scene3d>
          </c:spPr>
          <c:invertIfNegative val="0"/>
          <c:dPt>
            <c:idx val="0"/>
            <c:invertIfNegative val="0"/>
            <c:bubble3D val="0"/>
            <c:spPr>
              <a:solidFill>
                <a:schemeClr val="tx1"/>
              </a:solidFill>
              <a:scene3d>
                <a:camera prst="orthographicFront"/>
                <a:lightRig rig="threePt" dir="t"/>
              </a:scene3d>
            </c:spPr>
            <c:extLst>
              <c:ext xmlns:c16="http://schemas.microsoft.com/office/drawing/2014/chart" uri="{C3380CC4-5D6E-409C-BE32-E72D297353CC}">
                <c16:uniqueId val="{0000001A-0809-4B21-8DAA-EEE6B651EE53}"/>
              </c:ext>
            </c:extLst>
          </c:dPt>
          <c:dPt>
            <c:idx val="1"/>
            <c:invertIfNegative val="0"/>
            <c:bubble3D val="0"/>
            <c:spPr>
              <a:noFill/>
              <a:effectLst/>
              <a:scene3d>
                <a:camera prst="orthographicFront"/>
                <a:lightRig rig="threePt" dir="t"/>
              </a:scene3d>
            </c:spPr>
            <c:extLst>
              <c:ext xmlns:c16="http://schemas.microsoft.com/office/drawing/2014/chart" uri="{C3380CC4-5D6E-409C-BE32-E72D297353CC}">
                <c16:uniqueId val="{0000001C-0809-4B21-8DAA-EEE6B651EE53}"/>
              </c:ext>
            </c:extLst>
          </c:dPt>
          <c:dLbls>
            <c:dLbl>
              <c:idx val="0"/>
              <c:numFmt formatCode="0.0%" sourceLinked="0"/>
              <c:spPr/>
              <c:txPr>
                <a:bodyPr/>
                <a:lstStyle/>
                <a:p>
                  <a:pPr>
                    <a:defRPr sz="800" b="1">
                      <a:latin typeface="+mj-lt"/>
                    </a:defRPr>
                  </a:pPr>
                  <a:endParaRPr lang="pt-PT"/>
                </a:p>
              </c:txPr>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09-4B21-8DAA-EEE6B651EE53}"/>
                </c:ext>
              </c:extLst>
            </c:dLbl>
            <c:dLbl>
              <c:idx val="1"/>
              <c:tx>
                <c:rich>
                  <a:bodyPr/>
                  <a:lstStyle/>
                  <a:p>
                    <a:pPr>
                      <a:defRPr sz="800" b="1">
                        <a:solidFill>
                          <a:schemeClr val="tx1"/>
                        </a:solidFill>
                        <a:latin typeface="+mj-lt"/>
                      </a:defRPr>
                    </a:pPr>
                    <a:r>
                      <a:rPr lang="en-US" sz="800">
                        <a:solidFill>
                          <a:schemeClr val="tx1"/>
                        </a:solidFill>
                        <a:latin typeface="+mj-lt"/>
                      </a:rPr>
                      <a:t>OUTROS
</a:t>
                    </a:r>
                    <a:r>
                      <a:rPr lang="en-US" sz="800">
                        <a:solidFill>
                          <a:schemeClr val="tx1">
                            <a:lumMod val="65000"/>
                            <a:lumOff val="35000"/>
                          </a:schemeClr>
                        </a:solidFill>
                        <a:latin typeface="+mj-lt"/>
                      </a:rPr>
                      <a:t>OTHERS</a:t>
                    </a:r>
                    <a:endParaRPr lang="en-US">
                      <a:solidFill>
                        <a:schemeClr val="tx1">
                          <a:lumMod val="65000"/>
                          <a:lumOff val="35000"/>
                        </a:schemeClr>
                      </a:solidFill>
                    </a:endParaRPr>
                  </a:p>
                </c:rich>
              </c:tx>
              <c:numFmt formatCode="0.0%" sourceLinked="0"/>
              <c:spPr/>
              <c:dLblPos val="ct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0809-4B21-8DAA-EEE6B651EE53}"/>
                </c:ext>
              </c:extLst>
            </c:dLbl>
            <c:dLbl>
              <c:idx val="2"/>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09-4B21-8DAA-EEE6B651EE53}"/>
                </c:ext>
              </c:extLst>
            </c:dLbl>
            <c:dLbl>
              <c:idx val="3"/>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E-0809-4B21-8DAA-EEE6B651EE53}"/>
                </c:ext>
              </c:extLst>
            </c:dLbl>
            <c:numFmt formatCode="0.0%" sourceLinked="0"/>
            <c:spPr>
              <a:noFill/>
              <a:ln>
                <a:noFill/>
              </a:ln>
              <a:effectLst/>
            </c:spPr>
            <c:txPr>
              <a:bodyPr/>
              <a:lstStyle/>
              <a:p>
                <a:pPr>
                  <a:defRPr sz="800">
                    <a:latin typeface="+mj-lt"/>
                  </a:defRPr>
                </a:pPr>
                <a:endParaRPr lang="pt-PT"/>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[8]TABELAS!$D$28:$D$32</c:f>
              <c:strCache>
                <c:ptCount val="5"/>
                <c:pt idx="0">
                  <c:v>NOS</c:v>
                </c:pt>
                <c:pt idx="1">
                  <c:v>UCI</c:v>
                </c:pt>
                <c:pt idx="2">
                  <c:v>CINEPLACE</c:v>
                </c:pt>
                <c:pt idx="3">
                  <c:v>NLC</c:v>
                </c:pt>
                <c:pt idx="4">
                  <c:v>OUTROS
OTHERS</c:v>
                </c:pt>
              </c:strCache>
            </c:strRef>
          </c:cat>
          <c:val>
            <c:numRef>
              <c:f>TABELAS!$E$32:$F$32</c:f>
              <c:numCache>
                <c:formatCode>[$€-2]\ #,##0.00</c:formatCode>
                <c:ptCount val="2"/>
                <c:pt idx="0" formatCode="0.0%">
                  <c:v>0.10699999999999998</c:v>
                </c:pt>
                <c:pt idx="1">
                  <c:v>217603.05</c:v>
                </c:pt>
              </c:numCache>
            </c:numRef>
          </c:val>
          <c:extLst>
            <c:ext xmlns:c16="http://schemas.microsoft.com/office/drawing/2014/chart" uri="{C3380CC4-5D6E-409C-BE32-E72D297353CC}">
              <c16:uniqueId val="{0000001F-0809-4B21-8DAA-EEE6B651EE53}"/>
            </c:ext>
          </c:extLst>
        </c:ser>
        <c:dLbls>
          <c:showLegendKey val="0"/>
          <c:showVal val="0"/>
          <c:showCatName val="0"/>
          <c:showSerName val="0"/>
          <c:showPercent val="0"/>
          <c:showBubbleSize val="0"/>
        </c:dLbls>
        <c:gapWidth val="10"/>
        <c:overlap val="100"/>
        <c:axId val="114692480"/>
        <c:axId val="109107840"/>
      </c:barChart>
      <c:valAx>
        <c:axId val="109107840"/>
        <c:scaling>
          <c:orientation val="minMax"/>
        </c:scaling>
        <c:delete val="1"/>
        <c:axPos val="b"/>
        <c:numFmt formatCode="0%" sourceLinked="1"/>
        <c:majorTickMark val="out"/>
        <c:minorTickMark val="none"/>
        <c:tickLblPos val="none"/>
        <c:crossAx val="114692480"/>
        <c:crosses val="autoZero"/>
        <c:crossBetween val="between"/>
        <c:majorUnit val="1"/>
      </c:valAx>
      <c:catAx>
        <c:axId val="114692480"/>
        <c:scaling>
          <c:orientation val="minMax"/>
        </c:scaling>
        <c:delete val="1"/>
        <c:axPos val="l"/>
        <c:numFmt formatCode="General" sourceLinked="0"/>
        <c:majorTickMark val="out"/>
        <c:minorTickMark val="none"/>
        <c:tickLblPos val="none"/>
        <c:crossAx val="109107840"/>
        <c:crosses val="autoZero"/>
        <c:auto val="1"/>
        <c:lblAlgn val="ctr"/>
        <c:lblOffset val="100"/>
        <c:noMultiLvlLbl val="0"/>
      </c:catAx>
      <c:spPr>
        <a:noFill/>
        <a:ln>
          <a:noFill/>
        </a:ln>
      </c:spPr>
    </c:plotArea>
    <c:plotVisOnly val="1"/>
    <c:dispBlanksAs val="zero"/>
    <c:showDLblsOverMax val="0"/>
  </c:chart>
  <c:spPr>
    <a:noFill/>
    <a:ln>
      <a:noFill/>
    </a:ln>
  </c:spPr>
  <c:txPr>
    <a:bodyPr/>
    <a:lstStyle/>
    <a:p>
      <a:pPr>
        <a:defRPr>
          <a:solidFill>
            <a:schemeClr val="bg1"/>
          </a:solidFill>
        </a:defRPr>
      </a:pPr>
      <a:endParaRPr lang="pt-PT"/>
    </a:p>
  </c:txPr>
  <c:printSettings>
    <c:headerFooter/>
    <c:pageMargins b="0.75000000000001465" l="0.70000000000000062" r="0.70000000000000062" t="0.75000000000001465" header="0.30000000000000032" footer="0.30000000000000032"/>
    <c:pageSetup paperSize="9" orientation="landscape"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solidFill>
                  <a:schemeClr val="tx1"/>
                </a:solidFill>
              </a:defRPr>
            </a:pPr>
            <a:r>
              <a:rPr lang="en-US" sz="1200">
                <a:solidFill>
                  <a:schemeClr val="tx1"/>
                </a:solidFill>
                <a:latin typeface="+mj-lt"/>
              </a:rPr>
              <a:t>ECRÃS POR EXIBIDOR - 2022</a:t>
            </a:r>
            <a:r>
              <a:rPr lang="en-US" sz="1200">
                <a:solidFill>
                  <a:schemeClr val="tx1"/>
                </a:solidFill>
              </a:rPr>
              <a:t>
</a:t>
            </a:r>
            <a:r>
              <a:rPr lang="en-US" sz="1200" b="0">
                <a:solidFill>
                  <a:schemeClr val="tx1"/>
                </a:solidFill>
              </a:rPr>
              <a:t>SCREENS</a:t>
            </a:r>
            <a:r>
              <a:rPr lang="en-US" sz="1200" b="0" baseline="0">
                <a:solidFill>
                  <a:schemeClr val="tx1"/>
                </a:solidFill>
              </a:rPr>
              <a:t> BY EXHIBITOR</a:t>
            </a:r>
            <a:endParaRPr lang="en-US" sz="1200" b="0">
              <a:solidFill>
                <a:schemeClr val="tx1"/>
              </a:solidFill>
            </a:endParaRPr>
          </a:p>
        </c:rich>
      </c:tx>
      <c:layout>
        <c:manualLayout>
          <c:xMode val="edge"/>
          <c:yMode val="edge"/>
          <c:x val="0.30962139762667168"/>
          <c:y val="5.2145421399331281E-2"/>
        </c:manualLayout>
      </c:layout>
      <c:overlay val="1"/>
    </c:title>
    <c:autoTitleDeleted val="0"/>
    <c:plotArea>
      <c:layout>
        <c:manualLayout>
          <c:layoutTarget val="inner"/>
          <c:xMode val="edge"/>
          <c:yMode val="edge"/>
          <c:x val="3.6201394108043822E-2"/>
          <c:y val="0.35229181561638379"/>
          <c:w val="0.92866547619050943"/>
          <c:h val="0.52233948313141054"/>
        </c:manualLayout>
      </c:layout>
      <c:barChart>
        <c:barDir val="bar"/>
        <c:grouping val="percentStacked"/>
        <c:varyColors val="0"/>
        <c:ser>
          <c:idx val="0"/>
          <c:order val="0"/>
          <c:tx>
            <c:strRef>
              <c:f>TABELAS!$L$28</c:f>
              <c:strCache>
                <c:ptCount val="1"/>
                <c:pt idx="0">
                  <c:v>NOS</c:v>
                </c:pt>
              </c:strCache>
            </c:strRef>
          </c:tx>
          <c:invertIfNegative val="0"/>
          <c:dPt>
            <c:idx val="0"/>
            <c:invertIfNegative val="0"/>
            <c:bubble3D val="0"/>
            <c:spPr>
              <a:solidFill>
                <a:schemeClr val="tx1"/>
              </a:solidFill>
            </c:spPr>
            <c:extLst>
              <c:ext xmlns:c16="http://schemas.microsoft.com/office/drawing/2014/chart" uri="{C3380CC4-5D6E-409C-BE32-E72D297353CC}">
                <c16:uniqueId val="{00000001-41A0-465F-AC34-1122190A10DB}"/>
              </c:ext>
            </c:extLst>
          </c:dPt>
          <c:dPt>
            <c:idx val="1"/>
            <c:invertIfNegative val="0"/>
            <c:bubble3D val="0"/>
            <c:spPr>
              <a:noFill/>
              <a:effectLst/>
            </c:spPr>
            <c:extLst>
              <c:ext xmlns:c16="http://schemas.microsoft.com/office/drawing/2014/chart" uri="{C3380CC4-5D6E-409C-BE32-E72D297353CC}">
                <c16:uniqueId val="{00000003-41A0-465F-AC34-1122190A10DB}"/>
              </c:ext>
            </c:extLst>
          </c:dPt>
          <c:dLbls>
            <c:dLbl>
              <c:idx val="0"/>
              <c:spPr/>
              <c:txPr>
                <a:bodyPr/>
                <a:lstStyle/>
                <a:p>
                  <a:pPr>
                    <a:defRPr sz="800" b="0">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1-41A0-465F-AC34-1122190A10DB}"/>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1A0-465F-AC34-1122190A10DB}"/>
                </c:ext>
              </c:extLst>
            </c:dLbl>
            <c:dLbl>
              <c:idx val="3"/>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41A0-465F-AC34-1122190A10DB}"/>
                </c:ext>
              </c:extLst>
            </c:dLbl>
            <c:numFmt formatCode="0.0%" sourceLinked="0"/>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TABELAS!$J$27</c:f>
              <c:strCache>
                <c:ptCount val="1"/>
                <c:pt idx="0">
                  <c:v>RECINTOS | SCREENS</c:v>
                </c:pt>
              </c:strCache>
            </c:strRef>
          </c:cat>
          <c:val>
            <c:numRef>
              <c:f>TABELAS!$J$28:$K$28</c:f>
              <c:numCache>
                <c:formatCode>#,##0</c:formatCode>
                <c:ptCount val="2"/>
                <c:pt idx="0" formatCode="0.0%">
                  <c:v>0.42980000000000002</c:v>
                </c:pt>
                <c:pt idx="1">
                  <c:v>208</c:v>
                </c:pt>
              </c:numCache>
            </c:numRef>
          </c:val>
          <c:extLst>
            <c:ext xmlns:c16="http://schemas.microsoft.com/office/drawing/2014/chart" uri="{C3380CC4-5D6E-409C-BE32-E72D297353CC}">
              <c16:uniqueId val="{00000005-41A0-465F-AC34-1122190A10DB}"/>
            </c:ext>
          </c:extLst>
        </c:ser>
        <c:ser>
          <c:idx val="2"/>
          <c:order val="1"/>
          <c:tx>
            <c:strRef>
              <c:f>TABELAS!$L$29</c:f>
              <c:strCache>
                <c:ptCount val="1"/>
                <c:pt idx="0">
                  <c:v>CINEPLACE</c:v>
                </c:pt>
              </c:strCache>
            </c:strRef>
          </c:tx>
          <c:invertIfNegative val="0"/>
          <c:dPt>
            <c:idx val="0"/>
            <c:invertIfNegative val="0"/>
            <c:bubble3D val="0"/>
            <c:spPr>
              <a:solidFill>
                <a:schemeClr val="tx1">
                  <a:lumMod val="75000"/>
                  <a:lumOff val="25000"/>
                </a:schemeClr>
              </a:solidFill>
            </c:spPr>
            <c:extLst>
              <c:ext xmlns:c16="http://schemas.microsoft.com/office/drawing/2014/chart" uri="{C3380CC4-5D6E-409C-BE32-E72D297353CC}">
                <c16:uniqueId val="{00000007-41A0-465F-AC34-1122190A10DB}"/>
              </c:ext>
            </c:extLst>
          </c:dPt>
          <c:dPt>
            <c:idx val="1"/>
            <c:invertIfNegative val="0"/>
            <c:bubble3D val="0"/>
            <c:spPr>
              <a:noFill/>
              <a:effectLst/>
            </c:spPr>
            <c:extLst>
              <c:ext xmlns:c16="http://schemas.microsoft.com/office/drawing/2014/chart" uri="{C3380CC4-5D6E-409C-BE32-E72D297353CC}">
                <c16:uniqueId val="{00000009-41A0-465F-AC34-1122190A10DB}"/>
              </c:ext>
            </c:extLst>
          </c:dPt>
          <c:dLbls>
            <c:dLbl>
              <c:idx val="0"/>
              <c:spPr/>
              <c:txPr>
                <a:bodyPr/>
                <a:lstStyle/>
                <a:p>
                  <a:pPr>
                    <a:defRPr sz="800" b="0">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7-41A0-465F-AC34-1122190A10DB}"/>
                </c:ext>
              </c:extLst>
            </c:dLbl>
            <c:dLbl>
              <c:idx val="1"/>
              <c:layout>
                <c:manualLayout>
                  <c:x val="-3.7161693814936865E-3"/>
                  <c:y val="1.4329615504751314E-4"/>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1A0-465F-AC34-1122190A10DB}"/>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41A0-465F-AC34-1122190A10DB}"/>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TABELAS!$J$27</c:f>
              <c:strCache>
                <c:ptCount val="1"/>
                <c:pt idx="0">
                  <c:v>RECINTOS | SCREENS</c:v>
                </c:pt>
              </c:strCache>
            </c:strRef>
          </c:cat>
          <c:val>
            <c:numRef>
              <c:f>TABELAS!$J$29:$K$29</c:f>
              <c:numCache>
                <c:formatCode>#,##0</c:formatCode>
                <c:ptCount val="2"/>
                <c:pt idx="0" formatCode="0.0%">
                  <c:v>0.15880000000000002</c:v>
                </c:pt>
                <c:pt idx="1">
                  <c:v>77</c:v>
                </c:pt>
              </c:numCache>
            </c:numRef>
          </c:val>
          <c:extLst>
            <c:ext xmlns:c16="http://schemas.microsoft.com/office/drawing/2014/chart" uri="{C3380CC4-5D6E-409C-BE32-E72D297353CC}">
              <c16:uniqueId val="{0000000B-41A0-465F-AC34-1122190A10DB}"/>
            </c:ext>
          </c:extLst>
        </c:ser>
        <c:ser>
          <c:idx val="1"/>
          <c:order val="2"/>
          <c:tx>
            <c:strRef>
              <c:f>TABELAS!$L$30</c:f>
              <c:strCache>
                <c:ptCount val="1"/>
                <c:pt idx="0">
                  <c:v>NLC</c:v>
                </c:pt>
              </c:strCache>
            </c:strRef>
          </c:tx>
          <c:invertIfNegative val="0"/>
          <c:dPt>
            <c:idx val="0"/>
            <c:invertIfNegative val="0"/>
            <c:bubble3D val="0"/>
            <c:spPr>
              <a:solidFill>
                <a:schemeClr val="tx1">
                  <a:lumMod val="50000"/>
                  <a:lumOff val="50000"/>
                </a:schemeClr>
              </a:solidFill>
            </c:spPr>
            <c:extLst>
              <c:ext xmlns:c16="http://schemas.microsoft.com/office/drawing/2014/chart" uri="{C3380CC4-5D6E-409C-BE32-E72D297353CC}">
                <c16:uniqueId val="{0000000D-41A0-465F-AC34-1122190A10DB}"/>
              </c:ext>
            </c:extLst>
          </c:dPt>
          <c:dPt>
            <c:idx val="1"/>
            <c:invertIfNegative val="0"/>
            <c:bubble3D val="0"/>
            <c:spPr>
              <a:noFill/>
              <a:effectLst/>
            </c:spPr>
            <c:extLst>
              <c:ext xmlns:c16="http://schemas.microsoft.com/office/drawing/2014/chart" uri="{C3380CC4-5D6E-409C-BE32-E72D297353CC}">
                <c16:uniqueId val="{0000000F-41A0-465F-AC34-1122190A10DB}"/>
              </c:ext>
            </c:extLst>
          </c:dPt>
          <c:dLbls>
            <c:dLbl>
              <c:idx val="0"/>
              <c:spPr/>
              <c:txPr>
                <a:bodyPr/>
                <a:lstStyle/>
                <a:p>
                  <a:pPr>
                    <a:defRPr sz="800" b="0">
                      <a:solidFill>
                        <a:schemeClr val="bg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0D-41A0-465F-AC34-1122190A10DB}"/>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41A0-465F-AC34-1122190A10DB}"/>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41A0-465F-AC34-1122190A10DB}"/>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TABELAS!$J$27</c:f>
              <c:strCache>
                <c:ptCount val="1"/>
                <c:pt idx="0">
                  <c:v>RECINTOS | SCREENS</c:v>
                </c:pt>
              </c:strCache>
            </c:strRef>
          </c:cat>
          <c:val>
            <c:numRef>
              <c:f>TABELAS!$J$30:$K$30</c:f>
              <c:numCache>
                <c:formatCode>#,##0</c:formatCode>
                <c:ptCount val="2"/>
                <c:pt idx="0" formatCode="0.0%">
                  <c:v>8.6800000000000016E-2</c:v>
                </c:pt>
                <c:pt idx="1">
                  <c:v>42</c:v>
                </c:pt>
              </c:numCache>
            </c:numRef>
          </c:val>
          <c:extLst>
            <c:ext xmlns:c16="http://schemas.microsoft.com/office/drawing/2014/chart" uri="{C3380CC4-5D6E-409C-BE32-E72D297353CC}">
              <c16:uniqueId val="{00000011-41A0-465F-AC34-1122190A10DB}"/>
            </c:ext>
          </c:extLst>
        </c:ser>
        <c:ser>
          <c:idx val="3"/>
          <c:order val="3"/>
          <c:tx>
            <c:strRef>
              <c:f>TABELAS!$L$31</c:f>
              <c:strCache>
                <c:ptCount val="1"/>
                <c:pt idx="0">
                  <c:v>UCI</c:v>
                </c:pt>
              </c:strCache>
            </c:strRef>
          </c:tx>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13-41A0-465F-AC34-1122190A10DB}"/>
              </c:ext>
            </c:extLst>
          </c:dPt>
          <c:dPt>
            <c:idx val="1"/>
            <c:invertIfNegative val="0"/>
            <c:bubble3D val="0"/>
            <c:spPr>
              <a:noFill/>
              <a:effectLst/>
            </c:spPr>
            <c:extLst>
              <c:ext xmlns:c16="http://schemas.microsoft.com/office/drawing/2014/chart" uri="{C3380CC4-5D6E-409C-BE32-E72D297353CC}">
                <c16:uniqueId val="{00000015-41A0-465F-AC34-1122190A10DB}"/>
              </c:ext>
            </c:extLst>
          </c:dPt>
          <c:dLbls>
            <c:dLbl>
              <c:idx val="0"/>
              <c:spPr/>
              <c:txPr>
                <a:bodyPr/>
                <a:lstStyle/>
                <a:p>
                  <a:pPr>
                    <a:defRPr sz="800" b="0">
                      <a:solidFill>
                        <a:schemeClr val="tx1"/>
                      </a:solidFill>
                      <a:latin typeface="+mj-lt"/>
                    </a:defRPr>
                  </a:pPr>
                  <a:endParaRPr lang="pt-PT"/>
                </a:p>
              </c:txPr>
              <c:showLegendKey val="0"/>
              <c:showVal val="1"/>
              <c:showCatName val="0"/>
              <c:showSerName val="0"/>
              <c:showPercent val="0"/>
              <c:showBubbleSize val="0"/>
              <c:extLst>
                <c:ext xmlns:c16="http://schemas.microsoft.com/office/drawing/2014/chart" uri="{C3380CC4-5D6E-409C-BE32-E72D297353CC}">
                  <c16:uniqueId val="{00000013-41A0-465F-AC34-1122190A10DB}"/>
                </c:ext>
              </c:extLst>
            </c:dLbl>
            <c:dLbl>
              <c:idx val="1"/>
              <c:dLblPos val="inBase"/>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41A0-465F-AC34-1122190A10DB}"/>
                </c:ext>
              </c:extLst>
            </c:dLbl>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41A0-465F-AC34-1122190A10DB}"/>
                </c:ext>
              </c:extLst>
            </c:dLbl>
            <c:spPr>
              <a:noFill/>
              <a:ln>
                <a:noFill/>
              </a:ln>
              <a:effectLst/>
            </c:spPr>
            <c:txPr>
              <a:bodyPr/>
              <a:lstStyle/>
              <a:p>
                <a:pPr>
                  <a:defRPr sz="800" b="0">
                    <a:latin typeface="+mj-lt"/>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TABELAS!$J$27</c:f>
              <c:strCache>
                <c:ptCount val="1"/>
                <c:pt idx="0">
                  <c:v>RECINTOS | SCREENS</c:v>
                </c:pt>
              </c:strCache>
            </c:strRef>
          </c:cat>
          <c:val>
            <c:numRef>
              <c:f>TABELAS!$J$31:$K$31</c:f>
              <c:numCache>
                <c:formatCode>#,##0</c:formatCode>
                <c:ptCount val="2"/>
                <c:pt idx="0" formatCode="0.0%">
                  <c:v>8.8800000000000018E-2</c:v>
                </c:pt>
                <c:pt idx="1">
                  <c:v>43</c:v>
                </c:pt>
              </c:numCache>
            </c:numRef>
          </c:val>
          <c:extLst>
            <c:ext xmlns:c16="http://schemas.microsoft.com/office/drawing/2014/chart" uri="{C3380CC4-5D6E-409C-BE32-E72D297353CC}">
              <c16:uniqueId val="{00000017-41A0-465F-AC34-1122190A10DB}"/>
            </c:ext>
          </c:extLst>
        </c:ser>
        <c:ser>
          <c:idx val="5"/>
          <c:order val="4"/>
          <c:tx>
            <c:strRef>
              <c:f>TABELAS!$L$32</c:f>
              <c:strCache>
                <c:ptCount val="1"/>
                <c:pt idx="0">
                  <c:v>OUTROS
OTHERS</c:v>
                </c:pt>
              </c:strCache>
            </c:strRef>
          </c:tx>
          <c:invertIfNegative val="0"/>
          <c:dPt>
            <c:idx val="0"/>
            <c:invertIfNegative val="0"/>
            <c:bubble3D val="0"/>
            <c:spPr>
              <a:solidFill>
                <a:schemeClr val="tx1"/>
              </a:solidFill>
            </c:spPr>
            <c:extLst>
              <c:ext xmlns:c16="http://schemas.microsoft.com/office/drawing/2014/chart" uri="{C3380CC4-5D6E-409C-BE32-E72D297353CC}">
                <c16:uniqueId val="{00000019-41A0-465F-AC34-1122190A10DB}"/>
              </c:ext>
            </c:extLst>
          </c:dPt>
          <c:dPt>
            <c:idx val="1"/>
            <c:invertIfNegative val="0"/>
            <c:bubble3D val="0"/>
            <c:spPr>
              <a:noFill/>
              <a:ln>
                <a:noFill/>
              </a:ln>
              <a:effectLst/>
            </c:spPr>
            <c:extLst>
              <c:ext xmlns:c16="http://schemas.microsoft.com/office/drawing/2014/chart" uri="{C3380CC4-5D6E-409C-BE32-E72D297353CC}">
                <c16:uniqueId val="{0000001B-41A0-465F-AC34-1122190A10DB}"/>
              </c:ext>
            </c:extLst>
          </c:dPt>
          <c:dLbls>
            <c:dLbl>
              <c:idx val="0"/>
              <c:spPr/>
              <c:txPr>
                <a:bodyPr/>
                <a:lstStyle/>
                <a:p>
                  <a:pPr>
                    <a:defRPr sz="800" b="1">
                      <a:solidFill>
                        <a:schemeClr val="bg1"/>
                      </a:solidFill>
                      <a:latin typeface="+mj-lt"/>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1A0-465F-AC34-1122190A10DB}"/>
                </c:ext>
              </c:extLst>
            </c:dLbl>
            <c:dLbl>
              <c:idx val="1"/>
              <c:layout>
                <c:manualLayout>
                  <c:x val="1.5684729526410708E-2"/>
                  <c:y val="0"/>
                </c:manualLayout>
              </c:layout>
              <c:tx>
                <c:rich>
                  <a:bodyPr/>
                  <a:lstStyle/>
                  <a:p>
                    <a:pPr>
                      <a:defRPr sz="800" b="1">
                        <a:solidFill>
                          <a:sysClr val="windowText" lastClr="000000"/>
                        </a:solidFill>
                        <a:latin typeface="+mj-lt"/>
                      </a:defRPr>
                    </a:pPr>
                    <a:r>
                      <a:rPr lang="en-US"/>
                      <a:t>OUTROS
</a:t>
                    </a:r>
                    <a:r>
                      <a:rPr lang="en-US">
                        <a:solidFill>
                          <a:schemeClr val="tx1">
                            <a:lumMod val="65000"/>
                            <a:lumOff val="35000"/>
                          </a:schemeClr>
                        </a:solidFill>
                      </a:rPr>
                      <a:t>OTHERS</a:t>
                    </a:r>
                  </a:p>
                </c:rich>
              </c:tx>
              <c:spPr>
                <a:ln>
                  <a:noFill/>
                </a:ln>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41A0-465F-AC34-1122190A10DB}"/>
                </c:ext>
              </c:extLst>
            </c:dLbl>
            <c:spPr>
              <a:noFill/>
              <a:ln>
                <a:noFill/>
              </a:ln>
              <a:effectLst/>
            </c:spPr>
            <c:txPr>
              <a:bodyPr/>
              <a:lstStyle/>
              <a:p>
                <a:pPr>
                  <a:defRPr sz="800">
                    <a:solidFill>
                      <a:schemeClr val="bg1"/>
                    </a:solidFill>
                    <a:latin typeface="+mj-lt"/>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TABELAS!$J$27</c:f>
              <c:strCache>
                <c:ptCount val="1"/>
                <c:pt idx="0">
                  <c:v>RECINTOS | SCREENS</c:v>
                </c:pt>
              </c:strCache>
            </c:strRef>
          </c:cat>
          <c:val>
            <c:numRef>
              <c:f>TABELAS!$J$32:$K$32</c:f>
              <c:numCache>
                <c:formatCode>#,##0</c:formatCode>
                <c:ptCount val="2"/>
                <c:pt idx="0" formatCode="0.0%">
                  <c:v>0.23500000000000007</c:v>
                </c:pt>
                <c:pt idx="1">
                  <c:v>114</c:v>
                </c:pt>
              </c:numCache>
            </c:numRef>
          </c:val>
          <c:extLst>
            <c:ext xmlns:c16="http://schemas.microsoft.com/office/drawing/2014/chart" uri="{C3380CC4-5D6E-409C-BE32-E72D297353CC}">
              <c16:uniqueId val="{0000001C-41A0-465F-AC34-1122190A10DB}"/>
            </c:ext>
          </c:extLst>
        </c:ser>
        <c:dLbls>
          <c:showLegendKey val="0"/>
          <c:showVal val="0"/>
          <c:showCatName val="0"/>
          <c:showSerName val="0"/>
          <c:showPercent val="0"/>
          <c:showBubbleSize val="0"/>
        </c:dLbls>
        <c:gapWidth val="10"/>
        <c:overlap val="100"/>
        <c:axId val="125601280"/>
        <c:axId val="125599744"/>
      </c:barChart>
      <c:valAx>
        <c:axId val="125599744"/>
        <c:scaling>
          <c:orientation val="minMax"/>
        </c:scaling>
        <c:delete val="1"/>
        <c:axPos val="b"/>
        <c:numFmt formatCode="0%" sourceLinked="1"/>
        <c:majorTickMark val="out"/>
        <c:minorTickMark val="none"/>
        <c:tickLblPos val="none"/>
        <c:crossAx val="125601280"/>
        <c:crosses val="autoZero"/>
        <c:crossBetween val="between"/>
        <c:majorUnit val="1"/>
      </c:valAx>
      <c:catAx>
        <c:axId val="125601280"/>
        <c:scaling>
          <c:orientation val="minMax"/>
        </c:scaling>
        <c:delete val="1"/>
        <c:axPos val="l"/>
        <c:numFmt formatCode="General" sourceLinked="0"/>
        <c:majorTickMark val="out"/>
        <c:minorTickMark val="none"/>
        <c:tickLblPos val="none"/>
        <c:crossAx val="125599744"/>
        <c:crosses val="autoZero"/>
        <c:auto val="1"/>
        <c:lblAlgn val="ctr"/>
        <c:lblOffset val="100"/>
        <c:noMultiLvlLbl val="0"/>
      </c:catAx>
      <c:spPr>
        <a:noFill/>
        <a:ln>
          <a:noFill/>
        </a:ln>
      </c:spPr>
    </c:plotArea>
    <c:plotVisOnly val="1"/>
    <c:dispBlanksAs val="zero"/>
    <c:showDLblsOverMax val="0"/>
  </c:chart>
  <c:spPr>
    <a:noFill/>
    <a:ln>
      <a:noFill/>
    </a:ln>
  </c:spPr>
  <c:txPr>
    <a:bodyPr/>
    <a:lstStyle/>
    <a:p>
      <a:pPr>
        <a:defRPr>
          <a:solidFill>
            <a:schemeClr val="tx1"/>
          </a:solidFill>
        </a:defRPr>
      </a:pPr>
      <a:endParaRPr lang="pt-PT"/>
    </a:p>
  </c:txPr>
  <c:printSettings>
    <c:headerFooter/>
    <c:pageMargins b="0.75000000000001465" l="0.70000000000000062" r="0.70000000000000062" t="0.75000000000001465" header="0.30000000000000032" footer="0.30000000000000032"/>
    <c:pageSetup paperSize="9"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3309472679551E-2"/>
          <c:y val="0.13958810068649885"/>
          <c:w val="0.89267839952607864"/>
          <c:h val="0.74501888486995893"/>
        </c:manualLayout>
      </c:layout>
      <c:lineChart>
        <c:grouping val="standard"/>
        <c:varyColors val="0"/>
        <c:ser>
          <c:idx val="0"/>
          <c:order val="0"/>
          <c:tx>
            <c:strRef>
              <c:f>'16-...'!$G$2:$Q$2</c:f>
              <c:strCache>
                <c:ptCount val="11"/>
                <c:pt idx="0">
                  <c:v>OBRAS CINEMATOGRÁFICAS PRODUZIDAS - 2013/2022
DOMESTIC FILMS PRODUCED - 2013/2022</c:v>
                </c:pt>
              </c:strCache>
            </c:strRef>
          </c:tx>
          <c:spPr>
            <a:ln w="19050">
              <a:solidFill>
                <a:schemeClr val="tx1"/>
              </a:solidFill>
            </a:ln>
          </c:spPr>
          <c:marker>
            <c:symbol val="circle"/>
            <c:size val="5"/>
            <c:spPr>
              <a:solidFill>
                <a:schemeClr val="bg1"/>
              </a:solidFill>
              <a:ln w="12700">
                <a:solidFill>
                  <a:schemeClr val="tx1"/>
                </a:solidFill>
              </a:ln>
            </c:spPr>
          </c:marker>
          <c:dLbls>
            <c:dLbl>
              <c:idx val="9"/>
              <c:layout>
                <c:manualLayout>
                  <c:x val="-2.5272951185792394E-2"/>
                  <c:y val="-7.8511785234563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B2-457A-91F7-7F07A068BF5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'16-...'!$H$4:$Q$4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'16-...'!$H$14:$Q$14</c:f>
              <c:numCache>
                <c:formatCode>General</c:formatCode>
                <c:ptCount val="10"/>
                <c:pt idx="0">
                  <c:v>0</c:v>
                </c:pt>
                <c:pt idx="1">
                  <c:v>0</c:v>
                </c:pt>
                <c:pt idx="2">
                  <c:v>2</c:v>
                </c:pt>
                <c:pt idx="3">
                  <c:v>2</c:v>
                </c:pt>
                <c:pt idx="4">
                  <c:v>2</c:v>
                </c:pt>
                <c:pt idx="5">
                  <c:v>5</c:v>
                </c:pt>
                <c:pt idx="6">
                  <c:v>5</c:v>
                </c:pt>
                <c:pt idx="7">
                  <c:v>4</c:v>
                </c:pt>
                <c:pt idx="8">
                  <c:v>15</c:v>
                </c:pt>
                <c:pt idx="9">
                  <c:v>4</c:v>
                </c:pt>
              </c:numCache>
            </c:numRef>
          </c:val>
          <c:smooth val="0"/>
          <c:extLst>
            <c:ext xmlns:c16="http://schemas.microsoft.com/office/drawing/2014/chart" uri="{C3380CC4-5D6E-409C-BE32-E72D297353CC}">
              <c16:uniqueId val="{00000001-80B2-457A-91F7-7F07A068BF58}"/>
            </c:ext>
          </c:extLst>
        </c:ser>
        <c:dLbls>
          <c:showLegendKey val="0"/>
          <c:showVal val="0"/>
          <c:showCatName val="0"/>
          <c:showSerName val="0"/>
          <c:showPercent val="0"/>
          <c:showBubbleSize val="0"/>
        </c:dLbls>
        <c:marker val="1"/>
        <c:smooth val="0"/>
        <c:axId val="107122048"/>
        <c:axId val="107148416"/>
      </c:lineChart>
      <c:catAx>
        <c:axId val="107122048"/>
        <c:scaling>
          <c:orientation val="minMax"/>
        </c:scaling>
        <c:delete val="0"/>
        <c:axPos val="b"/>
        <c:numFmt formatCode="@" sourceLinked="0"/>
        <c:majorTickMark val="cross"/>
        <c:minorTickMark val="none"/>
        <c:tickLblPos val="nextTo"/>
        <c:spPr>
          <a:noFill/>
        </c:spPr>
        <c:txPr>
          <a:bodyPr rot="0" vert="horz"/>
          <a:lstStyle/>
          <a:p>
            <a:pPr>
              <a:defRPr/>
            </a:pPr>
            <a:endParaRPr lang="pt-PT"/>
          </a:p>
        </c:txPr>
        <c:crossAx val="107148416"/>
        <c:crosses val="autoZero"/>
        <c:auto val="1"/>
        <c:lblAlgn val="ctr"/>
        <c:lblOffset val="100"/>
        <c:noMultiLvlLbl val="0"/>
      </c:catAx>
      <c:valAx>
        <c:axId val="107148416"/>
        <c:scaling>
          <c:orientation val="minMax"/>
        </c:scaling>
        <c:delete val="0"/>
        <c:axPos val="l"/>
        <c:majorGridlines>
          <c:spPr>
            <a:ln>
              <a:solidFill>
                <a:schemeClr val="tx1">
                  <a:lumMod val="50000"/>
                  <a:lumOff val="50000"/>
                </a:schemeClr>
              </a:solidFill>
            </a:ln>
          </c:spPr>
        </c:majorGridlines>
        <c:numFmt formatCode="General" sourceLinked="0"/>
        <c:majorTickMark val="cross"/>
        <c:minorTickMark val="none"/>
        <c:tickLblPos val="nextTo"/>
        <c:spPr>
          <a:ln>
            <a:solidFill>
              <a:schemeClr val="tx1">
                <a:lumMod val="50000"/>
                <a:lumOff val="50000"/>
              </a:schemeClr>
            </a:solidFill>
          </a:ln>
        </c:spPr>
        <c:txPr>
          <a:bodyPr rot="0" vert="horz"/>
          <a:lstStyle/>
          <a:p>
            <a:pPr>
              <a:defRPr/>
            </a:pPr>
            <a:endParaRPr lang="pt-PT"/>
          </a:p>
        </c:txPr>
        <c:crossAx val="107122048"/>
        <c:crosses val="autoZero"/>
        <c:crossBetween val="between"/>
      </c:valAx>
      <c:spPr>
        <a:solidFill>
          <a:schemeClr val="bg1">
            <a:lumMod val="95000"/>
          </a:schemeClr>
        </a:solidFill>
        <a:ln>
          <a:noFill/>
        </a:ln>
      </c:spPr>
    </c:plotArea>
    <c:plotVisOnly val="1"/>
    <c:dispBlanksAs val="gap"/>
    <c:showDLblsOverMax val="0"/>
  </c:chart>
  <c:spPr>
    <a:noFill/>
    <a:ln>
      <a:noFill/>
    </a:ln>
  </c:spPr>
  <c:txPr>
    <a:bodyPr/>
    <a:lstStyle/>
    <a:p>
      <a:pPr>
        <a:defRPr b="0" baseline="0">
          <a:solidFill>
            <a:schemeClr val="tx1"/>
          </a:solidFill>
        </a:defRPr>
      </a:pPr>
      <a:endParaRPr lang="pt-PT"/>
    </a:p>
  </c:txPr>
  <c:printSettings>
    <c:headerFooter/>
    <c:pageMargins b="0.39370078740157488" l="0.19685039370078738" r="0.19685039370078738" t="0.78740157480314954"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hyperlink" Target="#MENU!C5"/><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hyperlink" Target="#MENU!C5"/><Relationship Id="rId2" Type="http://schemas.openxmlformats.org/officeDocument/2006/relationships/hyperlink" Target="#NEWSLETTER!D2"/><Relationship Id="rId1" Type="http://schemas.openxmlformats.org/officeDocument/2006/relationships/hyperlink" Target="#NEWSLETTER!J1"/><Relationship Id="rId6" Type="http://schemas.openxmlformats.org/officeDocument/2006/relationships/hyperlink" Target="#NEWSLETTER!D1"/><Relationship Id="rId5" Type="http://schemas.openxmlformats.org/officeDocument/2006/relationships/chart" Target="../charts/chart14.xml"/><Relationship Id="rId4"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3034152</xdr:colOff>
      <xdr:row>22</xdr:row>
      <xdr:rowOff>1714499</xdr:rowOff>
    </xdr:from>
    <xdr:to>
      <xdr:col>0</xdr:col>
      <xdr:colOff>4043802</xdr:colOff>
      <xdr:row>23</xdr:row>
      <xdr:rowOff>41562</xdr:rowOff>
    </xdr:to>
    <xdr:pic>
      <xdr:nvPicPr>
        <xdr:cNvPr id="2" name="Imagem 1" descr="ICA Fundo Pret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034152" y="5143499"/>
          <a:ext cx="1009650" cy="69965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4082326</xdr:colOff>
      <xdr:row>0</xdr:row>
      <xdr:rowOff>236765</xdr:rowOff>
    </xdr:from>
    <xdr:to>
      <xdr:col>2</xdr:col>
      <xdr:colOff>5381625</xdr:colOff>
      <xdr:row>3</xdr:row>
      <xdr:rowOff>390341</xdr:rowOff>
    </xdr:to>
    <xdr:pic>
      <xdr:nvPicPr>
        <xdr:cNvPr id="587787" name="Imagem 1" descr="ICA Fundo Preto.png">
          <a:extLst>
            <a:ext uri="{FF2B5EF4-FFF2-40B4-BE49-F238E27FC236}">
              <a16:creationId xmlns:a16="http://schemas.microsoft.com/office/drawing/2014/main" id="{00000000-0008-0000-0100-00000BF80800}"/>
            </a:ext>
          </a:extLst>
        </xdr:cNvPr>
        <xdr:cNvPicPr>
          <a:picLocks noChangeAspect="1"/>
        </xdr:cNvPicPr>
      </xdr:nvPicPr>
      <xdr:blipFill>
        <a:blip xmlns:r="http://schemas.openxmlformats.org/officeDocument/2006/relationships" r:embed="rId1" cstate="print"/>
        <a:srcRect/>
        <a:stretch>
          <a:fillRect/>
        </a:stretch>
      </xdr:blipFill>
      <xdr:spPr bwMode="auto">
        <a:xfrm>
          <a:off x="5463451" y="236765"/>
          <a:ext cx="1299299" cy="95367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171452</xdr:colOff>
      <xdr:row>20</xdr:row>
      <xdr:rowOff>56491</xdr:rowOff>
    </xdr:from>
    <xdr:to>
      <xdr:col>12</xdr:col>
      <xdr:colOff>15737</xdr:colOff>
      <xdr:row>33</xdr:row>
      <xdr:rowOff>47306</xdr:rowOff>
    </xdr:to>
    <xdr:graphicFrame macro="">
      <xdr:nvGraphicFramePr>
        <xdr:cNvPr id="3" name="Gráfico 4">
          <a:extLst>
            <a:ext uri="{FF2B5EF4-FFF2-40B4-BE49-F238E27FC236}">
              <a16:creationId xmlns:a16="http://schemas.microsoft.com/office/drawing/2014/main" id="{00000000-0008-0000-05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524629</xdr:colOff>
      <xdr:row>21</xdr:row>
      <xdr:rowOff>157228</xdr:rowOff>
    </xdr:from>
    <xdr:to>
      <xdr:col>7</xdr:col>
      <xdr:colOff>378604</xdr:colOff>
      <xdr:row>28</xdr:row>
      <xdr:rowOff>2353</xdr:rowOff>
    </xdr:to>
    <xdr:graphicFrame macro="">
      <xdr:nvGraphicFramePr>
        <xdr:cNvPr id="4" name="Gráfico 4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1270302</xdr:colOff>
      <xdr:row>21</xdr:row>
      <xdr:rowOff>157238</xdr:rowOff>
    </xdr:from>
    <xdr:to>
      <xdr:col>15</xdr:col>
      <xdr:colOff>421677</xdr:colOff>
      <xdr:row>27</xdr:row>
      <xdr:rowOff>168488</xdr:rowOff>
    </xdr:to>
    <xdr:graphicFrame macro="">
      <xdr:nvGraphicFramePr>
        <xdr:cNvPr id="7" name="Gráfico 4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323111</xdr:colOff>
      <xdr:row>19</xdr:row>
      <xdr:rowOff>39498</xdr:rowOff>
    </xdr:from>
    <xdr:to>
      <xdr:col>4</xdr:col>
      <xdr:colOff>999686</xdr:colOff>
      <xdr:row>28</xdr:row>
      <xdr:rowOff>22173</xdr:rowOff>
    </xdr:to>
    <xdr:graphicFrame macro="">
      <xdr:nvGraphicFramePr>
        <xdr:cNvPr id="45" name="Gráfico 44">
          <a:extLst>
            <a:ext uri="{FF2B5EF4-FFF2-40B4-BE49-F238E27FC236}">
              <a16:creationId xmlns:a16="http://schemas.microsoft.com/office/drawing/2014/main" id="{00000000-0008-0000-0700-00002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660046</xdr:colOff>
      <xdr:row>19</xdr:row>
      <xdr:rowOff>13984</xdr:rowOff>
    </xdr:from>
    <xdr:to>
      <xdr:col>13</xdr:col>
      <xdr:colOff>88846</xdr:colOff>
      <xdr:row>27</xdr:row>
      <xdr:rowOff>158244</xdr:rowOff>
    </xdr:to>
    <xdr:graphicFrame macro="">
      <xdr:nvGraphicFramePr>
        <xdr:cNvPr id="49" name="Gráfico 48">
          <a:extLst>
            <a:ext uri="{FF2B5EF4-FFF2-40B4-BE49-F238E27FC236}">
              <a16:creationId xmlns:a16="http://schemas.microsoft.com/office/drawing/2014/main" id="{00000000-0008-0000-07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8</xdr:col>
      <xdr:colOff>398936</xdr:colOff>
      <xdr:row>28</xdr:row>
      <xdr:rowOff>2124</xdr:rowOff>
    </xdr:from>
    <xdr:to>
      <xdr:col>14</xdr:col>
      <xdr:colOff>17319</xdr:colOff>
      <xdr:row>36</xdr:row>
      <xdr:rowOff>134478</xdr:rowOff>
    </xdr:to>
    <xdr:graphicFrame macro="">
      <xdr:nvGraphicFramePr>
        <xdr:cNvPr id="2" name="Gráfico 41">
          <a:extLst>
            <a:ext uri="{FF2B5EF4-FFF2-40B4-BE49-F238E27FC236}">
              <a16:creationId xmlns:a16="http://schemas.microsoft.com/office/drawing/2014/main" id="{00000000-0008-0000-08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571501</xdr:colOff>
      <xdr:row>28</xdr:row>
      <xdr:rowOff>13051</xdr:rowOff>
    </xdr:from>
    <xdr:to>
      <xdr:col>4</xdr:col>
      <xdr:colOff>413572</xdr:colOff>
      <xdr:row>36</xdr:row>
      <xdr:rowOff>149132</xdr:rowOff>
    </xdr:to>
    <xdr:graphicFrame macro="">
      <xdr:nvGraphicFramePr>
        <xdr:cNvPr id="3" name="Gráfico 41">
          <a:extLst>
            <a:ext uri="{FF2B5EF4-FFF2-40B4-BE49-F238E27FC236}">
              <a16:creationId xmlns:a16="http://schemas.microsoft.com/office/drawing/2014/main" id="{00000000-0008-0000-08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17</xdr:col>
      <xdr:colOff>406852</xdr:colOff>
      <xdr:row>28</xdr:row>
      <xdr:rowOff>65077</xdr:rowOff>
    </xdr:from>
    <xdr:to>
      <xdr:col>21</xdr:col>
      <xdr:colOff>58424</xdr:colOff>
      <xdr:row>37</xdr:row>
      <xdr:rowOff>39233</xdr:rowOff>
    </xdr:to>
    <xdr:graphicFrame macro="">
      <xdr:nvGraphicFramePr>
        <xdr:cNvPr id="5" name="Gráfico 41">
          <a:extLst>
            <a:ext uri="{FF2B5EF4-FFF2-40B4-BE49-F238E27FC236}">
              <a16:creationId xmlns:a16="http://schemas.microsoft.com/office/drawing/2014/main" id="{00000000-0008-0000-08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6</xdr:col>
      <xdr:colOff>258536</xdr:colOff>
      <xdr:row>27</xdr:row>
      <xdr:rowOff>92528</xdr:rowOff>
    </xdr:from>
    <xdr:to>
      <xdr:col>16</xdr:col>
      <xdr:colOff>73090</xdr:colOff>
      <xdr:row>40</xdr:row>
      <xdr:rowOff>83188</xdr:rowOff>
    </xdr:to>
    <xdr:graphicFrame macro="">
      <xdr:nvGraphicFramePr>
        <xdr:cNvPr id="2" name="Gráfico 3">
          <a:extLst>
            <a:ext uri="{FF2B5EF4-FFF2-40B4-BE49-F238E27FC236}">
              <a16:creationId xmlns:a16="http://schemas.microsoft.com/office/drawing/2014/main" id="{99C6766C-2B55-4C99-8DAC-0DC5F92C81D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504825</xdr:colOff>
      <xdr:row>4</xdr:row>
      <xdr:rowOff>28575</xdr:rowOff>
    </xdr:from>
    <xdr:to>
      <xdr:col>4</xdr:col>
      <xdr:colOff>752572</xdr:colOff>
      <xdr:row>11</xdr:row>
      <xdr:rowOff>219418</xdr:rowOff>
    </xdr:to>
    <xdr:graphicFrame macro="">
      <xdr:nvGraphicFramePr>
        <xdr:cNvPr id="6" name="Gráfico 5">
          <a:extLst>
            <a:ext uri="{FF2B5EF4-FFF2-40B4-BE49-F238E27FC236}">
              <a16:creationId xmlns:a16="http://schemas.microsoft.com/office/drawing/2014/main" id="{00000000-0008-0000-0B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1445559</xdr:colOff>
      <xdr:row>4</xdr:row>
      <xdr:rowOff>22412</xdr:rowOff>
    </xdr:from>
    <xdr:to>
      <xdr:col>8</xdr:col>
      <xdr:colOff>1004923</xdr:colOff>
      <xdr:row>9</xdr:row>
      <xdr:rowOff>261179</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0</xdr:colOff>
      <xdr:row>2</xdr:row>
      <xdr:rowOff>0</xdr:rowOff>
    </xdr:from>
    <xdr:to>
      <xdr:col>12</xdr:col>
      <xdr:colOff>403513</xdr:colOff>
      <xdr:row>3</xdr:row>
      <xdr:rowOff>103044</xdr:rowOff>
    </xdr:to>
    <xdr:sp macro="" textlink="">
      <xdr:nvSpPr>
        <xdr:cNvPr id="4" name="Rectângulo arredondado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8409227" y="727364"/>
          <a:ext cx="1009650" cy="466725"/>
        </a:xfrm>
        <a:prstGeom prst="roundRect">
          <a:avLst/>
        </a:prstGeom>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pt-PT" sz="1800">
              <a:solidFill>
                <a:schemeClr val="bg2"/>
              </a:solidFill>
            </a:rPr>
            <a:t>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0</xdr:col>
      <xdr:colOff>72961</xdr:colOff>
      <xdr:row>2</xdr:row>
      <xdr:rowOff>94397</xdr:rowOff>
    </xdr:from>
    <xdr:to>
      <xdr:col>1</xdr:col>
      <xdr:colOff>121314</xdr:colOff>
      <xdr:row>2</xdr:row>
      <xdr:rowOff>281528</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a:spLocks noChangeAspect="1"/>
        </xdr:cNvSpPr>
      </xdr:nvSpPr>
      <xdr:spPr>
        <a:xfrm>
          <a:off x="72961" y="627797"/>
          <a:ext cx="896078" cy="187131"/>
        </a:xfrm>
        <a:prstGeom prst="rect">
          <a:avLst/>
        </a:prstGeom>
        <a:solidFill>
          <a:schemeClr val="accent2">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wrap="square" lIns="36000" tIns="36000" rIns="36000" bIns="36000" rtlCol="0" anchor="ctr"/>
        <a:lstStyle/>
        <a:p>
          <a:pPr algn="ctr"/>
          <a:r>
            <a:rPr lang="pt-PT" sz="1100" b="1"/>
            <a:t>SITUAÇÃO</a:t>
          </a:r>
        </a:p>
      </xdr:txBody>
    </xdr:sp>
    <xdr:clientData fPrintsWithSheet="0"/>
  </xdr:twoCellAnchor>
  <xdr:twoCellAnchor editAs="absolute">
    <xdr:from>
      <xdr:col>0</xdr:col>
      <xdr:colOff>72960</xdr:colOff>
      <xdr:row>0</xdr:row>
      <xdr:rowOff>72877</xdr:rowOff>
    </xdr:from>
    <xdr:to>
      <xdr:col>1</xdr:col>
      <xdr:colOff>1097915</xdr:colOff>
      <xdr:row>1</xdr:row>
      <xdr:rowOff>50752</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00000000-0008-0000-0C00-000003000000}"/>
            </a:ext>
          </a:extLst>
        </xdr:cNvPr>
        <xdr:cNvSpPr txBox="1">
          <a:spLocks noChangeAspect="1"/>
        </xdr:cNvSpPr>
      </xdr:nvSpPr>
      <xdr:spPr>
        <a:xfrm>
          <a:off x="72960" y="72877"/>
          <a:ext cx="1872680" cy="216000"/>
        </a:xfrm>
        <a:prstGeom prst="rect">
          <a:avLst/>
        </a:prstGeom>
        <a:solidFill>
          <a:schemeClr val="accent2">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wrap="square" lIns="36000" tIns="36000" rIns="36000" bIns="36000" rtlCol="0" anchor="ctr"/>
        <a:lstStyle/>
        <a:p>
          <a:pPr algn="ctr"/>
          <a:r>
            <a:rPr lang="pt-PT" sz="1100" b="1"/>
            <a:t>NEWSLETTER</a:t>
          </a:r>
        </a:p>
      </xdr:txBody>
    </xdr:sp>
    <xdr:clientData fPrintsWithSheet="0"/>
  </xdr:twoCellAnchor>
  <xdr:twoCellAnchor>
    <xdr:from>
      <xdr:col>9</xdr:col>
      <xdr:colOff>239111</xdr:colOff>
      <xdr:row>35</xdr:row>
      <xdr:rowOff>153866</xdr:rowOff>
    </xdr:from>
    <xdr:to>
      <xdr:col>12</xdr:col>
      <xdr:colOff>819706</xdr:colOff>
      <xdr:row>48</xdr:row>
      <xdr:rowOff>268144</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15</xdr:col>
      <xdr:colOff>1147543</xdr:colOff>
      <xdr:row>9</xdr:row>
      <xdr:rowOff>119851</xdr:rowOff>
    </xdr:from>
    <xdr:to>
      <xdr:col>18</xdr:col>
      <xdr:colOff>564574</xdr:colOff>
      <xdr:row>14</xdr:row>
      <xdr:rowOff>358261</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44001</xdr:colOff>
      <xdr:row>8</xdr:row>
      <xdr:rowOff>114227</xdr:rowOff>
    </xdr:from>
    <xdr:to>
      <xdr:col>12</xdr:col>
      <xdr:colOff>124380</xdr:colOff>
      <xdr:row>15</xdr:row>
      <xdr:rowOff>306802</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72959</xdr:colOff>
      <xdr:row>1</xdr:row>
      <xdr:rowOff>149707</xdr:rowOff>
    </xdr:from>
    <xdr:to>
      <xdr:col>1</xdr:col>
      <xdr:colOff>121312</xdr:colOff>
      <xdr:row>2</xdr:row>
      <xdr:rowOff>52617</xdr:rowOff>
    </xdr:to>
    <xdr:sp macro="" textlink="">
      <xdr:nvSpPr>
        <xdr:cNvPr id="7" name="CaixaDeTexto 6">
          <a:hlinkClick xmlns:r="http://schemas.openxmlformats.org/officeDocument/2006/relationships" r:id="rId6"/>
          <a:extLst>
            <a:ext uri="{FF2B5EF4-FFF2-40B4-BE49-F238E27FC236}">
              <a16:creationId xmlns:a16="http://schemas.microsoft.com/office/drawing/2014/main" id="{00000000-0008-0000-0C00-000007000000}"/>
            </a:ext>
          </a:extLst>
        </xdr:cNvPr>
        <xdr:cNvSpPr txBox="1">
          <a:spLocks noChangeAspect="1"/>
        </xdr:cNvSpPr>
      </xdr:nvSpPr>
      <xdr:spPr>
        <a:xfrm>
          <a:off x="72959" y="387832"/>
          <a:ext cx="896078" cy="198185"/>
        </a:xfrm>
        <a:prstGeom prst="rect">
          <a:avLst/>
        </a:prstGeom>
        <a:solidFill>
          <a:schemeClr val="accent2">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wrap="square" lIns="36000" tIns="36000" rIns="36000" bIns="36000" rtlCol="0" anchor="ctr"/>
        <a:lstStyle/>
        <a:p>
          <a:pPr algn="ctr"/>
          <a:r>
            <a:rPr lang="pt-PT" sz="1100" b="1"/>
            <a:t>CONCLUÍDOS</a:t>
          </a:r>
        </a:p>
      </xdr:txBody>
    </xdr:sp>
    <xdr:clientData/>
  </xdr:twoCellAnchor>
  <xdr:twoCellAnchor editAs="absolute">
    <xdr:from>
      <xdr:col>8</xdr:col>
      <xdr:colOff>935172</xdr:colOff>
      <xdr:row>3</xdr:row>
      <xdr:rowOff>69274</xdr:rowOff>
    </xdr:from>
    <xdr:to>
      <xdr:col>8</xdr:col>
      <xdr:colOff>1944822</xdr:colOff>
      <xdr:row>5</xdr:row>
      <xdr:rowOff>51090</xdr:rowOff>
    </xdr:to>
    <xdr:sp macro="" textlink="">
      <xdr:nvSpPr>
        <xdr:cNvPr id="8" name="Rectângulo arredondado 7">
          <a:hlinkClick xmlns:r="http://schemas.openxmlformats.org/officeDocument/2006/relationships" r:id="rId7"/>
          <a:extLst>
            <a:ext uri="{FF2B5EF4-FFF2-40B4-BE49-F238E27FC236}">
              <a16:creationId xmlns:a16="http://schemas.microsoft.com/office/drawing/2014/main" id="{00000000-0008-0000-0C00-000008000000}"/>
            </a:ext>
          </a:extLst>
        </xdr:cNvPr>
        <xdr:cNvSpPr/>
      </xdr:nvSpPr>
      <xdr:spPr>
        <a:xfrm>
          <a:off x="10546763" y="900547"/>
          <a:ext cx="1009650" cy="466725"/>
        </a:xfrm>
        <a:prstGeom prst="roundRect">
          <a:avLst/>
        </a:prstGeom>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pt-PT" sz="1800">
              <a:solidFill>
                <a:schemeClr val="bg2"/>
              </a:solidFill>
            </a:rPr>
            <a:t>MENU</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mjp\Defini&#231;&#245;es%20locais\Temporary%20Internet%20Files\Content.Outlook\9RF7IT06\SEC%20ESTADO%20CULTURA\CONCURSOS%20E%20CANDIDATURAS%201999-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camdc03\PARTICIPA&#199;&#213;ES%20E%20PR&#201;MIOS\BD%20Backup\BD%20Participa&#231;&#245;es%20e%20Pr&#233;mios%20(31-08-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RTICIPA&#199;&#213;ES%20E%20PR&#201;MIOS\BD\BD%20Participa&#231;&#245;es%20e%20Pr&#233;mi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SLETTER/2019-09%20NEWS/NEWS_SETEMBRO%20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SLETTER/2021-09%20NEWS/NEWS_SETEMBRO%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ASE%20DE%20DADOS\BD_Projec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7%20ILDA%20BRUM\Dados%20Financeiros%20Filmes\CUSTOS%20FINAIS_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EWSLETTER\NEWSLETTER%202014\2014-09%20NEWS\NEWS%20SETEMBRO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camdc03\BASE%20DE%20DADOS\BD_Proje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URSOS ABERTOS"/>
      <sheetName val="CANDIDATURAS ADMITIDAS"/>
      <sheetName val="CANDIDATURAS APOIADAS"/>
      <sheetName val="PROTOCOLOS AUDIOVISUAL"/>
      <sheetName val="não é para pôr-PROTOCOLOS"/>
      <sheetName val="Plano-actualizado"/>
      <sheetName val="Plano-Execução"/>
      <sheetName val="Registos"/>
      <sheetName val="Relatório"/>
      <sheetName val="Relatório 2"/>
      <sheetName val="Relatório 3"/>
      <sheetName val="Tabela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OS"/>
      <sheetName val="2011"/>
      <sheetName val="TÍTULOS"/>
      <sheetName val="TABELAS"/>
      <sheetName val="FESTIVAIS"/>
      <sheetName val="FILMES"/>
      <sheetName val="CRONOLOGIA"/>
      <sheetName val="METODOLOGIA"/>
      <sheetName val="BD Participações e Prémios (3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OS"/>
      <sheetName val="TABELAS"/>
      <sheetName val="2011"/>
      <sheetName val="FILMES"/>
      <sheetName val="FESTIVAIS"/>
      <sheetName val="METODOLOGIA"/>
      <sheetName val="CONSULTAS"/>
      <sheetName val="NEWSLETTER"/>
      <sheetName val="BSC"/>
      <sheetName val="DESTAQUES"/>
      <sheetName val="PEDIDOS"/>
      <sheetName val="SITE"/>
      <sheetName val="BD Participações e Prémios"/>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ENU"/>
      <sheetName val="3-4"/>
      <sheetName val="5"/>
      <sheetName val="6"/>
      <sheetName val="7"/>
      <sheetName val="8-9"/>
      <sheetName val="10-11"/>
      <sheetName val="12-13-14"/>
      <sheetName val="15"/>
      <sheetName val="16-..."/>
      <sheetName val="15-16"/>
      <sheetName val="NEWSLETTER"/>
      <sheetName val="TABELAS"/>
      <sheetName val="PRÉMIOS"/>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ENU"/>
      <sheetName val="3-4"/>
      <sheetName val="5"/>
      <sheetName val="6"/>
      <sheetName val="7"/>
      <sheetName val="8-9"/>
      <sheetName val="10-11"/>
      <sheetName val="12-13-14"/>
      <sheetName val="16-..."/>
      <sheetName val="15"/>
      <sheetName val="15-16"/>
      <sheetName val="NEWSLETTER"/>
      <sheetName val="TABELAS"/>
      <sheetName val="PRÉMIOS"/>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A"/>
      <sheetName val="PROCEDIMENTOS"/>
      <sheetName val="DADOS"/>
      <sheetName val="FONTES"/>
      <sheetName val="CONSULTA"/>
      <sheetName val="MAPA RESUMO"/>
      <sheetName val="PRODUÇÃO"/>
      <sheetName val="PROD. DETALHADO"/>
      <sheetName val="SITUAÇÃO"/>
      <sheetName val="OUTROS APOIOS"/>
      <sheetName val="NEWSLETTER"/>
      <sheetName val="ICAM"/>
      <sheetName val="Folha1"/>
      <sheetName val="BD_Projectos"/>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ONSULTA"/>
      <sheetName val="ICAM"/>
      <sheetName val="MJ POCINHO"/>
      <sheetName val="FONTES"/>
      <sheetName val="RELATÓRIO"/>
      <sheetName val="CUSTOS FINAIS_201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ENU"/>
      <sheetName val="1-2"/>
      <sheetName val="3"/>
      <sheetName val="4"/>
      <sheetName val="5"/>
      <sheetName val="6-7"/>
      <sheetName val="8-9"/>
      <sheetName val="10-11"/>
      <sheetName val="12"/>
      <sheetName val="13-14"/>
      <sheetName val="15-16"/>
      <sheetName val="NEWSLETTER"/>
      <sheetName val="TABELAS"/>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SLETTER"/>
    </sheetNames>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PARTICIPA&#199;&#213;ES%20E%20PR&#201;MIOS\BD\BD%20Participa&#231;&#245;es%20e%20Pr&#233;mio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BASE%20DE%20DADOS\BD_Projectos.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na Pimentel" refreshedDate="41680.405591782408" createdVersion="3" refreshedVersion="4" minRefreshableVersion="3" recordCount="6564" xr:uid="{00000000-000A-0000-FFFF-FFFF00000000}">
  <cacheSource type="worksheet">
    <worksheetSource name="DADOS" r:id="rId2"/>
  </cacheSource>
  <cacheFields count="33">
    <cacheField name="Ano" numFmtId="0">
      <sharedItems containsSemiMixedTypes="0" containsString="0" containsNumber="1" containsInteger="1" minValue="2011" maxValue="2014" count="4">
        <n v="2011"/>
        <n v="2012"/>
        <n v="2013"/>
        <n v="2014"/>
      </sharedItems>
    </cacheField>
    <cacheField name="ID Filme" numFmtId="0">
      <sharedItems containsSemiMixedTypes="0" containsString="0" containsNumber="1" containsInteger="1" minValue="1" maxValue="2205"/>
    </cacheField>
    <cacheField name="Filme" numFmtId="0">
      <sharedItems count="2138">
        <s v="31"/>
        <s v="48"/>
        <s v="1111"/>
        <s v="(O meu) Outro Mundo"/>
        <s v="1 Minuto de Astronomia"/>
        <s v="10 Dias sem Bater"/>
        <s v="1971-1974 (Estou em Moçambique)"/>
        <s v="2034 Communications and Arts"/>
        <s v="30.000 Anos"/>
        <s v="3x3"/>
        <s v="4 Copas"/>
        <s v="42.195 Km"/>
        <s v="4M"/>
        <s v="6:00h"/>
        <s v="6=0 Homeoestética"/>
        <s v="A Almadabra Atuneira"/>
        <s v="A Arca do Éden"/>
        <s v="A Audição"/>
        <s v="A Bela e o Paparazzo"/>
        <s v="A Cabra"/>
        <s v="A Caça"/>
        <s v="A Caixa Negra"/>
        <s v="A Canção de Lisboa"/>
        <s v="A Casa ao Lado"/>
        <s v="A Casa Esquecida"/>
        <s v="A Cidade dos Mortos"/>
        <s v="A Confederação - O Povo é que faz a História"/>
        <s v="A Cor Negra"/>
        <s v="A Corrida"/>
        <s v="A Corte do Norte"/>
        <s v="A Costa dos Murmúrios"/>
        <s v="A Costura de Clemente"/>
        <s v="A Cova"/>
        <s v="A Dama da Lapa"/>
        <s v="A Dança de Sísifo"/>
        <s v="A Day at the Riding School"/>
        <s v="A Divina Comédia"/>
        <s v="A Divisão Social do Trabalho segundo Adam Smith"/>
        <s v="A Dupla Viagem"/>
        <s v="A Embaixada"/>
        <s v="A Espada e a Rosa"/>
        <s v="A Esperança está onde menos se espera"/>
        <s v="A Favor da Claridade"/>
        <s v="A Felicidade"/>
        <s v="A Festa dos Rapazes"/>
        <s v="A Flor, a Formiga e a Borboleta Ameaçada"/>
        <s v="A Fotografia Rasgada"/>
        <s v="A History of Mutual Respect"/>
        <s v="A Idade Maior"/>
        <s v="A Imagem B&amp;W Sedúz-Nús"/>
        <s v="A Janela (Maryalva Mix)"/>
        <s v="A Jangada de Pedra"/>
        <s v="À la Minuta"/>
        <s v="A Lei da Terra"/>
        <s v="A Máquina"/>
        <s v="A meio da noite"/>
        <s v="A Menina da Rádio"/>
        <s v="A minha rua também brinca!"/>
        <s v="A Morte de Carlos Gardel"/>
        <s v="A Mudança"/>
        <s v="A Musa"/>
        <s v="A New Page"/>
        <s v="A Noiva do Gigante"/>
        <s v="A Nossa Casa"/>
        <s v="A nossa Forma de Vida"/>
        <s v="A outra Guerra"/>
        <s v="A Parideira"/>
        <s v="A Pele que há em mim"/>
        <s v="A Pousada das Chagas"/>
        <s v="A Prenda"/>
        <s v="A Primeira Ceia"/>
        <s v="A primeira vez que descobri para que servia o meu rabo"/>
        <s v="A Religiosa Portuguesa"/>
        <s v="A Ria, a Água e o Homem…"/>
        <s v="A Sarda"/>
        <s v="A Selva"/>
        <s v="A Senhora da Floresta"/>
        <s v="A Song for a Prostitute"/>
        <s v="A Street Car named Twenty Eight"/>
        <s v="A Suspeita"/>
        <s v="A Tela"/>
        <s v="A Torre"/>
        <s v="A tua última Morada"/>
        <s v="A última Tela"/>
        <s v="A única Vez"/>
        <s v="A Utopia do Padre Himalaya"/>
        <s v="A Viagem"/>
        <s v="A Vingança de uma Mulher"/>
        <s v="A Zona"/>
        <s v="Abraço do Vento"/>
        <s v="Acto da Primavera"/>
        <s v="Adeus, Pai"/>
        <s v="Afonso Henriques, o Primeiro Rei"/>
        <s v="Agora Tu"/>
        <s v="Agreste"/>
        <s v="Água e Sal"/>
        <s v="Água Fria"/>
        <s v="Aguarde, por favor!"/>
        <s v="Águas MIl"/>
        <s v="Águas Turvas"/>
        <s v="Agur"/>
        <s v="Ainda há pastores?"/>
        <s v="Ainda, o Natal"/>
        <s v="Airport Tunnel"/>
        <s v="Akasha"/>
        <s v="Akirema"/>
        <s v="Alberto Carneiro: 3"/>
        <s v="Aldo e o Natal"/>
        <s v="Alegoria dos Sentidos"/>
        <s v="Alfama"/>
        <s v="Alferes"/>
        <s v="Algarve 73"/>
        <s v="Algo de Bom"/>
        <s v="Algo Importante"/>
        <s v="Alguma coisa tinha de acontecer"/>
        <s v="Alheava_filme"/>
        <s v="Alice"/>
        <s v="All Stars"/>
        <s v="Almada Negreiros Vivo Hoje"/>
        <s v="Alvorada Vermelha"/>
        <s v="Amália - O Filme"/>
        <s v="América"/>
        <s v="Amigo do Peito"/>
        <s v="Amigos de Peniche"/>
        <s v="Amor de Perdição"/>
        <s v="Ana"/>
        <s v="Ana Vieira… e o que não é visto"/>
        <s v="Anacronia"/>
        <s v="And they went"/>
        <s v="Angelitos"/>
        <s v="Angst"/>
        <s v="Aniki-Bóbó"/>
        <s v="Anos Lusos"/>
        <s v="Antes de Amanhã"/>
        <s v="Ao Vivo (desenhos de Palco) (Live Music)"/>
        <s v="Apple Beach"/>
        <s v="Aqua"/>
        <s v="Aquele Querido Mês de Agosto"/>
        <s v="Aqui na Terra"/>
        <s v="Are you?"/>
        <s v="Arena"/>
        <s v="Arouca"/>
        <s v="Arouca Face Film"/>
        <s v="Arquivo"/>
        <s v="Arrábida Anno Domini"/>
        <s v="Arte de Roubar"/>
        <s v="Arte Repíblica - 10 para 100"/>
        <s v="Arte Xávega: O Chamamento do Mar"/>
        <s v="Artur"/>
        <s v="Árvores no Jardim"/>
        <s v="As Coisas Lá de Casa - O Balde e a Esfregona"/>
        <s v="As Operações SAAL"/>
        <s v="As Terças da Bailarina Gorda"/>
        <s v="Assalto ao Santa Maria"/>
        <s v="Assembly Line"/>
        <s v="Assim, Assim"/>
        <s v="Até ao fim do dia"/>
        <s v="Até ao Tecto do Mundo"/>
        <s v="Atelier"/>
        <s v="Atrás das Nuvens"/>
        <s v="Augusto Canedo"/>
        <s v="Ausstieg"/>
        <s v="Auto do Cordeiro"/>
        <s v="Autografia"/>
        <s v="Autumn"/>
        <s v="Avant la Corrida"/>
        <s v="Aventuras do Homem Invisível"/>
        <s v="Avô (Muidumbe)"/>
        <s v="Azoreños"/>
        <s v="Azul Subaquático"/>
        <s v="Baby Back Costa Rica"/>
        <s v="Bad Days"/>
        <s v="Bad Jingle"/>
        <s v="Badoca Safari Park"/>
        <s v="Banana Motherfucker"/>
        <s v="Barba"/>
        <s v="Bartolomeu Cid dos Santos - Por Terras Devastadas"/>
        <s v="Basement 8"/>
        <s v="Bats in the Belfry"/>
        <s v="Battle Galaxi"/>
        <s v="Batuque - A Alma de um Povo"/>
        <s v="Beija-me depressa"/>
        <s v="Beijos ternos são difíceis de encontrar"/>
        <s v="Belarmino"/>
        <s v="Benilde ou A Virgem Mãe"/>
        <s v="Bissau d'Isabel"/>
        <s v="Bitú"/>
        <s v="Bom Dia Benjamim"/>
        <s v="Bom Dia Mãe"/>
        <s v="Bom Povo Português"/>
        <s v="Bonsai"/>
        <s v="Boudoir"/>
        <s v="Brandos Costumes"/>
        <s v="Brecht - Livre Acesso"/>
        <s v="Brincarolas"/>
        <s v="Broa Caseira"/>
        <s v="Broken Clouds"/>
        <s v="Bruxas"/>
        <s v="Cabidela de Galinha"/>
        <s v="Cada Mulher é um Filme de Amor"/>
        <s v="Cães Marinheiros"/>
        <s v="Café"/>
        <s v="Caldeirada"/>
        <s v="Call Girl"/>
        <s v="Camera Obscura"/>
        <s v="Canção de Amor e Saúde"/>
        <s v="Cândido"/>
        <s v="Cântico das Criaturas"/>
        <s v="Caos"/>
        <s v="Capitães de Abril"/>
        <s v="Carne"/>
        <s v="Carta para o futuro"/>
        <s v="Cartas a uma Ditadura"/>
        <s v="Cartas de Angola"/>
        <s v="Casa"/>
        <s v="Casa com Piscina"/>
        <s v="Castelos no Ar"/>
        <s v="Catarina e Os Outros"/>
        <s v="Cavalos Selvagens"/>
        <s v="Cerro Negro"/>
        <s v="Chamo-me António da Cunha Telles"/>
        <s v="Change your habits today"/>
        <s v="Chefe Bitoke"/>
        <s v="Chicken Giblets"/>
        <s v="China, China"/>
        <s v="Chocolatando"/>
        <s v="Christmas Imagination"/>
        <s v="Cidade de Ouro"/>
        <s v="Cinco Dias, Cinco Noites"/>
        <s v="Cinema de Bairro"/>
        <s v="CinemaAmor"/>
        <s v="Cisne"/>
        <s v="Climbing"/>
        <s v="Côa, O Rio das Mil Gravuras"/>
        <s v="Comando"/>
        <s v="Combat d'amour en songe"/>
        <s v="Comboio"/>
        <s v="Como as serras crescem"/>
        <s v="Como Desenhar um Círculo Perfeito"/>
        <s v="Como fazer pranchas de Surf"/>
        <s v="Complexo - Universo Paralelo"/>
        <s v="Concept Adidas Shoe"/>
        <s v="Conferência"/>
        <s v="Conquistador Descobre"/>
        <s v="Consequências"/>
        <s v="Conservar"/>
        <s v="Constança"/>
        <s v="Contextualizar - António Jardim"/>
        <s v="Continuar a Viver ou Os Índios da Meia-Praia"/>
        <s v="Conto do Vento"/>
        <s v="Contraluz"/>
        <s v="Conversa Acabada"/>
        <s v="Copo de Leite"/>
        <s v="Coração no Escuro"/>
        <s v="Corpo e Meio"/>
        <s v="Corre, Emanuel, Corre"/>
        <s v="Cosí Fan Tutte - Assim Fazem Todas"/>
        <s v="Cosmix"/>
        <s v="Cozido à Portuguesa"/>
        <s v="Crime, Abismo Azul Remorso Físico"/>
        <s v="Cruzeiro Seixas - O Vício da Liberdade"/>
        <s v="Cubolution"/>
        <s v="Da minha zona lixeira… eu entro na queimada, dou pela estrada e subo o cotelo"/>
        <s v="Daiman"/>
        <s v="Dans la Ville Blanche (A Cidade Branca)"/>
        <s v="Das 9 às 5"/>
        <s v="De castigo"/>
        <s v="Deeper (re)start"/>
        <s v="Déjà vu city"/>
        <s v="Demora"/>
        <s v="Dente de Leão"/>
        <s v="Depois do Choro"/>
        <s v="Desassossego"/>
        <s v="Descalço"/>
        <s v="Desertas Aquática"/>
        <s v="Design atrás das Grades"/>
        <s v="Desobediência"/>
        <s v="Despedida"/>
        <s v="Desta água…"/>
        <s v="Deste Lado da Ressurreição"/>
        <s v="Deus não quis"/>
        <s v="Deus sabe o que faz"/>
        <s v="Dharma Guns"/>
        <s v="Dia de Visita"/>
        <s v="Dia Triunfal"/>
        <s v="Diário"/>
        <s v="Directo"/>
        <s v="Do Visível ao Invisível"/>
        <s v="Doc Film"/>
        <s v="Dodu - O Rapaz de Cartão: Balão-Lua"/>
        <s v="Dois Diários e Um Azulejo"/>
        <s v="Dois Irmãos"/>
        <s v="Domesticada"/>
        <s v="Douro, Faina Fluvial"/>
        <s v="Down Here"/>
        <s v="Doze"/>
        <s v="Drawing (Myself) by Numbers"/>
        <s v="Dream Factory"/>
        <s v="Drink!"/>
        <s v="Duas Aranhas"/>
        <s v="Duas Mulheres"/>
        <s v="Dundo, Memória Colonial"/>
        <s v="Durante o Fim"/>
        <s v="É na terra não é na lua"/>
        <s v="E o Tempo Passa"/>
        <s v="E se…"/>
        <s v="Eden"/>
        <s v="Edgar"/>
        <s v="Educar com Arte"/>
        <s v="Electrodoc"/>
        <s v="Em Terra Frágil"/>
        <s v="Em Trânsito - José Pedro Croft"/>
        <s v="Ema &amp; Gui"/>
        <s v="Ema &amp; Gui - Um Desenho"/>
        <s v="Embargado"/>
        <s v="Embargo"/>
        <s v="Encadeados"/>
        <s v="Encontro"/>
        <s v="Encontros"/>
        <s v="Endless Title"/>
        <s v="Engine"/>
        <s v="Ensinamentos para a Vida Adulta"/>
        <s v="Entre Línguas"/>
        <s v="Entre Muros"/>
        <s v="Entre Nós"/>
        <s v="Entremundos"/>
        <s v="Entretanto"/>
        <s v="Escadas"/>
        <s v="Escolhi"/>
        <s v="Esquece tudo o que te disse"/>
        <s v="Esquecimento"/>
        <s v="Este país não é para super heróis"/>
        <s v="Estória do Gato e da Lua"/>
        <s v="Estrada de Palha"/>
        <s v="Exercício nº 3"/>
        <s v="Exótica"/>
        <s v="Fado"/>
        <s v="Fado Tonight"/>
        <s v="Fado Vadio"/>
        <s v="Fado, História de uma Cantadeira"/>
        <s v="Falamos de António Campos"/>
        <s v="Falamos de Rio de Onor"/>
        <s v="Fantasia Lusitana"/>
        <s v="Fascínio"/>
        <s v="Feliz Aniversário"/>
        <s v="Feliz Natal"/>
        <s v="Femina Series (9CM)"/>
        <s v="Festival of the Boys"/>
        <s v="Filme do Desassossego"/>
        <s v="Filomena"/>
        <s v="Fim-de-semana"/>
        <s v="Fleurette"/>
        <s v="Foi na cidade do Sado"/>
        <s v="For Plus X"/>
        <s v="Fora da Lei"/>
        <s v="Força"/>
        <s v="Forças Invisíveis"/>
        <s v="Fotograma 23"/>
        <s v="Fox"/>
        <s v="Foxy &amp; Meg"/>
        <s v="Foxy &amp; Meg: Os Opostos"/>
        <s v="Foxy &amp; Meg: Os Transportes"/>
        <s v="Fragment der Lagune"/>
        <s v="Francesco Bronze"/>
        <s v="Francisca"/>
        <s v="Francisco Cappelle - como sempre fui"/>
        <s v="Fratelli"/>
        <s v="Fresh Currency!"/>
        <s v="Fuera de Cuadro"/>
        <s v="Fundamentações de Abril"/>
        <s v="Gabriel Abrantes: Retrato de Artista enquanto Jovem"/>
        <s v="Ganhar a Vida"/>
        <s v="Gateiras"/>
        <s v="Gente da Praia da Vieira"/>
        <s v="Gente de Fajãs"/>
        <s v="Gentes do Mar"/>
        <s v="Gesto"/>
        <s v="Ginjas"/>
        <s v="Ginjas - A Fotografia (Ep.14)"/>
        <s v="Ginjas - Linha Curva (Ep.3)"/>
        <s v="Ginjas - Submarino (Ep. 27)"/>
        <s v="God is Everythere"/>
        <s v="Golden Dawn"/>
        <s v="Golias"/>
        <s v="Goodbye Alaska"/>
        <s v="Goodnight Irene"/>
        <s v="Grounded"/>
        <s v="Guerra Civil"/>
        <s v="Guisado de Galinha"/>
        <s v="Guitarra com Gente lá Dentro"/>
        <s v="Há Tourada na Aldeia"/>
        <s v="Hai Kai Diamante"/>
        <s v="Hannah"/>
        <s v="Happy Day"/>
        <s v="Hepicat"/>
        <s v="Herói e Vilão"/>
        <s v="HH &amp; the Makumba"/>
        <s v="Hidden Portraits"/>
        <s v="História de um Caramelo"/>
        <s v="História Trágica com Final Feliz"/>
        <s v="Histórias Selvagens"/>
        <s v="Hoje, o Natal"/>
        <s v="Holy Sin"/>
        <s v="Homenagem a quem não tem onde cair morto"/>
        <s v="Hookit"/>
        <s v="Hope"/>
        <s v="Horror no Bairo Vermelho (Prólogo Documental)"/>
        <s v="Hortas di Pobreza"/>
        <s v="Humanos - A Vida em Variações"/>
        <s v="Humilhados e Ofendidos"/>
        <s v="I just wanna know"/>
        <s v="I know you can hear me"/>
        <s v="Iberiana"/>
        <s v="Igualdade de Género"/>
        <s v="Il Serpentone"/>
        <s v="Ilha"/>
        <s v="Ilha da Cova da Moura"/>
        <s v="Imergir"/>
        <s v="Impending Doom"/>
        <s v="Incêndio"/>
        <s v="Independência de Espírito"/>
        <s v="Induction Day"/>
        <s v="Infinito"/>
        <s v="Insert"/>
        <s v="Inventário de Natal"/>
        <s v="It's Moving"/>
        <s v="J.A.C.E."/>
        <s v="Jaime"/>
        <s v="Jantar em Lisboa"/>
        <s v="Januário e a Guerra"/>
        <s v="Jaula Humana"/>
        <s v="Jibberland"/>
        <s v="Jóias Negras do Império"/>
        <s v="Jorge Salavisa - Keep Going"/>
        <s v="José Carlos Schwartz - A Voz do Povo"/>
        <s v="José e Pilar"/>
        <s v="Journey to the Sunflower Fields"/>
        <s v="Julgamento"/>
        <s v="Justino"/>
        <s v="Juventude em Marcha"/>
        <s v="Kakuma"/>
        <s v="Kalimba"/>
        <s v="Kalkitos"/>
        <s v="Keep on Dancing (Director's Cut)-X-Wife"/>
        <s v="Khoreia"/>
        <s v="Kilas, o Mau da Fita"/>
        <s v="Kino-Diaries and Cine-Portraits (Cork-Mix)"/>
        <s v="Kinotel"/>
        <s v="Kiss Me"/>
        <s v="Kolá San Jon é Festa di Kau Berdi"/>
        <s v="Kunta"/>
        <s v="La ilusión te queda"/>
        <s v="Labirinto"/>
        <s v="Leid Fatal e o Cotão"/>
        <s v="Li Ké Terra"/>
        <s v="Liberdade"/>
        <s v="Licínio de Azevedo - Crónicas de Moçambique"/>
        <s v="Life ain't enough for you"/>
        <s v="Linha Vermelha"/>
        <s v="Linhas de Sangue"/>
        <s v="Lisboa Dentro"/>
        <s v="Lisboa Domiciliária"/>
        <s v="Lisboa-Província"/>
        <s v="Lisboetas"/>
        <s v="Living in the Trees"/>
        <s v="Longe de Mim"/>
        <s v="Longe no Tempo"/>
        <s v="Loucura"/>
        <s v="Lucifer"/>
        <s v="Lucy"/>
        <s v="Lumen"/>
        <s v="Luta do Povo: A Alfabetização em Santa Catarina"/>
        <s v="Luz Teimosa"/>
        <s v="Luzes, Câmara, Assalto"/>
        <s v="Luzes, Câmara… Tortura!"/>
        <s v="M.I.R.I.A.M."/>
        <s v="Ma Femme Chamada Bicho"/>
        <s v="Mãe Fátima"/>
        <s v="Magiae Naturalis"/>
        <s v="Magic Art"/>
        <s v="Maiores de 65"/>
        <s v="Mal Nascida"/>
        <s v="Manhã Submersa"/>
        <s v="Manual de Evasão Lx 94"/>
        <s v="Manuel na Ilha das Maravilhas"/>
        <s v="Margem Atlântica"/>
        <s v="Margem Neutra"/>
        <s v="Marginais"/>
        <s v="Maria do Mar"/>
        <s v="Maria Lucília Moita - Imenso Mundo de Dentro"/>
        <s v="Mariana"/>
        <s v="Marie Laveau"/>
        <s v="Mary"/>
        <s v="Máscara de Aço contra Abismo Azul"/>
        <s v="Matança"/>
        <s v="Matar o Tempo"/>
        <s v="Mates"/>
        <s v="Mátria do Vinho"/>
        <s v="Maybe…"/>
        <s v="Meio Metro de Pedra"/>
        <s v="Memória de Cão"/>
        <s v="Memórias de Fogo"/>
        <s v="Menos 9"/>
        <s v="Mercúrio"/>
        <s v="Mergulhos Madeira"/>
        <s v="Meu Deus, quando o Natal acaba?"/>
        <s v="Mi Vida en Tus Manos"/>
        <s v="Mia Couto"/>
        <s v="Mia Mia Sudan Tamam Tamam"/>
        <s v="Milho"/>
        <s v="Minas da Borralha"/>
        <s v="Minas de São Domingos"/>
        <s v="Mionga Ki ôbo - Mar e Selva"/>
        <s v="Miss Mishima"/>
        <s v="Mistérios de Lisboa"/>
        <s v="Moleiro"/>
        <s v="Momentos"/>
        <s v="Mondego"/>
        <s v="Money can't buy Christmas"/>
        <s v="Money comes to you"/>
        <s v="Morrer como um Homem"/>
        <s v="Mortinho por Chegar a Casa"/>
        <s v="Movimentos pendulares"/>
        <s v="Movimentos Perpétuos - Cine-tributo a Carlos Paredes"/>
        <s v="Mr. Cat"/>
        <s v="Mudar de Vida"/>
        <s v="Muito Além"/>
        <s v="Muitos dias tem o mês"/>
        <s v="Mulher Sombra"/>
        <s v="Mulheres da Raia"/>
        <s v="Mulheres, bah!"/>
        <s v="Musicbox Clubdocs: Dead Combo, Diabo na Cruz, Dj Ride, Linda Martini, Pop dell'Arte"/>
        <s v="Mutter"/>
        <s v="Muvart"/>
        <s v="Muzar"/>
        <s v="My Music"/>
        <s v="My Stomach"/>
        <s v="Na escola"/>
        <s v="Na esteira de Egas Moniz"/>
        <s v="Na Teia do Polvo"/>
        <s v="Natália, A Diva Tragicómica"/>
        <s v="Natural Intervenção"/>
        <s v="Natureza Morta"/>
        <s v="Naufrágio"/>
        <s v="Nêgo"/>
        <s v="Never meant to be"/>
        <s v="Nha Fala"/>
        <s v="Ninguém"/>
        <s v="No dia em que…morreu Sá Carneiro"/>
        <s v="No jardim do Mundo"/>
        <s v="No Way to Leave in a Sunday Night"/>
        <s v="Noall &amp; Curios"/>
        <s v="Nocturno"/>
        <s v="Nocturnos"/>
        <s v="Noiserv - Sessão Dupla"/>
        <s v="Noite Escura"/>
        <s v="Noite Fria em Castelo Branco"/>
        <s v="Noite Gélida em Castelo Branco"/>
        <s v="Noites Perfeitas"/>
        <s v="North Atlantic"/>
        <s v="Nôs terra"/>
        <s v="Novelo de Lã"/>
        <s v="Nshajo (O Jogo)"/>
        <s v="Nuvem"/>
        <s v="O Acidente"/>
        <s v="O Amor acontece"/>
        <s v="O Amor é a solução para a falta de argumento"/>
        <s v="O Anjo da Guarda"/>
        <s v="O Ás de Espadas"/>
        <s v="O Banquete"/>
        <s v="O Barão"/>
        <s v="O Belo Adormecido"/>
        <s v="O Bobo"/>
        <s v="O Caminho de Salomão"/>
        <s v="O Caminho Perdido"/>
        <s v="O Cerco"/>
        <s v="O Circo"/>
        <s v="O Concurso"/>
        <s v="O Cônsul de Bordéus"/>
        <s v="O Convento"/>
        <s v="O Costa do Castelo"/>
        <s v="O Despertar da Primavera"/>
        <s v="O Dia do Desassossego"/>
        <s v="O Estrangeiro"/>
        <s v="O Estranho Caso de Angélica"/>
        <s v="O Fantasma"/>
        <s v="O Fatalista"/>
        <s v="O Gato"/>
        <s v="O Gotejar da Luz"/>
        <s v="O Grande Elias"/>
        <s v="O Guardador de Rebanhos"/>
        <s v="O Herói"/>
        <s v="O Homem da Cabeça de Papelão"/>
        <s v="O Inferno"/>
        <s v="O Inimigo sem Rosto"/>
        <s v="O Jardim do Outro Homem"/>
        <s v="O Jogo"/>
        <s v="O Lápis"/>
        <s v="O Leão da Estrela"/>
        <s v="O Manuscrito Perdido"/>
        <s v="O Meu Alien (Segmento 1)"/>
        <s v="O Meu Alien (Segmento 2)"/>
        <s v="O meu amigo Mike ao Trabalho"/>
        <s v="O meu café contigo"/>
        <s v="O Milagre"/>
        <s v="O Mistério da Estrada de Sintra"/>
        <s v="O Movimento das Coisas"/>
        <s v="O Nosso Homem"/>
        <s v="O Pai Natal"/>
        <s v="O Passado e o Pesente"/>
        <s v="O Pátio das Cantigas"/>
        <s v="O Pessoal do Pico toma conta disso"/>
        <s v="O que há de novo no amor?"/>
        <s v="O Rei das Berlengas"/>
        <s v="O Rei sem Coroa - Fernando Maurício"/>
        <s v="O Relógio de Tomás"/>
        <s v="O Rio do Ouro"/>
        <s v="O Risco"/>
        <s v="O Sapateiro"/>
        <s v="O Senhor Valéry"/>
        <s v="O Serial Killer"/>
        <s v="O Sítio dos Outros"/>
        <s v="O Tenente"/>
        <s v="O teu sapato"/>
        <s v="O Toque da Gaita de Foles"/>
        <s v="O Último Mergulho"/>
        <s v="O último vôo do flamingo"/>
        <s v="O Vento que passa"/>
        <s v="O Verão"/>
        <s v="O Vôo da Papoila"/>
        <s v="Ode Difícil"/>
        <s v="Off Balance"/>
        <s v="Oh, Lisboa, meu lar"/>
        <s v="Olha para mim"/>
        <s v="Olívia"/>
        <s v="Olympia I e II"/>
        <s v="On 4 Wheels"/>
        <s v="On the Road to Femina"/>
        <s v="Ordena que te ame"/>
        <s v="Ordo"/>
        <s v="Orlando Ribeiro, Itinerância de um Geógrafo"/>
        <s v="Os Esquecidos"/>
        <s v="Os Imortais"/>
        <s v="Os Lobos"/>
        <s v="Os Milionários"/>
        <s v="Os Mutantes"/>
        <s v="Os Olhos do Farol"/>
        <s v="Os Túneis da Realidade"/>
        <s v="Os Últimos Dias"/>
        <s v="Os Verdes Anos"/>
        <s v="Ossudo"/>
        <s v="Où gît votre sourire enfoui?"/>
        <s v="Outras Frases"/>
        <s v="Outro País: Memórias, Sonhos, Ilusões... Portugal 1974/1975"/>
        <s v="Outside"/>
        <s v="Padre Motard"/>
        <s v="Painéis de São Vicente de Fora, Visão Poética"/>
        <s v="Palácios de Pena"/>
        <s v="Palavras Prenhas Animadas-Um Olhar Livres sobre a Polírica"/>
        <s v="Para Mover o Domingo"/>
        <s v="Pare, Escute e Olhe"/>
        <s v="Parte de Mim"/>
        <s v="Parto"/>
        <s v="Part-time Queen"/>
        <s v="Passara"/>
        <s v="Pássaro Exótico"/>
        <s v="Pássaros"/>
        <s v="Passeio de Domingo"/>
        <s v="Patinhos: Os Bichos"/>
        <s v="Pedido de Emprego"/>
        <s v="Peixe Azul"/>
        <s v="Peixe-Lua"/>
        <s v="Pelas Sombras"/>
        <s v="Pele"/>
        <s v="Perdido e Achado"/>
        <s v="Photomaton - Retrato de João dos Santos"/>
        <s v="Photophobia"/>
        <s v="Pickpocket"/>
        <s v="Píton"/>
        <s v="Planeta Adormecido"/>
        <s v="Poeticamente Exausto, Verticalmente Só"/>
        <s v="Poligrad"/>
        <s v="Por aqui tudo bem"/>
        <s v="Porque já passava das 20"/>
        <s v="Porto, 1975"/>
        <s v="Post it"/>
        <s v="Praxis"/>
        <s v="Presente"/>
        <s v="Primeiro Passo"/>
        <s v="Princess"/>
        <s v="Projecto Eiffel"/>
        <s v="Promenade of South First St."/>
        <s v="Promo Discoteca Vespas"/>
        <s v="Promo Restart"/>
        <s v="Promo Restart 2010"/>
        <s v="Punk is not Daddy"/>
        <s v="Purgatório"/>
        <s v="Putos"/>
        <s v="Quando os Monstros se vão embora"/>
        <s v="Quando Troveja"/>
        <s v="Quaresma"/>
        <s v="Que desejas este Natal?"/>
        <s v="Que farei eu com esta espada?"/>
        <s v="Quem é este chapéu?"/>
        <s v="Quem vai à guerra"/>
        <s v="Quero ser uma Estrela"/>
        <s v="Quinze Pontos na Alma"/>
        <s v="Quote Story"/>
        <s v="Rapace"/>
        <s v="Rapariga eléctrica - tens de sair"/>
        <s v="Rasganço"/>
        <s v="Rebebéu, Pardais ao Ninho"/>
        <s v="Recordações da Casa Amarela"/>
        <s v="Remains"/>
        <s v="Remember my Dream"/>
        <s v="Rememorações"/>
        <s v="Respirar Debaixo d'Água"/>
        <s v="Restart"/>
        <s v="Retornos"/>
        <s v="Retrato"/>
        <s v="Retratos: Portugal e os Portugueses vistos pelos Imigrantes"/>
        <s v="Revolução"/>
        <s v="Ricardo Rangel - Ferro em Brasa"/>
        <s v="Rio Turvo"/>
        <s v="Rio Vermelho"/>
        <s v="Roncos do Diabo"/>
        <s v="Rosa de Areia"/>
        <s v="Royal Cabaret"/>
        <s v="Ruas da Amargura"/>
        <s v="Ruínas"/>
        <s v="R-XYZ"/>
        <s v="S/ Título"/>
        <s v="S9 - David Grachat"/>
        <s v="Sala Escura"/>
        <s v="Salazar- A Vida Privada"/>
        <s v="Saltinho a Madrid"/>
        <s v="Samurai"/>
        <s v="Sangue do Meu Sangue"/>
        <s v="Santos da Casa"/>
        <s v="Schogetten"/>
        <s v="Selo ou não Sê-lo"/>
        <s v="Sem Companhia"/>
        <s v="Sem Dúvida, Amanhã"/>
        <s v="Sem Ela"/>
        <s v="Sem Movimento"/>
        <s v="Sem querer"/>
        <s v="Sem Título "/>
        <s v="Semente do Ouro Negro"/>
        <s v="Sem-Título 3"/>
        <s v="Send a message to yourself in 2011 and 2020"/>
        <s v="Senhor X"/>
        <s v="Setúbal, Cidade Verde"/>
        <s v="Setúbal, uma Galinha que não Canta"/>
        <s v="Shoot Me"/>
        <s v="Should the Wife Confess?"/>
        <s v="Significado - A Música Portuguesa se gostasse dela própria"/>
        <s v="Sinfonia dos Loucos"/>
        <s v="Sinfonia Imaterial"/>
        <s v="Singularidades de uma Rapariga Loira"/>
        <s v="Skynet"/>
        <s v="Smolik"/>
        <s v="Snack-bar Aquário"/>
        <s v="Sobre Vivência"/>
        <s v="Soldier playing with Dead Lizard"/>
        <s v="Sombras"/>
        <s v="Sonhando a Cores"/>
        <s v="Sonho de Verão"/>
        <s v="Sou porque sonho"/>
        <s v="Space Cat"/>
        <s v="Strokkur"/>
        <s v="Stuart"/>
        <s v="Submersa"/>
        <s v="Suicídio Encomendado"/>
        <s v="Sunglasses after Dark"/>
        <s v="Survivalismo"/>
        <s v="Swagatam"/>
        <s v="Swans"/>
        <s v="Tanque L R"/>
        <s v="Tarde Demais"/>
        <s v="Tarik"/>
        <s v="Tarrafal - Memórias do campo da morte lenta"/>
        <s v="Teatro de Sonhos"/>
        <s v="Teimosia"/>
        <s v="Tejo"/>
        <s v="Temperar a Gosto"/>
        <s v="Tempos Difíceis"/>
        <s v="Terapia do Bandido"/>
        <s v="Terra Estrangeira"/>
        <s v="Terra Longe"/>
        <s v="Terra Sonâmbula"/>
        <s v="Terrakota no Topo do Mundo - Diário de uma Viagem aos Himalaias"/>
        <s v="Terramoto de 1980 - Evacuação da Fajã da Caldeira de Santo Cristo"/>
        <s v="Territórios"/>
        <s v="The Castle is Closed for Repair"/>
        <s v="The Christmas Tree"/>
        <s v="The Entrance"/>
        <s v="The Footstep"/>
        <s v="The Lovebirds"/>
        <s v="The Sound of Silence"/>
        <s v="They Shoot Crows… don't they?"/>
        <s v="Tiger Trip"/>
        <s v="Time is on my Side"/>
        <s v="Timor: Unfinished Journeys"/>
        <s v="Tio Rui"/>
        <s v="Todos os Gajos têm um Tio Maluco"/>
        <s v="Todos os Passos"/>
        <s v="Tony"/>
        <s v="Torre Bela"/>
        <s v="Trabalho de Actriz, Trabalho de Actor"/>
        <s v="Trabalho do Corpo"/>
        <s v="Traces of a Diary"/>
        <s v="Transe"/>
        <s v="Trash TV"/>
        <s v="Trás-os-Montes"/>
        <s v="Três Irmãos"/>
        <s v="Três Palmeiras"/>
        <s v="Tua - ver o que se passa"/>
        <s v="Turno da Noite - Último Assalto"/>
        <s v="Um Adeus Português"/>
        <s v="Um Amor de Perdição"/>
        <s v="Um Bando de Passarinhos"/>
        <s v="Um Conto de Natal"/>
        <s v="Um Dia como os outros"/>
        <s v="Um Dia Frio"/>
        <s v="Um Dia Longo"/>
        <s v="Um Filme Extraordinário"/>
        <s v="Um Filme Falado"/>
        <s v="Um Filme Português"/>
        <s v="Um Funeral à Chuva"/>
        <s v="Um Gato sem Nome"/>
        <s v="Um Gesto de Amor"/>
        <s v="Um Natal Especial"/>
        <s v="Um Passo, outro Passo e Depois…"/>
        <s v="Um Roupão Vermelho Sangue"/>
        <s v="Um Ser Literário"/>
        <s v="Um Tesoiro"/>
        <s v="Uma Abelha na Chuva"/>
        <s v="Uma na Bravo outra na Ditadura"/>
        <s v="Uma Noite Ao Acaso"/>
        <s v="Universo de Mya"/>
        <s v="Ursas Menores"/>
        <s v="Vacas"/>
        <s v="Vai e Vem"/>
        <s v="Vai tudo de cana"/>
        <s v="Vale Abraão"/>
        <s v="Vamos cantar"/>
        <s v="Vendedor de Sonhos"/>
        <s v="Verão 77"/>
        <s v="Veredas"/>
        <s v="Verónica"/>
        <s v="Via de Acesso"/>
        <s v="Viagem a Cabo Verde"/>
        <s v="Viagem a Portugal"/>
        <s v="Viagem ao Coração do Douro, a terra onde nasci"/>
        <s v="Viagem ao Princípio do Mundo"/>
        <s v="Viagem até Casa"/>
        <s v="Vibratum Vitae"/>
        <s v="Vicky &amp; Sam"/>
        <s v="Vilarinho das Furnas"/>
        <s v="Vinho 8"/>
        <s v="Vintage"/>
        <s v="Visionary Iraq"/>
        <s v="Visualizing Empires Decline"/>
        <s v="Voodoo"/>
        <s v="Voragem"/>
        <s v="Vou dar-te aquilo que queres"/>
        <s v="Vozes desde Moçambique"/>
        <s v="Wakasa"/>
        <s v="Weakest Part"/>
        <s v="Welcome"/>
        <s v="Wild Brunch"/>
        <s v="Women don't play trumpet"/>
        <s v="Xavier"/>
        <s v="Yama No Anata - Para além das Montanhas"/>
        <s v="Zé da Guiné: Crónica dum Africano em Lisboa"/>
        <s v="Zé e o Pinguim"/>
        <s v="Zé Pimpão, o Acelera"/>
        <s v="Zéfiro"/>
        <s v="Zero"/>
        <s v="Zoo"/>
        <s v="Zuca"/>
        <s v="18"/>
        <s v="240"/>
        <s v="1/1"/>
        <s v="#3 Rotten"/>
        <s v="&amp; ETC"/>
        <s v="(In)sanidade"/>
        <s v="(ir)real"/>
        <s v="[REC]"/>
        <s v="1 Rosa, 4 Espinhos"/>
        <s v="1+3 Histórias"/>
        <s v="11 Burros Caem no Estômago Vazio"/>
        <s v="13 Fragmentogramas"/>
        <s v="15 Bilhões de Fatias de (-t)+ Deus"/>
        <s v="1ª vez 16mm"/>
        <s v="20X3=0"/>
        <s v="2P2R"/>
        <s v="30 Days without Surfing"/>
        <s v="4 Estações sobre o Monsanto"/>
        <s v="50 Pesos Argentinos"/>
        <s v="60 Anos do Cinema São Jorge"/>
        <s v="98 Octanas"/>
        <s v="A Açorda de Alho"/>
        <s v="A Balada do Mocho"/>
        <s v="A Bruxa de Arroios"/>
        <s v="A Cabine"/>
        <s v="A Caixa"/>
        <s v="A Can of Worms"/>
        <s v="A Cara que mereces"/>
        <s v="A Carta"/>
        <s v="A Casa"/>
        <s v="A Casa Azul"/>
        <s v="A Casa do Lado"/>
        <s v="A Casa que Eu Quero"/>
        <s v="A Cidade e o Sol"/>
        <s v="A Cidade onde Moro"/>
        <s v="A Cidade Respira"/>
        <s v="A Clockwork Orange"/>
        <s v="A Colecção"/>
        <s v="A Comédia de Deus"/>
        <s v="A Comunidade"/>
        <s v="A Corda do Relógio"/>
        <s v="A Dança das Pétalas"/>
        <s v="A Dança dos Flamingos"/>
        <s v="A Decisão"/>
        <s v="A Demanda"/>
        <s v="A Dream of Passion"/>
        <s v="A Energia na Terra chega para Todos. Basta partilhá-la!"/>
        <s v="A Escolha"/>
        <s v="A Espiral da Morte dos Operários-Formiga"/>
        <s v="A Estrada para Mazgani"/>
        <s v="A Estrela Mais Brilhante"/>
        <s v="A Ferida"/>
        <s v="A Fuga"/>
        <s v="A Garrafa"/>
        <s v="A Grande Inundação"/>
        <s v="A Ilha da Boa Vida"/>
        <s v="A Luz da Terra Antiga"/>
        <s v="A Menina que tinha medo do escuro"/>
        <s v="A Mesa Ferida"/>
        <s v="A Minha Banda e Eu"/>
        <s v="A Minha Rua"/>
        <s v="A Moral Conjugal"/>
        <s v="A Morte de Tchaikovsky"/>
        <s v="A Nau Catrineta"/>
        <s v="A Noite"/>
        <s v="A Noite saíu à Rua"/>
        <s v="A Noiva"/>
        <s v="A Olhar para Cima"/>
        <s v="A Praia"/>
        <s v="A Prece"/>
        <s v="A Quinta Essência"/>
        <s v="A Raia"/>
        <s v="A Rapariga da Máquina de Filmar"/>
        <s v="A Rapariga de Cabelo Vermelho"/>
        <s v="A Rebelião das Tílias"/>
        <s v="A Rua da Estrada"/>
        <s v="A Teia de Gelo"/>
        <s v="A Tempestade"/>
        <s v="A tua Sorte está no Papo"/>
        <s v="A última sessão"/>
        <s v="A última vez que vi Macau"/>
        <s v="A Valsa"/>
        <s v="A Vontade do Senhor"/>
        <s v="A vossa Casa"/>
        <s v="A Winterlap"/>
        <s v="Abautres in Europe"/>
        <s v="About Pigs"/>
        <s v="Abusoverbal"/>
        <s v="Aconteceu no Interior"/>
        <s v="Acordar"/>
        <s v="Ad Esquizo"/>
        <s v="Adormecido"/>
        <s v="Adriana"/>
        <s v="Ahh!"/>
        <s v="Aldeia do Mito"/>
        <s v="Aldina Duarte: Princesa Prometida"/>
        <s v="Além de ti"/>
        <s v="Alfama, a velha Lisboa"/>
        <s v="Algún Lugar"/>
        <s v="Alquimia"/>
        <s v="Alto do Minho"/>
        <s v="Amanhã à mesma hora"/>
        <s v="Amanhecer a Andar"/>
        <s v="Amélia &amp; Duarte"/>
        <s v="Análise"/>
        <s v="Ângelo de Sousa: Tudo o que sou capaz"/>
        <s v="Angola - Da Costa à Contracosta"/>
        <s v="Antero"/>
        <s v="António, um Rapaz de Lisboa"/>
        <s v="Aparelho Voador a Baixa Altitude"/>
        <s v="Apenas a lua"/>
        <s v="Aqui "/>
        <s v="Aqui D'El-Rei!"/>
        <s v="Aqui e Agora"/>
        <s v="Aqui jaz a minha casa"/>
        <s v="Aqui para vocês"/>
        <s v="Arca d'Água"/>
        <s v="Arrependimento no Tempo"/>
        <s v="Artigo 45º"/>
        <s v="As Bodas"/>
        <s v="As Duas Faces da Guerra"/>
        <s v="As Extraordinárias Aventuras de Dog Mendonça e Pizza Boy II (Trailer)"/>
        <s v="As Horas de Maria"/>
        <s v="As Horas do Douro"/>
        <s v="As Mãos da Terra"/>
        <s v="As Máquinas de Maria"/>
        <s v="As Ondas"/>
        <s v="As Pedras e o Tempo"/>
        <s v="Assembleia"/>
        <s v="At the Dance"/>
        <s v="Até Amanhã"/>
        <s v="Até ao Mar"/>
        <s v="Até quando"/>
        <s v="Atracados"/>
        <s v="Auguste"/>
        <s v="Aurum"/>
        <s v="Aux Bains de la Reine"/>
        <s v="Bafatá Film Clube"/>
        <s v="Balaou"/>
        <s v="Balas e Bolinhos - O Último Capítulo"/>
        <s v="Ballerinas in a quiet place"/>
        <s v="Bankers"/>
        <s v="Be"/>
        <s v="Bebé"/>
        <s v="Bela Vista"/>
        <s v="Belle Toujours"/>
        <s v="Benches"/>
        <s v="Berlenga - A Ilha do Farol"/>
        <s v="Bipolar"/>
        <s v="Birds/Ornithes"/>
        <s v="Branco"/>
        <s v="Brigitte's Dream"/>
        <s v="Brinca com o Fogo"/>
        <s v="Bunker"/>
        <s v="Business Man"/>
        <s v="C.S.I. 8 minutos"/>
        <s v="Cacheu"/>
        <s v="Café Utopia"/>
        <s v="Calor &amp; Moscas"/>
        <s v="Cama de Gato"/>
        <s v="Caminhos da Liberdade"/>
        <s v="Canção do Desterro"/>
        <s v="Canto da Terra d'Água"/>
        <s v="Cantores do Submundo"/>
        <s v="Capitães da Areia"/>
        <s v="Carcavelos Wine"/>
        <s v="Casa da Bôxa"/>
        <s v="Casa de Lava"/>
        <s v="Casa na Comporta"/>
        <s v="Casas da Rua"/>
        <s v="Catembe - 7 Dias em Lourenço Marques"/>
        <s v="Cativeiro"/>
        <s v="Cavalinho, o Mundo Mágico"/>
        <s v="Celeste"/>
        <s v="Cenas de uma Comunidade Política"/>
        <s v="Centro Histórico"/>
        <s v="Chama do Conhecimento"/>
        <s v="Ciclos, biciclos e triciclos"/>
        <s v="Cidade Colorida"/>
        <s v="Cine Castelo Rodrigo"/>
        <s v="Cinema"/>
        <s v="Cinema Português…?"/>
        <s v="Cinzas, Ensaio sobre o Fogo"/>
        <s v="Clandestino"/>
        <s v="Cocó, Ranheta e Facada"/>
        <s v="Cof Cof"/>
        <s v="Coisas de Gaiatos"/>
        <s v="Coisas Implausíveis #1"/>
        <s v="Com amor. Sara"/>
        <s v="Com que voz"/>
        <s v="Como eu te via"/>
        <s v="Compositio III"/>
        <s v="Compramos e Vendemos Sentimentos"/>
        <s v="Confiança Cega"/>
        <s v="Conflito"/>
        <s v="Conflitos"/>
        <s v="Cool"/>
        <s v="Cor"/>
        <s v="Corrente"/>
        <s v="Corte de Cabelo"/>
        <s v="Cosmopolis"/>
        <s v="Cossé, 16h"/>
        <s v="Crescendo"/>
        <s v="Criação"/>
        <s v="Cromlech"/>
        <s v="Crónica Parisiense"/>
        <s v="Cronofóbico"/>
        <s v="Crossing Walls"/>
        <s v="Crumpling"/>
        <s v="Crytal Shipsss - Smile"/>
        <s v="Da Natureza das Coisas"/>
        <s v="Dá-me Luz"/>
        <s v="De Dentro"/>
        <s v="Deixa vir o de Amanhã"/>
        <s v="Demain?"/>
        <s v="Demónio Interior"/>
        <s v="Depois de Abril"/>
        <s v="Deportado"/>
        <s v="Depressure"/>
        <s v="Der Rosenkönig"/>
        <s v="Des(Censurado)"/>
        <s v="Desavergonhadamente Real"/>
        <s v="Desliga"/>
        <s v="Deux"/>
        <s v="Devastação"/>
        <s v="Devoção"/>
        <s v="Devolvendo Isabel"/>
        <s v="Diagnóstico"/>
        <s v="Diário de uma Inspectora do Livro de Recordes"/>
        <s v="Diários da Bósnia"/>
        <s v="Do Céu e da Terra"/>
        <s v="Do Mundo"/>
        <s v="Do not Stop"/>
        <s v="Dois dias e uma noite"/>
        <s v="Dois Pares e Meio de Asas"/>
        <s v="Domingo à Tarde"/>
        <s v="Dona Poupança e o Jardim dos Valores"/>
        <s v="Donos de Portugal"/>
        <s v="DOT.COM"/>
        <s v="Dualidade"/>
        <s v="Duas Pessoas"/>
        <s v="E Amanhã…"/>
        <s v="E assim"/>
        <s v="É triste, N é?"/>
        <s v="Éden"/>
        <s v="Édouard glissant, um monde en rélation"/>
        <s v="Efeito Velcro"/>
        <s v="Efeitos Secundários"/>
        <s v="Ekaterina"/>
        <s v="El Castigo"/>
        <s v="El Despertar de Jaume"/>
        <s v="Em Câmara Lenta"/>
        <s v="Em Segunda Mão"/>
        <s v="Emboscada por dez lados"/>
        <s v="Encontro com São João da Cruz"/>
        <s v="Encounters with Landscape (3x)"/>
        <s v="Encruzilhada"/>
        <s v="Encurralada nos Rochedos"/>
        <s v="Entre a Arte e o Engenho - O Montado"/>
        <s v="Entre Música e Educação"/>
        <s v="Entre o Céu e a Serra - Os Trabalhos de Manuel Palheiro"/>
        <s v="Entrecampos"/>
        <s v="Entrevista com Almiro Vilar da Costa"/>
        <s v="Era assim a Vida naquele Tempo"/>
        <s v="Es.Col.A da Fontinha - Espaço Colectivo Autogestionado"/>
        <s v="Escama de Peixe"/>
        <s v="Escolhas"/>
        <s v="Espelho"/>
        <s v="Espelho Meu"/>
        <s v="Esperança"/>
        <s v="Esquecidos"/>
        <s v="Esta é a minha Casa"/>
        <s v="Esta Televisão é sua"/>
        <s v="Estado Líquido"/>
        <s v="Estátua"/>
        <s v="Estou para aqui assim…"/>
        <s v="Eu Quero a Lua"/>
        <s v="Eu, Martim"/>
        <s v="Eufonia"/>
        <s v="Évora Encantadora"/>
        <s v="Excursão"/>
        <s v="Exit through the Wall"/>
        <s v="Exposição Raul Lino"/>
        <s v="Ex-Votos Portugueses"/>
        <s v="Fado Canibal"/>
        <s v="Fado do Homem Crescido"/>
        <s v="Fado Lusitano"/>
        <s v="Fado na Noite"/>
        <s v="Fados"/>
        <s v="Faixa Negra"/>
        <s v="Falha do Sistema"/>
        <s v="Faminto"/>
        <s v="Fárria"/>
        <s v="Fátima de A a Z"/>
        <s v="Fazedor de Nuvens"/>
        <s v="Fé nos Burros"/>
        <s v="Feast"/>
        <s v="Fecha-se uma Porta, abre-se uma Janela"/>
        <s v="Feeling Good"/>
        <s v="Felicidade"/>
        <s v="Fernando Lopes, Provavelmente"/>
        <s v="Filha da Mãe"/>
        <s v="Fio de Azeite"/>
        <s v="Florbela"/>
        <s v="Fly - Último Adeus"/>
        <s v="Fogo Cruzado"/>
        <s v="Folie à Deux"/>
        <s v="For Sale"/>
        <s v="For Those who Stay"/>
        <s v="Foxy &amp; Meg: Na Estrada"/>
        <s v="Foxy &amp; Meg: No Ar"/>
        <s v="Frio"/>
        <s v="From New York with Love"/>
        <s v="Gasoline"/>
        <s v="Gemina"/>
        <s v="Genesis Encore Cascais 75"/>
        <s v="Gerações Curtas!'"/>
        <s v="Gesto de Amor"/>
        <s v="Gestos e Fragmentos"/>
        <s v="Gina"/>
        <s v="Ginjas (5 episódios)"/>
        <s v="Glória"/>
        <s v="Grande Hotel"/>
        <s v="Guardar Silêncio"/>
        <s v="Guna X - DevirII"/>
        <s v="Hair"/>
        <s v="Harmonia &amp; Improviso"/>
        <s v="Helena Aquática v.3.0."/>
        <s v="Hemisférios Opostos"/>
        <s v="Herdade da Comporta"/>
        <s v="Heterotopia"/>
        <s v="Histórias do Fundo do Quintal"/>
        <s v="Horizonte"/>
        <s v="Horses"/>
        <s v="Hóspedes da Noite"/>
        <s v="Hot Coffee"/>
        <s v="Hotel Müller"/>
        <s v="HullaZulla"/>
        <s v="I Absurd You Obsess We Abstract"/>
        <s v="Imorredoira"/>
        <s v="Impressões do Tempo"/>
        <s v="Indefectible Blemish"/>
        <s v="Indiana Bones vem jantar ao bairro"/>
        <s v="Indústria Têxtil"/>
        <s v="Inquérito Privado"/>
        <s v="Insónia da Evolução"/>
        <s v="Inspire Country"/>
        <s v="Interlúdio"/>
        <s v="Jamie Grind - For You"/>
        <s v="Jardim"/>
        <s v="Jesus por um Dia"/>
        <s v="João Wilson - Human Aeroplane"/>
        <s v="Johnson - O Reverso da Medalha"/>
        <s v="José Saramago - Plano B"/>
        <s v="Julian"/>
        <s v="Kali, o Pequeno Vampiro"/>
        <s v="Killing Eletrónica - Forever Kids"/>
        <s v="Kilombos"/>
        <s v="Kizuna"/>
        <s v="Kuduro, Fogo no Museke"/>
        <s v="La chambre jaune"/>
        <s v="Lá Fora"/>
        <s v="Laboratório #6 - Barro"/>
        <s v="Lacrimosa"/>
        <s v="L'agriculteur qui a quitté l'agriculture"/>
        <s v="Lágrimas de um Palhaço"/>
        <s v="Land of my Dreams"/>
        <s v="Lavrofícios"/>
        <s v="Lázaro"/>
        <s v="Le Bassin de J.W."/>
        <s v="Le pain que le diable a pétri"/>
        <s v="Le passeur"/>
        <s v="Legados de José Afonso"/>
        <s v="Leite"/>
        <s v="Leito de Maldição"/>
        <s v="Les Paysages"/>
        <s v="Libhaketi"/>
        <s v="Life is a Wave (A Vida é uma Onda)"/>
        <s v="Life of Brian"/>
        <s v="Língua - Vidas em Português"/>
        <s v="Linhas de Wellington"/>
        <s v="Lisboa no Cinema, um Ponto de Vista"/>
        <s v="Lisboa-Porto"/>
        <s v="Lisbon Wave Dream"/>
        <s v="Little Maestro"/>
        <s v="Livro de Ponto"/>
        <s v="L'oeil de Dieu"/>
        <s v="Loly Pop Star"/>
        <s v="Longtemps je me suis couché de bonne heure"/>
        <s v="Lovely Lies"/>
        <s v="Lugar do Tempo"/>
        <s v="Lullaby"/>
        <s v="Luz da Manhã"/>
        <s v="Macadam Tribu"/>
        <s v="Made from Ox Gut"/>
        <s v="Mãe há só Uma"/>
        <s v="Mais Alma"/>
        <s v="Mais um Dia à procura"/>
        <s v="Mamadu &amp; Binta"/>
        <s v="Manducare"/>
        <s v="Manhã de Santo António"/>
        <s v="Manuel Hermínio Monteiro - MHM"/>
        <s v="Mareantes"/>
        <s v="Marguerite Duras"/>
        <s v="Maria Vs Realidade"/>
        <s v="Marraquexe"/>
        <s v="Mazagão - A Água que volta"/>
        <s v="Meio Caminho Andado"/>
        <s v="Melomeno Rítmica"/>
        <s v="Memórias em (Des)construção"/>
        <s v="Mercados de Lisboa"/>
        <s v="Metástese I"/>
        <s v="Meu caro amigo Chico"/>
        <s v="Mix Pensão Internacional"/>
        <s v="MK Spitfire"/>
        <s v="Mombasa, o Forte de Jesus"/>
        <s v="Momentos de Vida"/>
        <s v="Montalegre… uma Ideia da Natureza"/>
        <s v="Montar a Tenda"/>
        <s v="Montemor"/>
        <s v="Morangos com Açúcar - O Filme"/>
        <s v="MPB"/>
        <s v="Mulher Mar"/>
        <s v="Mulheres na Pesca"/>
        <s v="Müller-Brockmann (P3)"/>
        <s v="Mupepy Munatim"/>
        <s v="Murmúrio do Amanhecer"/>
        <s v="My Design is"/>
        <s v="Na cidade"/>
        <s v="Na Cidade Vazia"/>
        <s v="Nada Fazi"/>
        <s v="Nadir Afonso - O Tempo não Existe"/>
        <s v="Não há Rosa sem Espinhos"/>
        <s v="Não há Vacas no Céu"/>
        <s v="Não me importava morrer se houvesse guitarras no céu"/>
        <s v="Não sei quantos segundos"/>
        <s v="Nas tuas palavras"/>
        <s v="Nascimento de uma Garrafa"/>
        <s v="Nau Caxineta"/>
        <s v="Nazaré, Praia de Pescadores"/>
        <s v="Ne change rien"/>
        <s v="No Fio da Navalha"/>
        <s v="No Mundo da Lua"/>
        <s v="No quarto da Vanda"/>
        <s v="Noall &amp; Curios in TorchDog"/>
        <s v="Noite"/>
        <s v="Noite de Festa"/>
        <s v="Nós na Rua"/>
        <s v="Nossa Terra"/>
        <s v="Nutri Ventures"/>
        <s v="O 21 da Rua da Esperança"/>
        <s v="O Acto da Primavera"/>
        <s v="O Alívio dos Apertos"/>
        <s v="O Arquitecto e a Cidade Velha"/>
        <s v="O Beijo"/>
        <s v="O Bravo Som dos Tambores"/>
        <s v="O Cágado"/>
        <s v="O Canto do Rocha"/>
        <s v="O Canto dos Cisnes"/>
        <s v="O Capacete Dourado"/>
        <s v="O Carteiro"/>
        <s v="O Céu que nos une nos dias de solidão"/>
        <s v="O Coelhinho Branco"/>
        <s v="O Construtor de Anjos"/>
        <s v="O Contrabaixo"/>
        <s v="O Coveiro"/>
        <s v="O Crime de Aldeia Velha"/>
        <s v="O Delfim"/>
        <s v="O Dia do Desespero"/>
        <s v="O Dia mais Feliz da Tua Vida"/>
        <s v="O Dilúvio"/>
        <s v="O Direito à Infelicidade"/>
        <s v="O Dom das Lágrimas"/>
        <s v="O Dormitório"/>
        <s v="O Duque do Saldanha"/>
        <s v="O Encoberto"/>
        <s v="O Facínora"/>
        <s v="O Fado da Bia"/>
        <s v="O Fantasma do Novais"/>
        <s v="O Fim do Homem"/>
        <s v="O Fio do Horizonte"/>
        <s v="O Frágil Som do Meu Motor"/>
        <s v="O Frigorífico"/>
        <s v="O Gebo e a Sombra"/>
        <s v="O Gigante"/>
        <s v="O Grande Kilapy"/>
        <s v="O Grande Monteleone"/>
        <s v="O Homem do Trator"/>
        <s v="O Ladrão"/>
        <s v="O Lápis que não sabia escrever"/>
        <s v="O Lenhador"/>
        <s v="O Lugar do Abandono"/>
        <s v="O Mal dos Outros"/>
        <s v="Ó Marquês anda Cá Abaixo Outra Vez"/>
        <s v="O Meu Outro Mundo"/>
        <s v="O Milagre de Santo António"/>
        <s v="O Minho"/>
        <s v="O Nylon da Minha Aldeia"/>
        <s v="Ó Pai, o que é a Crise?"/>
        <s v="O Pão (II)"/>
        <s v="O Pastor"/>
        <s v="O Planalto da Mourela"/>
        <s v="O Princípio do Fim"/>
        <s v="O Quadro"/>
        <s v="O Que Arde Cura"/>
        <s v="O Rapaz que Ouvia Pássaros"/>
        <s v="O Refugiado"/>
        <s v="O Regresso"/>
        <s v="O Reino"/>
        <s v="O Sabor do Leite Creme"/>
        <s v="O Sangue"/>
        <s v="O Som da Terra a Tremer"/>
        <s v="O Sono e o Sonho"/>
        <s v="O Tapete Voador"/>
        <s v="O Tempo e as Bruxas"/>
        <s v="O Tesouro Algarvio"/>
        <s v="Odete"/>
        <s v="Oh Johny"/>
        <s v="Oh que calma!"/>
        <s v="Old Moon"/>
        <s v="Olhar/Ver - Gérard, Fotógrafo"/>
        <s v="Olinda"/>
        <s v="Olo"/>
        <s v="Onde jaz o teu sorriso?"/>
        <s v="One Way or Another (Reflections of a Psykokiller)"/>
        <s v="Operação Outono"/>
        <s v="Oportonity City"/>
        <s v="Orquestra Geração"/>
        <s v="Os Chapéus de Chuva de Chocolate"/>
        <s v="Os Guarda-Rios"/>
        <s v="Os Mágicos Sonhadores"/>
        <s v="Os Monstros da Rita"/>
        <s v="Os Salteadores"/>
        <s v="Os Sorrisos do Destino"/>
        <s v="Os Vivos também choram"/>
        <s v="Ossos"/>
        <s v="Ossos do Ofício"/>
        <s v="Ouroboros"/>
        <s v="Outras Cartas ou O Amor Inventado"/>
        <s v="Outro Homem Qualquer"/>
        <s v="Ouvir Ver Macau"/>
        <s v="Oxalá cresçam Pitangas"/>
        <s v="P.O.C."/>
        <s v="Paisagem"/>
        <s v="Paisagens de Papel"/>
        <s v="Paixão"/>
        <s v="Palavra e Utopia"/>
        <s v="Pão de Ul"/>
        <s v="Pão Lêvedo"/>
        <s v="Papá Wrestling"/>
        <s v="Para o Palco quem não é do Palco"/>
        <s v="Para que as tradições não sejam esquecidas"/>
        <s v="Para ti, Leonor"/>
        <s v="Parabéns!"/>
        <s v="Paralaxe"/>
        <s v="Parque Mayer - O Documentário"/>
        <s v="Passaporte Emigrante"/>
        <s v="Passeio com Johnny Guitar"/>
        <s v="Passividade"/>
        <s v="Pastoral"/>
        <s v="Paula Rego"/>
        <s v="Paulo Neves - Cucujães, o Centro do meu Mundo"/>
        <s v="PDL-LIS"/>
        <s v="Pedro Calapez - Trabalhos do Olhar"/>
        <s v="Perdida Mente"/>
        <s v="Perdido por Cem"/>
        <s v="Perdoa-me"/>
        <s v="Perfume - Se me falas assim"/>
        <s v="Perseguido"/>
        <s v="Pessoalmente"/>
        <s v="Photo"/>
        <s v="Pickills"/>
        <s v="Playday - Sonhar nas quatro linhas"/>
        <s v="Polifonias - Paci è Saluta, Michel Giacometti"/>
        <s v="Porque tu respiras"/>
        <s v="Porquê?"/>
        <s v="Porto, Cidade Oriental"/>
        <s v="Portugal - The Beauty of Simplicity"/>
        <s v="Posfácio nas Confecções Canhão"/>
        <s v="Postcards from Lisbon"/>
        <s v="Pots, Pans and other solutions"/>
        <s v="Pre Evolution Soccer’s One-Minute Dance After A Golden Goal in the Master League"/>
        <s v="Prescrição"/>
        <s v="Preto &amp; Branco"/>
        <s v="Prisão Preventiva"/>
        <s v="Processo Crime 141/53 - Enfermeiras no Estado Novo"/>
        <s v="Procrastinação"/>
        <s v="Prosolhos"/>
        <s v="Próxima Estação"/>
        <s v="PT.ES"/>
        <s v="Quadrado de Amor Bizarro"/>
        <s v="Quadro Branco"/>
        <s v="Quando o Anjo e o Diabo colaboram"/>
        <s v="Quantas Vidas cabem numa República?"/>
        <s v="Quatro Horas Descalço"/>
        <s v="R. Stevie Moore - Tape to Disc"/>
        <s v="Rafa"/>
        <s v="Raiç D'Infainç"/>
        <s v="Rambi e os Perdidos"/>
        <s v="Rapaz ou Rapariga?"/>
        <s v="Raposo Manhoso"/>
        <s v="Rasgos de Solidão"/>
        <s v="Raul Brandão era um grande escritor…"/>
        <s v="Reconversão"/>
        <s v="Repórter X"/>
        <s v="Requiem"/>
        <s v="Respira"/>
        <s v="Rhoma Acans"/>
        <s v="Riqueza Natural"/>
        <s v="Romaria"/>
        <s v="Romeu e Julieta - O Musical"/>
        <s v="Rua da Cale - A última Fronteira"/>
        <s v="Rua das Gaivotas, nº 175"/>
        <s v="Ruga"/>
        <s v="S4phyr4"/>
        <s v="Sagittarius"/>
        <s v="Sailor Marc"/>
        <s v="Sanguetinta"/>
        <s v="Santa Maria dos Olivais"/>
        <s v="São Lázaro 94"/>
        <s v="Sapatos Pretos"/>
        <s v="Saudade"/>
        <s v="Saudade Burra de Fernando Assis Pacheco"/>
        <s v="Saudades de Portugal nº8"/>
        <s v="Save Paúl do Mar"/>
        <s v="Schlager (Carlos Bica+Matéria Prima)"/>
        <s v="Seems So Long Ago, Nancy"/>
        <s v="Self Portrait"/>
        <s v="Sem Anos"/>
        <s v="Sem Papas na Língua"/>
        <s v="Sem Sombra de Pecado"/>
        <s v="Sem título (SUN 2500)"/>
        <s v="Sibilância"/>
        <s v="Silêncio (тиша)"/>
        <s v="Silêncio de Dois Sons"/>
        <s v="Sinais de Serenidade por Coisas sem Sentido"/>
        <s v="Sizígia"/>
        <s v="Sob"/>
        <s v="Sobre Viver"/>
        <s v="Solo"/>
        <s v="Sonhos Roubados"/>
        <s v="Sónia Cabrita - Espontâneo"/>
        <s v="Sónia Cabrita - Little B's Poem"/>
        <s v="Soundgarage"/>
        <s v="Spectrum Optical Disorder"/>
        <s v="Spray"/>
        <s v="Standby"/>
        <s v="Streets of Ealy Sorrow"/>
        <s v="Stroke"/>
        <s v="Summer One"/>
        <s v="Super Vodka"/>
        <s v="Supermercado"/>
        <s v="Tabu"/>
        <s v="Talento de Rua"/>
        <s v="Tão Forte que Somos"/>
        <s v="Tape Loading Error"/>
        <s v="Teles"/>
        <s v="Tempo Voa e nós temos pernas"/>
        <s v="Terra de Ninguém"/>
        <s v="Terra do Fogo"/>
        <s v="Terra dos Sonhos"/>
        <s v="Terra Quente - O Fim do MIlénio"/>
        <s v="Terram - Terra e Mar"/>
        <s v="The Fifth Step"/>
        <s v="The Headless Nun"/>
        <s v="The King's Speech"/>
        <s v="The Night Shift"/>
        <s v="The Taylor's Kiss"/>
        <s v="The Witer's Circle"/>
        <s v="Thirteen Coils"/>
        <s v="Through this Looking Glass"/>
        <s v="Timor Loro-Sae"/>
        <s v="Tormenta"/>
        <s v="Totem"/>
        <s v="Tráfico"/>
        <s v="Trampolim"/>
        <s v="Transeunte"/>
        <s v="Travessia - Viagem à Memória do Tempo"/>
        <s v="Três Menos Eu"/>
        <s v="Trilátero"/>
        <s v="Trust - Confiança"/>
        <s v="Tu &amp; Eu"/>
        <s v="U Omãi qe dava Pulus"/>
        <s v="Udju Azul di Yonta"/>
        <s v="Última Viagem"/>
        <s v="Um Caso de Vida"/>
        <s v="Um Dia de poucos"/>
        <s v="Um Documentário Bestial"/>
        <s v="Um Homem à Varanda"/>
        <s v="Um Passeio no Vazio"/>
        <s v="Um Rio Chamado Ave"/>
        <s v="Um Saltinho"/>
        <s v="Um Sorriso Entrelaçado"/>
        <s v="Um Último Olhar"/>
        <s v="Uma no Cravo e outra no Surf"/>
        <s v="Uma Noite F*****"/>
        <s v="Uma Rapariga no Verão"/>
        <s v="Uma Rosa no Deserto"/>
        <s v="Uma Só Espera"/>
        <s v="Uma Tarde num Espelho"/>
        <s v="Underground"/>
        <s v="Unspoken Understanding"/>
        <s v="Utopia"/>
        <s v="Vaffanculo"/>
        <s v="Vamos ao Nimas"/>
        <s v="Vamos Tocar Todos Juntos  para Ouvirmos Melhor"/>
        <s v="Vazante"/>
        <s v="Vende-se"/>
        <s v="Ver é ter visto"/>
        <s v="VHS - Video Home System"/>
        <s v="Viagem à Expo"/>
        <s v="Viagem a Lisboa (Lisbon Story)"/>
        <s v="Viana do Castelo"/>
        <s v="Viana do Castelo, Festa do Traje e Cortejo do Trabalho"/>
        <s v="Vidal e a História de Portugal"/>
        <s v="Vinte Ver"/>
        <s v="Virgem Margarida"/>
        <s v="Visita Guiada"/>
        <s v="Visite Oliveira do Hospital"/>
        <s v="Visões de Madredeus"/>
        <s v="Vissaium Sonata VZ.23"/>
        <s v="Vivências Passadas/Memórias Futuras: a Cultura do Linho, Pão e Vinho"/>
        <s v="Vou para Casa"/>
        <s v="Walkie-Talkie"/>
        <s v="What's coming"/>
        <s v="Wish's Irony"/>
        <s v="X &amp; Y"/>
        <s v="X.TO"/>
        <s v="You are the Blood"/>
        <s v="Zecca &amp; Zuzzie - O Baú dos Brinquedos"/>
        <s v="Zulmiro de Carvalho"/>
        <s v="Zwazo"/>
        <s v="20,13"/>
        <s v="1960"/>
        <s v="5040"/>
        <s v="(Nada) Anda"/>
        <s v="16.10.12."/>
        <s v="255, Rua da Rosa"/>
        <s v="29-A"/>
        <s v="3 Horas para Amar"/>
        <s v="3x3D"/>
        <s v="8816 Versos"/>
        <s v="A Alquimia do Espírito"/>
        <s v="A Arte de Amália"/>
        <s v="A Bailarina"/>
        <s v="A Batalha de Tabatô"/>
        <s v="A Campanha do Creoula"/>
        <s v="A Ceia"/>
        <s v="A Cena"/>
        <s v="À côté"/>
        <s v="A cozinha do Livramento"/>
        <s v="A Culpa não é minha"/>
        <s v="A Dança"/>
        <s v="A Dança dos Paroxismos"/>
        <s v="A Dupla Coincidência dos Desejos"/>
        <s v="A Encomenda"/>
        <s v="A Esclerose e Eu"/>
        <s v="A evolução da cidade de Faro do comboio ao avião"/>
        <s v="À Flor do Mar"/>
        <s v="A Formiga no Carreiro"/>
        <s v="A Herdade dos Defuntos"/>
        <s v="A Lenda da Cabicanca"/>
        <s v="A Limpeza"/>
        <s v="A Linha"/>
        <s v="A Lisbon Rendezvous"/>
        <s v="A Lua dos Bebucanos"/>
        <s v="A Luz escureceu nos teus Cabelos"/>
        <s v="A Mãe - O Rico e o Pobre"/>
        <s v="A Mãe e o Mar"/>
        <s v="A Menina dos Olhos"/>
        <s v="A Menina Jesus"/>
        <s v="A minha vizinha da frente"/>
        <s v="A Nau Portugal"/>
        <s v="A Palestra"/>
        <s v="A Parede"/>
        <s v="A Piscina"/>
        <s v="A Quebra do Verniz"/>
        <s v="A Severa"/>
        <s v="A Subida"/>
        <s v="A Triste Paixão"/>
        <s v="A última encenação de Joaquim Benite - Não basta dizer &quot;Não"/>
        <s v="A última Lavoura desta Terra"/>
        <s v="A Vida de Rafi"/>
        <s v="A Vida Invisível"/>
        <s v="Acoustic Robot 2013"/>
        <s v="Adeus Sr. António"/>
        <s v="Adolfo, o Rapaz Galinha"/>
        <s v="Agora Nós"/>
        <s v="Águas em Conta"/>
        <s v="Ala-Arriba"/>
        <s v="Alabote"/>
        <s v="Alba - Memórias do Cine-Teatro"/>
        <s v="Aldeia dos Tísicos"/>
        <s v="Aldeia José Franco"/>
        <s v="Alegria do Lar"/>
        <s v="Alexandria"/>
        <s v="Alice e Darlene"/>
        <s v="Allegoria della Prudenza"/>
        <s v="Alma Perturbada"/>
        <s v="Amanhã"/>
        <s v="Amapola"/>
        <s v="Amor à tinta"/>
        <s v="Ana - Um Palíndromo"/>
        <s v="Ana e o Monstro"/>
        <s v="Anquanto la Lhéngua fur Cantada"/>
        <s v="Antigamente, tudo era diferente!"/>
        <s v="António"/>
        <s v="Ao Deus Dará"/>
        <s v="Ao Fundo"/>
        <s v="Ao Lobo da Madragoa"/>
        <s v="Ao Lugar de Herbais"/>
        <s v="Apenas um Homem"/>
        <s v="Aquele Shopping"/>
        <s v="Argaço"/>
        <s v="Arguim Paraíso Ameaçado"/>
        <s v="Ariadne (Ash is a Robot)"/>
        <s v="Arpeggio"/>
        <s v="Arriverdeci Macau"/>
        <s v="Arroz Negro remix"/>
        <s v="Arte Xávega"/>
        <s v="As Bodas de Deus"/>
        <s v="As Coisas não são feitas por acaso"/>
        <s v="As descobertas de Atuaika, Sukita e Andakatu"/>
        <s v="As Pequenas Memórias"/>
        <s v="Asas"/>
        <s v="Assim  Assim"/>
        <s v="Assim como todos os dias"/>
        <s v="Até ao Outro Lado do Arco-Íris"/>
        <s v="Até Ver a Luz"/>
        <s v="Aviãozinho Militar (Orblua)"/>
        <s v="Bab Sebta"/>
        <s v="Back to the Future (Nice Weather for Ducks)"/>
        <s v="Balas Perdidads"/>
        <s v="Banda Desenhada"/>
        <s v="Bárbara"/>
        <s v="Beatriz (Iládio Amado)"/>
        <s v="Bergamo Film Meeting"/>
        <s v="Bibliografia"/>
        <s v="Bílis Negra"/>
        <s v="Blarghaaahrgarg"/>
        <s v="Bobô"/>
        <s v="Body Rice"/>
        <s v="Bom, Muito Bom, Supréme"/>
        <s v="Bombeiros da minha Terra"/>
        <s v="Bordado de Viana"/>
        <s v="Branca de Neve"/>
        <s v="Breu"/>
        <s v="Brincar"/>
        <s v="Bruto"/>
        <s v="Bué Sabi"/>
        <s v="Cachinare"/>
        <s v="Cadavre Exquis"/>
        <s v="Caímos Juntos"/>
        <s v="Caixa de Música"/>
        <s v="Camaleão"/>
        <s v="Campo de Flamingos sem Flamingos"/>
        <s v="Campos de Leiria"/>
        <s v="Cantaria"/>
        <s v="Caput"/>
        <s v="Cara a Cara"/>
        <s v="Carosello"/>
        <s v="Carrotrope"/>
        <s v="Casa das Marinhas"/>
        <s v="Casa Manuel Vieira"/>
        <s v="Caxinas"/>
        <s v="Ce que mon amour doit voir"/>
        <s v="Chama de Mil Cores (João Lum)"/>
        <s v="Chantal"/>
        <s v="Choices"/>
        <s v="Chorus"/>
        <s v="Ciclo Vicioso"/>
        <s v="Ciência Viva no Verão"/>
        <s v="Cigano"/>
        <s v="Cinema Paraíso (Flor de Lis)"/>
        <s v="Cinemática"/>
        <s v="Circa me"/>
        <s v="Cold Wa(te)r"/>
        <s v="Como tu!"/>
        <s v="Conakry"/>
        <s v="Conquer the Moon"/>
        <s v="Conserva Acabada"/>
        <s v="Contos das Coisas"/>
        <s v="Corpo Body Corps Körper Corpus"/>
        <s v="Creation Destruction Rebirth"/>
        <s v="Crooner Vieira - A Potência da Voz e o Romantismo não têm a ver com a Idade"/>
        <s v="Crow Covered Tree (A Jigsaw)"/>
        <s v="Cuba"/>
        <s v="Curiositas"/>
        <s v="Da Serra à Planície"/>
        <s v="Dança Dança Fogo Dança"/>
        <s v="Daqui p'rá Alegria"/>
        <s v="Daqui pra lá… de lá pra cá. Histórias de Reintegração no Brasil"/>
        <s v="Dare to believe"/>
        <s v="De Manhã"/>
        <s v="De mim"/>
        <s v="De onde os Pássaros vêem a Cidade"/>
        <s v="De vez em quando levanto-me e vou à janela"/>
        <s v="De Volta às Raízes"/>
        <s v="Decadentismo"/>
        <s v="Depois dos Nossos Ídolos"/>
        <s v="Depois liga para cá"/>
        <s v="Desafios"/>
        <s v="Desespero"/>
        <s v="Diamantes Negros"/>
        <s v="Dingo"/>
        <s v="Disparem à vontade"/>
        <s v="Dive: Approach and Exit"/>
        <s v="Do Outro Lado"/>
        <s v="Documentário 239"/>
        <s v="Dona Fúnfia"/>
        <s v="Dona Tututa"/>
        <s v="Dried Up River Blues (A Jigsaw)"/>
        <s v="E agora? Lembra-me"/>
        <s v="É o Amor"/>
        <s v="Eléctrico Loops"/>
        <s v="Eles comem tudo (Chullage)"/>
        <s v="Em 3.2.1, Acção"/>
        <s v="Em Honra de São Gualter"/>
        <s v="Encontro com o Criador"/>
        <s v="Ensaio sobre o Teatro"/>
        <s v="Ent(r)e"/>
        <s v="Entre o Céu e as Marés"/>
        <s v="Entre Paredes"/>
        <s v="Entropia"/>
        <s v="Enxoval"/>
        <s v="Ermo"/>
        <s v="Eroticon"/>
        <s v="Errante"/>
        <s v="Escapism"/>
        <s v="Espelho Mágico"/>
        <s v="Esta é a minha cidade"/>
        <s v="Eucaristia"/>
        <s v="Falsa Fama (Porte)"/>
        <s v="Faz Tudo Parte"/>
        <s v="Fernando que ganhou um Pássaro do Mar"/>
        <s v="Ferro - O Processo"/>
        <s v="Fiesta"/>
        <s v="Fios de Tempo"/>
        <s v="Fisherman's Dream"/>
        <s v="Flor do Amor"/>
        <s v="Flor e Eclipse"/>
        <s v="Floração"/>
        <s v="Fogaças de Palmela"/>
        <s v="Fome e Fartura"/>
        <s v="Fontelonga"/>
        <s v="Forbidden Room"/>
        <s v="Forever"/>
        <s v="Fotógrafa pela Liberdade da Pátria"/>
        <s v="Fragmentos de um Filme-Esmola - A Sagrada Família"/>
        <s v="Fragmentos de uma Observação Participativa"/>
        <s v="Frita mas com ganas de vivir"/>
        <s v="Fúria"/>
        <s v="Futebol de Causas"/>
        <s v="Gado Bravo"/>
        <s v="Gaia"/>
        <s v="Gambozinos"/>
        <s v="Gata Má"/>
        <s v="Gente Feliz com Làgrimas "/>
        <s v="Gente Trigueira"/>
        <s v="Ghost"/>
        <s v="Gingers"/>
        <s v="Gipsy Dance (Tribal Baroque)"/>
        <s v="Guerra das Conchas"/>
        <s v="Herberto"/>
        <s v="Herculano"/>
        <s v="História dos Açores"/>
        <s v="Homem Só"/>
        <s v="Homozapping"/>
        <s v="Hotel da Noiva"/>
        <s v="I am Tigerman"/>
        <s v="I Still Do (Bloom in Stereo)"/>
        <s v="Imaculado"/>
        <s v="Íman"/>
        <s v="In Winter"/>
        <s v="Inalterável"/>
        <s v="Incredulous Voice"/>
        <s v="India (in motion)"/>
        <s v="Inquietude/Disquietude"/>
        <s v="Irmão de Guerra"/>
        <s v="Is too cold outside"/>
        <s v="Isto é para ti"/>
        <s v="Jaqueline"/>
        <s v="Jesus Loves Me"/>
        <s v="Jewels"/>
        <s v="João Ratão"/>
        <s v="José Combustão dos Porcos"/>
        <s v="June"/>
        <s v="Kadjike"/>
        <s v="La nuit du coup d'état"/>
        <s v="Lacrau"/>
        <s v="Lápis Azul"/>
        <s v="Lar Doce Lar"/>
        <s v="L'Arc-en-Ciel"/>
        <s v="Lazareto"/>
        <s v="Lettera Amorosa"/>
        <s v="Limbo"/>
        <s v="Linhas"/>
        <s v="Lobos e Homens"/>
        <s v="Locked in"/>
        <s v="Longe do Éden"/>
        <s v="Love's Physics"/>
        <s v="Luanda por Terra Água e Ar"/>
        <s v="Lucid and Sober Dreaming"/>
        <s v="Lúcio"/>
        <s v="Luís"/>
        <s v="Luiz da Rocha"/>
        <s v="Luminita"/>
        <s v="Luto"/>
        <s v="M"/>
        <s v="Má Hora"/>
        <s v="Má Raça"/>
        <s v="Mahjong"/>
        <s v="Man in Bag"/>
        <s v="Mancha"/>
        <s v="Manhã Triste"/>
        <s v="Manifestação"/>
        <s v="Manual do Sentimento Doméstico"/>
        <s v="Máscaras"/>
        <s v="Mau Vinho"/>
        <s v="Memória de um Banho Santo"/>
        <s v="Memória fotográfica"/>
        <s v="Memórias da Cruz"/>
        <s v="Memórias de Guerra"/>
        <s v="Mergulho"/>
        <s v="Mestre Luiz Cunha - No Limite do Imaginário"/>
        <s v="Mestre Macário"/>
        <s v="Meu Pescador, Meu Velho"/>
        <s v="Moliceiros"/>
        <s v="Mon cas"/>
        <s v="Monstro"/>
        <s v="Mr. Carrot"/>
        <s v="Mr. Pickle"/>
        <s v="Mucancas - Estória de uma Escola Paga"/>
        <s v="Na escama do dragão"/>
        <s v="Natimorfo"/>
        <s v="Nazaré, Terra de Milagres"/>
        <s v="Negro"/>
        <s v="Nenhum Nome"/>
        <s v="Neñures"/>
        <s v="Nico - A Revolta"/>
        <s v="Night Train to Lisbon"/>
        <s v="No País dos Sacanas"/>
        <s v="Nome de Guerra - A Viagem de Junqueiro"/>
        <s v="Non ou A Vã Glória de Mandar"/>
        <s v="Nós por cá todos bem"/>
        <s v="Nu Feminino"/>
        <s v="Nunca pensei que o bairro viesse abaixo"/>
        <s v="O Adeus à Brisa"/>
        <s v="O Amor das Três Romãs"/>
        <s v="O Anjo"/>
        <s v="O Astronauta"/>
        <s v="O Berço Imperfeito"/>
        <s v="O Bestiário ou O Cortejo de Orfeu"/>
        <s v="O Bilhete"/>
        <s v="O Canal por Sintonizar"/>
        <s v="O Cheiro das Velas"/>
        <s v="O Corpo de Afonso"/>
        <s v="O Efeito Werther"/>
        <s v="O Encadernador"/>
        <s v="O Espelho da Cidade"/>
        <s v="O Homem que Remava o Barco"/>
        <s v="O Infinito Concentrado"/>
        <s v="O Jugo Vareiro"/>
        <s v="O Lago"/>
        <s v="O Medo vai ter tudo"/>
        <s v="O menino e o caranguejo"/>
        <s v="O Miradouro da Lua"/>
        <s v="O Mundo cai aos Bocados (e ainda assim as pessoas apaixonam-se)"/>
        <s v="O Nome de Carapito"/>
        <s v="O Nome e o N.I.M."/>
        <s v="O Novo Testamento de Jesus Cristo Segundo João"/>
        <s v="O Outro Lado"/>
        <s v="O que eu entendo por amor"/>
        <s v="O que te quero"/>
        <s v="O Recado"/>
        <s v="O Reino do Silêncio"/>
        <s v="O Sabor da Despedida"/>
        <s v="O Segredo Segundo António Botto"/>
        <s v="O Silêncio das Sereias"/>
        <s v="O Sol Nasce Sempre do Mesmo Lado"/>
        <s v="O Som do Silêncio"/>
        <s v="O Tesouro"/>
        <s v="O Troco"/>
        <s v="O último de nós"/>
        <s v="O último serviço"/>
        <s v="O Vazio entre Nós"/>
        <s v="O Zé"/>
        <s v="Oblivion"/>
        <s v="Odisseia nas Imagens"/>
        <s v="Off the Beaten Track"/>
        <s v="Olaria"/>
        <s v="Olho de Boi"/>
        <s v="Onde Bate o Sol"/>
        <s v="One Right Lie (A Jigsaw)"/>
        <s v="One with Nature"/>
        <s v="Orelha Negra"/>
        <s v="Os Abismos da Meia Noite"/>
        <s v="Os Caminhos de Jorge"/>
        <s v="Os Canibais"/>
        <s v="Os Dias com Ele"/>
        <s v="Os Dois Soldados"/>
        <s v="Os Guardiões das Florestas"/>
        <s v="Os mortos também puxam de um cigarro"/>
        <s v="Os quiero, os respeto, os necesito -  15M desde Dentro"/>
        <s v="Os Sons também Falam"/>
        <s v="Ouro de Lei - Histórias do Ouro Popular Português"/>
        <s v="Palhaços (The Soaked Lamb)"/>
        <s v="Pancho Guedes - Ecos de uma Modernidade Alternativa"/>
        <s v="Panorama"/>
        <s v="Partir"/>
        <s v="Passando à de Zé Marôvas"/>
        <s v="Pastorícia"/>
        <s v="Pax America"/>
        <s v="Pecado Fatal"/>
        <s v="Pedro"/>
        <s v="Penitência"/>
        <s v="Pequenos Teatros de Rua"/>
        <s v="Perdidos"/>
        <s v="Perto de Mais"/>
        <s v="Plutão"/>
        <s v="Pó"/>
        <s v="Poesia de Segunda Categoria"/>
        <s v="Ponto de Fuga"/>
        <s v="Porto de Abrigo"/>
        <s v="Pretarouca - Temos de ir com os tempos"/>
        <s v="Primária"/>
        <s v="Princesa"/>
        <s v="Projecto V"/>
        <s v="Prova de Contacto"/>
        <s v="Quarta Divisão"/>
        <s v="Quem espera por Sapatos de Defunto morre descalço"/>
        <s v="Quem mora na minha cabeça?"/>
        <s v="Quentin, o porco que queria voar"/>
        <s v="Queria Ser"/>
        <s v="Quimera"/>
        <s v="Rabiscos"/>
        <s v="Rafael e Maria"/>
        <s v="Razões para Zebras"/>
        <s v="Realidade sim. Realidade não. A que estiver"/>
        <s v="Red Pony (A Jigsaw)"/>
        <s v="Redemption"/>
        <s v="Reduto"/>
        <s v="Reflex"/>
        <s v="Rei Inútil"/>
        <s v="Rendez-Vous"/>
        <s v="Republica di Mininus"/>
        <s v="Resistência ao Amor"/>
        <s v="Respice Albus, Respice Niger"/>
        <s v="Retratos das Margens do Rio Lis"/>
        <s v="Riders"/>
        <s v="Rincón de Darwin"/>
        <s v="Rosa Negra"/>
        <s v="Rosa Tingido"/>
        <s v="Rua Direita nº 15 "/>
        <s v="Runtime Error"/>
        <s v="Safra"/>
        <s v="Sal duro sal"/>
        <s v="Salitre"/>
        <s v="Sangue Frio"/>
        <s v="Santa Maria Connection"/>
        <s v="São João d'Arga"/>
        <s v="São Pedro da Cova"/>
        <s v="Sapos e Bruxas"/>
        <s v="Sara"/>
        <s v="Saving You"/>
        <s v="Scars are pretty (The Flat Mountain)"/>
        <s v="Scold (Clutter)"/>
        <s v="Se Eu Fosse Ladrão…Roubava"/>
        <s v="Segura-te!"/>
        <s v="Serão"/>
        <s v="Serra"/>
        <s v="Sete Flores"/>
        <s v="Sexo sem Idade"/>
        <s v="Si esta plaza fuera una persona…"/>
        <s v="Síria"/>
        <s v="Sleep"/>
        <s v="Só"/>
        <s v="Sobre o Cinema Português em Ambulância"/>
        <s v="Sofia e a Educação Sexual"/>
        <s v="Sol, Suor e Sal"/>
        <s v="Solitária"/>
        <s v="Somos Livros"/>
        <s v="Sophia de Mello Breyner Andresen"/>
        <s v="Sou do Fado"/>
        <s v="Soulleimane"/>
        <s v="Sugar Girl"/>
        <s v="Suspensão"/>
        <s v="Suspiro…"/>
        <s v="Synchrotron"/>
        <s v="Tabatô"/>
        <s v="Talvez"/>
        <s v="Tás aqui? Tou"/>
        <s v="Tebas"/>
        <s v="Televisão"/>
        <s v="Terra"/>
        <s v="Testemunhos da Resistência"/>
        <s v="The Buffalo Kid"/>
        <s v="The Day that Never Came (Cinnamon Chasers)"/>
        <s v="The Escape"/>
        <s v="The Strangest Friend (A Jigsaw)"/>
        <s v="Theatrum Orbis Terrarum"/>
        <s v="Too many Daddies, Mommies and Babies"/>
        <s v="Torres "/>
        <s v="Torres &amp; Cometas"/>
        <s v="Transgressão"/>
        <s v="Transition 89"/>
        <s v="Transparências Perdidas"/>
        <s v="Três Casas em São Miguel"/>
        <s v="Três Obras - ARX"/>
        <s v="Três Semanas em Dezembro"/>
        <s v="Tsintty"/>
        <s v="Twenty-One-Twelve: The Day the World didn't End"/>
        <s v="UHF Canal Maldito - 35 Anos"/>
        <s v="Um Cadáver chamado Alfredo"/>
        <s v="Um Conto de Inverno"/>
        <s v="Um Fim do Mundo"/>
        <s v="Um Olhar Diferente pela Ria de Aveiro"/>
        <s v="Uma Barragem Mais Trés Vales a Menos"/>
        <s v="Uma Maré de Moliço"/>
        <s v="Uma Noite na Praia"/>
        <s v="Untitled"/>
        <s v="Vai e Vem (Vol.2)"/>
        <s v="Vampire"/>
        <s v="Variações sobre a Europa"/>
        <s v="Verde Ténue"/>
        <s v="Vermelho como o teu Nariz"/>
        <s v="Versailles"/>
        <s v="VIda "/>
        <s v="Vida Activa"/>
        <s v="Vida Tramada"/>
        <s v="Vidas com Lobos"/>
        <s v="Video Game Mashup"/>
        <s v="Vidro Quente, Corpo Frio"/>
        <s v="Vil"/>
        <s v="Virtual"/>
        <s v="Visita virtual: Villa Romana do Rabaçal"/>
        <s v="Volvente"/>
        <s v="Voodoo Glow Skulls - Dead Soldiers"/>
        <s v="WC"/>
        <s v="Where is my Mind"/>
        <s v="Where to sit at a Dinner Table?"/>
        <s v="White nights"/>
        <s v="Why don't  we change?"/>
        <s v="Wolfram, a Saliva do Lobo"/>
        <s v="Wots - O Assalto"/>
        <s v="Xico+Xana"/>
        <s v="xXx"/>
        <s v="Zasmazany Film"/>
        <s v="Zé dos Pássaros"/>
        <s v="Zigurate"/>
        <s v="As Rosas Brancas"/>
        <s v="Dias Assim"/>
        <s v="Imad"/>
        <s v="Mala"/>
        <s v="Música em Pó"/>
        <s v="Sangue Toureiro"/>
        <s v="Taprobana"/>
      </sharedItems>
    </cacheField>
    <cacheField name="Tipo" numFmtId="0">
      <sharedItems count="6">
        <s v="Fic"/>
        <s v="Doc"/>
        <s v="Anim"/>
        <s v="Exp"/>
        <s v=""/>
        <s v="Vídeo Clip"/>
      </sharedItems>
    </cacheField>
    <cacheField name="Met" numFmtId="0">
      <sharedItems/>
    </cacheField>
    <cacheField name="APOIO ICA" numFmtId="0">
      <sharedItems/>
    </cacheField>
    <cacheField name="Realizador" numFmtId="0">
      <sharedItems count="1362">
        <s v="Miguel Gomes"/>
        <s v="Susana de Sousa Dias"/>
        <s v="M.F. Costa e Silva"/>
        <s v="André Agostinho"/>
        <s v="Vanessa Fernandes"/>
        <s v="Luís Assis"/>
        <s v="Andreia Sobreira"/>
        <s v="Teresa Cortez"/>
        <s v="Maya Rosa"/>
        <s v="Nuno Rocha"/>
        <s v="Manuel Mozos"/>
        <s v="Júlio Alves"/>
        <s v="Nelson de Castro, Wilson Pereira"/>
        <s v="Pedro bg"/>
        <s v="Bruno de Almeida"/>
        <s v="António Campos"/>
        <s v="Marcelo Félix"/>
        <s v="Francisco Campos, Henrique Bagulho"/>
        <s v="António-Pedro Vasconcelos"/>
        <s v="Carlos Pedro Santana"/>
        <s v="Manoel de Oliveira"/>
        <s v="Nuno Amorim"/>
        <s v="José Cottinelli Telmo"/>
        <s v="Maria João Ferreira"/>
        <s v="Teresa Garcia"/>
        <s v="Sérgio Tréfaut"/>
        <s v="Luís Galvão Teles"/>
        <s v="Silvino Fernandes, Paulo Sousa"/>
        <s v="Rui Madruga, Carolina Carrola"/>
        <s v="João Botelho"/>
        <s v="Margarida Cardoso"/>
        <s v="João Bordeira"/>
        <s v="Luís Alves"/>
        <s v="Joana Toste"/>
        <s v="André Lourenço, Paulo Valente"/>
        <s v="Paulo Furtado"/>
        <s v="Fátima Ribeiro"/>
        <s v="Filipa César"/>
        <s v="João Nicolau"/>
        <s v="Joaquim Leitão"/>
        <s v="Teresa Villaverde"/>
        <s v="Jorge Silva Melo"/>
        <s v="Pierre Primetens"/>
        <s v="Bruno Cabral, Ivânia West, Patrícia Garcia-Pereira"/>
        <s v="José Vieira"/>
        <s v="Gabriel Abrantes, Daniel Schmidt"/>
        <s v="Nelson Camacho"/>
        <s v="Edgar Pêra"/>
        <s v="George Sluizer"/>
        <s v="Vítor Moreira"/>
        <s v="Alberto Seixas Santos, Solveig Nordlund"/>
        <s v="Miguel Guimarães Correia, Daniel P. Sousa"/>
        <s v="Fernando José Saraiva"/>
        <s v="Arthur Duarte"/>
        <s v="Ana Joana Amorim"/>
        <s v="Solveig Nordlund"/>
        <s v="Francisco Lobo"/>
        <s v="Diana Cardoso"/>
        <s v="Mónica Ferreira, João Luz"/>
        <s v="João Rodrigues"/>
        <s v="Pedro Filipe Marques"/>
        <s v="Elsa Sertório, Ansgar Schäfer"/>
        <s v="José Miguel Moreira"/>
        <s v="Paulo Rocha"/>
        <s v="Bruno Nobre"/>
        <s v="Luís Monge, Sofia Pimentão"/>
        <s v="Bruno Silva"/>
        <s v="Eugène Green"/>
        <s v="Manuel Matos Barbosa"/>
        <s v="Miguel Soares, António Fernandes"/>
        <s v="Leonel Vieira"/>
        <s v="Renato Guerra Ferreira, Paulo César Fajardo"/>
        <s v="Fernando Madeira, Moisés Rodrigues, Paulo d'Alva"/>
        <s v="José Miguel Ribeiro"/>
        <s v="Nuno Lisboa"/>
        <s v="Joel Rodrigues, André Agostinho"/>
        <s v="Cyril Santos, João Farinha"/>
        <s v="Jorge António"/>
        <s v="Simão Cayatte"/>
        <s v="Rita Azevedo Gomes"/>
        <s v="Sandro Aguilar"/>
        <s v="Luís Filipe Rocha"/>
        <s v="Pedro Lino"/>
        <s v="Jeanne Waltz"/>
        <s v="Filipe Magalhães"/>
        <s v="Pedro Neves"/>
        <s v="Tiago Cravidão"/>
        <s v="Ivo M. Ferreira"/>
        <s v="Colectivo de Crianças da Escola EB1 do Pego"/>
        <s v="João Costa Menezes"/>
        <s v="Jorge Pelicano"/>
        <s v="Liliana Cunha"/>
        <s v="Cláudio Sá"/>
        <s v="Vítor Hugo"/>
        <s v="Vítor Ribeiro, Jonas Andrade"/>
        <s v="Rogério Taveira"/>
        <s v="David Acates"/>
        <s v="João Viana"/>
        <s v="Adriano Mendes"/>
        <s v="Rui Vieira"/>
        <s v="João Fazenda"/>
        <s v="Mónica Ferreira"/>
        <s v="Manuel Santos Maia"/>
        <s v="Marco Martins"/>
        <s v="Aurélie de Sousa"/>
        <s v="António de Macedo"/>
        <s v="João Pedro Rodrigues, João Rui Guerra da Mata"/>
        <s v="Carlos Coelho da Silva"/>
        <s v="João Nuno Pinto"/>
        <s v="Colectivo de Crianças do 4º ano da Escola EB 1 /JI de Real, Vilar do Pinheiro, Vila do Conde"/>
        <s v="Clara Games"/>
        <s v="António Reis, Margarida Cordeiro"/>
        <s v="Bernardo Antero, Tiago Namorado Gil"/>
        <s v="Humberto Santana"/>
        <s v="Graça Castanheira"/>
        <s v="José Coimbra, Tiago Guimarães, Ari Carvalho"/>
        <s v="Gonçalo Galvão Teles"/>
        <s v="Gil Maddalena"/>
        <s v="Leonardo António"/>
        <s v="Raquel Vidal"/>
        <s v="João Salaviza"/>
        <s v="Avelino Vieira, Fábio Morrison"/>
        <s v="Avelino Vieira"/>
        <s v="Ângela Loreiro, Ricardo Martinho, Ângelo Oliveira"/>
        <s v="Alberto Pereira, João Paulo Amaral"/>
        <s v="Fernando Galrito"/>
        <s v="Paulo César Fajardo"/>
        <s v="Flávio Pires"/>
        <s v="João Paulo Oliveira"/>
        <s v="João Dias"/>
        <s v="Francisco Manso"/>
        <s v="Tiago Ferreira"/>
        <s v="Sérgio Graciano"/>
        <s v="Luís Campos Brás"/>
        <s v="Vítor Lopes, Carlos Silva, António Costa Valente"/>
        <s v="Susana Nascimento Duarte"/>
        <s v="Jorge Queiroga"/>
        <s v="João Paulo Ferreira"/>
        <s v="Jorge Quintela"/>
        <s v="Pedro Rocha Nogueira"/>
        <s v="Miguel Gonçalves Mendes"/>
        <s v="Ivo Costa"/>
        <s v="Maria de Medeiros"/>
        <s v="Raquel Schefer"/>
        <s v="Tiago Melo Bento"/>
        <s v="Pedro Vasconcelos"/>
        <s v="Gabriel Abrantes"/>
        <s v="Nicole Tsangaris Mota"/>
        <s v="Ricardo Coutinho Costa"/>
        <s v="José Farinha"/>
        <s v="Fernando Alle, Pedro Florêncio"/>
        <s v="Paulo Abreu"/>
        <s v="Luís Miranda"/>
        <s v="João Alves"/>
        <s v="Nuno Filipe Rocha"/>
        <s v="Júlio Silvão Tavares"/>
        <s v="José Ricardo Lopes"/>
        <s v="Inês Ponte"/>
        <s v="Fernando Lopes"/>
        <s v="Sana Nha N'Hada"/>
        <s v="Leão Lopes"/>
        <s v="Ricardo Almeida, Emanuel Nevado"/>
        <s v="Rui Simões"/>
        <s v="Cristián Jiménez"/>
        <s v="Joana Linda"/>
        <s v="Alberto Seixas Santos"/>
        <s v="Rui Pedro Tendinha"/>
        <s v="Graça Gomes"/>
        <s v="Clube de Cinema da Escola Secundária de Arouca"/>
        <s v="Yuri Alves"/>
        <s v="Francisco Lança"/>
        <s v="João Lopes, André Moura, Rita Pires"/>
        <s v="Henrique Bento"/>
        <s v="João Fazenda, Alex Gozblau"/>
        <s v="João Abecasis Fernandes, Luís Margalhau"/>
        <s v="Marta Maia"/>
        <s v="Zepe"/>
        <s v="Maria Rodrigues"/>
        <s v="Carlos Conceição"/>
        <s v="Renato Martins"/>
        <s v="Inês de Medeiros"/>
        <s v="Dulce Fernandes"/>
        <s v="André Gil Mata"/>
        <s v="Vasco Monteiro, Pedro Mendonça"/>
        <s v="Vicente Alves do Ó"/>
        <s v="André Badalo"/>
        <s v="André Santos, Marco Leão"/>
        <s v="Álvaro Romão"/>
        <s v="Eduardo Morais"/>
        <s v="Rik Goddard"/>
        <s v="João Lopes"/>
        <s v="Colectivo de Alunos do 8º Ano da Escola EB2,3 Dr. Carlos Pinto Ferreira, Junqueira, Vila do Conde"/>
        <s v="Angélica Antunes, Cláudia Matosa, Francisca Melo"/>
        <s v="Andrei Romachov"/>
        <s v="José Fonseca e Costa"/>
        <s v="vários"/>
        <s v="Jacinto Lucas Pires"/>
        <s v="Joaquim Fontes"/>
        <s v="Jean-Luc Bouvret"/>
        <s v="Patrício Faísca, Sonat Duyar"/>
        <s v="Raúl Ruiz"/>
        <s v="Isabel Dias Martins"/>
        <s v="Maria João Soares"/>
        <s v="Marco Ribeiro"/>
        <s v="Mário Patrocínio"/>
        <s v="Tiago Simões"/>
        <s v="César Pedro, Miguel Ramos"/>
        <s v="Ana Reis, Cláudio Sá, Tatiana Duarte"/>
        <s v="Luís Ismael"/>
        <s v="Colectivo de Jovens de Portimão e Colectivo Fotograma 24"/>
        <s v="José de Castro"/>
        <s v="João Abreu, Pedro Gonçalves"/>
        <s v="António da Cunha Telles"/>
        <s v="Cláudio Jordão, Nelson Martins"/>
        <s v="Fernando Fragata"/>
        <s v="Tiago Ribeiro"/>
        <s v="Maria Joana Figueiredo"/>
        <s v="Emanuel Macedo, Bruno Correia"/>
        <s v="Joaquim Fontes, Joana Moreira, João Pedro Ferreira"/>
        <s v="Agostinho Marques"/>
        <s v="Natália Andrade"/>
        <s v="Ricardo Espírito Santo"/>
        <s v="Paulo Lopes"/>
        <s v="Miguel Moreira"/>
        <s v="Alexandre Cebrian Valente"/>
        <s v="Alain Tanner"/>
        <s v="Rita Alcaire, Rodrigo Lacerda"/>
        <s v="Pierre-Marie Jézéquel"/>
        <s v="Ana Zilhão"/>
        <s v="Fábio Cunha"/>
        <s v="Ricardo Martins"/>
        <s v="Luís Bicudo"/>
        <s v="Lorenzo Degli Innocenti"/>
        <s v="Tomás Baltazar"/>
        <s v="Gonçalo Gomes"/>
        <s v="Margarida Leitão"/>
        <s v="Licínio Azevedo"/>
        <s v="Andrea Fernández"/>
        <s v="Luís Diogo"/>
        <s v="Joaquim Sapinho"/>
        <s v="António Ferreira"/>
        <s v="Alexandre Martins"/>
        <s v="F.J. Ossang"/>
        <s v="Luís Vieira Campos"/>
        <s v="Rita Nunes"/>
        <s v="Mónica Baptista"/>
        <s v="Luís Alvarães, Luís Mário Lopes"/>
        <s v="Cristóvão Peças"/>
        <s v="Afonso Cruz, Jorge Margarido, Luis Alvoeiro"/>
        <s v="Ana Eliseu"/>
        <s v="Rodrigo Areias, Paulo Furtado"/>
        <s v="Diogo Costa Amarante"/>
        <s v="Francisco Moura Relvas"/>
        <s v="Patrícia Guerreiro"/>
        <s v="Pedro Pinto"/>
        <s v="Tiago Inácio"/>
        <s v="João Mário Grilo"/>
        <s v="Diana Andringa"/>
        <s v="João Trabulo"/>
        <s v="Gonçalo Tocha"/>
        <s v="Sandra Santos"/>
        <s v="Daniel Blaufuks"/>
        <s v="João Palhares"/>
        <s v="Eduardo Costa"/>
        <s v="Fábio Mota"/>
        <s v="Bruno Carnide"/>
        <s v="Nuno Beato"/>
        <s v="Leandro Silva"/>
        <s v="Ana Delgado Martins"/>
        <s v="Mariana Castro"/>
        <s v="Pierre-Marie Goulet"/>
        <s v="Pedro Maia"/>
        <s v="Miguel Ildefonso"/>
        <s v="Ernesto Bacalhau"/>
        <s v="Vanessa Vilaverde, João Aveledo, Eduardo Maragoto"/>
        <s v="João Ribeiro, José Filipe Costa"/>
        <s v="Martin Dale"/>
        <s v="Ricardo Salgado"/>
        <s v="Sílvia Santos"/>
        <s v="João Luz"/>
        <s v="Tiago Marques, Vicenzo Notardo"/>
        <s v="Pedro Serrazina"/>
        <s v="Rodrigo Areias"/>
        <s v="Isabel d'Escragnolle-Taunay"/>
        <s v="Sérgio Cruz"/>
        <s v="Henrique Barroso"/>
        <s v="Pedro Abib"/>
        <s v="Perdigão Queiroga"/>
        <s v="Catarina Alves Costa"/>
        <s v="João Canijo"/>
        <s v="Jorge Cramez"/>
        <s v="Tatiana Duarte"/>
        <s v="Júlio Lopes"/>
        <s v="Cláudia Varejão"/>
        <s v="João Pires"/>
        <s v="Leonor Areal"/>
        <s v="Mário Monteiro"/>
        <s v="Pedro Sena Nunes"/>
        <s v="Victor Santos"/>
        <s v="Ricardo Marques"/>
        <s v="André Letria"/>
        <s v="André Medeiros Costa"/>
        <s v="Quintinho Basto"/>
        <s v="Gabriel Abrantes, Alexandre Melo"/>
        <s v="Luís Loureiro"/>
        <s v="Mário Laranjeira"/>
        <s v="Eduardo Pinto"/>
        <s v="Abílio Leitão"/>
        <s v="Ana Salvado, Tiago Matos"/>
        <s v="António José Saraiva"/>
        <s v="Dânia Lucas"/>
        <s v="António Borges Correia"/>
        <s v="Zepe, Humberto Santana"/>
        <s v="Salomé Lamas"/>
        <s v="Gonçalo Nascimento"/>
        <s v="Paolo Marinou-Blanco"/>
        <s v="Pedro Caldas"/>
        <s v="André da Conceição Francioli"/>
        <s v="Leandro Bento"/>
        <s v="Nuno Portugal"/>
        <s v="Gustavo da Luz"/>
        <s v="André Cepeda"/>
        <s v="Miguel Clara Vasconcelos"/>
        <s v="Pedro Mota Teixeira"/>
        <s v="Regina Pessoa"/>
        <s v="André Mendes, João Pereira"/>
        <s v="Patrick Mendes"/>
        <s v="Rik Goddard, Raquel Ruiz"/>
        <s v="Sara de Sousa"/>
        <s v="Dany Horiuchi, Salvador Palma"/>
        <s v="Miguel Fonseca"/>
        <s v="Filipe Araújo"/>
        <s v="EPI"/>
        <s v="Mauro Amaral, Carlos Fraga"/>
        <s v="Tito Fernandes"/>
        <s v="Miguel Seabra Lopes, Karen Akerman"/>
        <s v="Marta Monteiro"/>
        <s v="Filipa César, Marco Martins"/>
        <s v="André Ruivo"/>
        <s v="Menelaos Karamaghiolis"/>
        <s v="António Reis"/>
        <s v="André Carrilho"/>
        <s v="Franklin Pinho"/>
        <s v="Inês Machado"/>
        <s v="Anabela Saint-Maurice"/>
        <s v="Adulai Jamanca"/>
        <s v="Alexandre Siqueira"/>
        <s v="Carlos Amaral"/>
        <s v="Pedro Costa"/>
        <s v="EDP"/>
        <s v="Guilherme Carvalho, Ismael Afonso"/>
        <s v="André Tentúgal"/>
        <s v="Manuel Guerra"/>
        <s v="Christine Reeh"/>
        <s v="Ângelo Torres"/>
        <s v="Márcio Laranjeira, Francisco Lezama"/>
        <s v="Ana Rita Correia"/>
        <s v="Filipa Reis, João Miller Guerra, Nuno Baptista"/>
        <s v="Gabriel Abrantes, Benjamin Crotty"/>
        <s v="José Filipe Costa"/>
        <s v="Manuel Pureza, Sérgio Graciano"/>
        <s v="Muriel Jaquerod, Eduardo Saraiva Pereira"/>
        <s v="Marta Pessoa"/>
        <s v="Susana Nobre"/>
        <s v="Vitor Lopes"/>
        <s v="Nuno Matos"/>
        <s v="Beatriz Tomaz"/>
        <s v="Agnelo Jesus"/>
        <s v="Nuno Costa, Cristiano Van Zeller"/>
        <s v="Grupo Zero"/>
        <s v="Luís Alves de Matos"/>
        <s v="Fábio Veríssimo"/>
        <s v="Marco Barbosa, Ricardo Salgado"/>
        <s v="Orelha Negra, Alexandre Farto"/>
        <s v="José Álvaro Morais"/>
        <s v="Vítor Hugo Gouveia Freitas"/>
        <s v="Luís Margalhau, Daniela Migalho"/>
        <s v="Lauro António"/>
        <s v="Ariel de Bigault"/>
        <s v="Marco Amaral"/>
        <s v="Hugo Diogo"/>
        <s v="Leitão de Barros"/>
        <s v="Mariana Castro, Sílvio Santana"/>
        <s v="Maria João Carvalho"/>
        <s v="João Costa"/>
        <s v="André Laranjinha"/>
        <s v="António da Silva"/>
        <s v="Ken Payton"/>
        <s v="Pedro Resende"/>
        <s v="João Morais Ribeiro"/>
        <s v="Frederico Miranda"/>
        <s v="Alzírio Henriques"/>
        <s v="André Lopes, Manuela Rúbia"/>
        <s v="Luís Moya"/>
        <s v="José Barahona"/>
        <s v="Fábio Oliveira, Luís Brandão, Teresa Pinto, Tiago Afonso"/>
        <s v="João Abecasis Fernandes"/>
        <s v="Pedro Rocha"/>
        <s v="Rodrigo Lopo"/>
        <s v="Daniel Pinheiro"/>
        <s v="Patrício Faísca, Ruben Botelho"/>
        <s v="João Pedro Rodrigues"/>
        <s v="Carlos da Silva, George Sluizer"/>
        <s v="Luís Aniceto"/>
        <s v="Estrela Lourenço, Tatiana Serôdio"/>
        <s v="Mário Gomes"/>
        <s v="Joana Imaginário"/>
        <s v="Diana Gonçalves"/>
        <s v="Paulo Prazeres"/>
        <s v="Tony Costa, Rafael Martins"/>
        <s v="José Augusto Nhantumbo"/>
        <s v="Tiago Albuquerque, João Braz"/>
        <s v="Rui Pinto de Almeida"/>
        <s v="José Meireles"/>
        <s v="João Gomes"/>
        <s v="Tiago Cerqueira"/>
        <s v="Marcelo Coutinho"/>
        <s v="João Garcia Costa"/>
        <s v="Flora Gomes"/>
        <s v="Pedro Peralta"/>
        <s v="José Carlos de Oliveira"/>
        <s v="João Nisa"/>
        <s v="Aya Koretzky, Rodrigo Barros"/>
        <s v="Paulo Dias"/>
        <s v="Irina Calado"/>
        <s v="Bernardo Nascimento"/>
        <s v="Ana Tica, Nuno Pedro, Toni Polo"/>
        <s v="Basil da Cunha"/>
        <s v="André Marques"/>
        <s v="João Manso"/>
        <s v="Margarida GIl"/>
        <s v="Bruno António Fonseca Rosa"/>
        <s v="Albano Fernandes, Tiago Silva, Victor Carvalho"/>
        <s v="Colectivo de Jovens do 12º Ano AV1 e AV2 da Escola Secundária/3 José Régio, Vila do Conde "/>
        <s v="Colectivo de Crianças da Escola EB 2,3 Professor Doutor Egas Moniz, Avanca"/>
        <s v="Helena Duarte, Ângela Antunes"/>
        <s v="Francisco Manso, João Corrêa"/>
        <s v="Ricardo Feio"/>
        <s v="Bernardo Ferreira, João Teixeira"/>
        <s v="Fernando Vendrell"/>
        <s v="Edgar Feldman"/>
        <s v="ZéZé Gamboa"/>
        <s v="Luís da Matta Almeida, Pedro Lino"/>
        <s v="Sol de Carvalho"/>
        <s v="Danilo Nascimento"/>
        <s v="George Felner, Liliana Brandão"/>
        <s v="Amadeu Pena da Silva"/>
        <s v="Jorge Paixão da Costa"/>
        <s v="Manuela Serra"/>
        <s v="José Oliveira"/>
        <s v="Francisco Lopes Ribeiro"/>
        <s v="Rodrigo Lacerda, Rita Alcaire"/>
        <s v="Artur Semedo"/>
        <s v="Diogo Varela Silva"/>
        <s v="José Pedro Lopes"/>
        <s v="David Doutel, Vasco Sá"/>
        <s v="Rui António"/>
        <s v="Filipe Martins"/>
        <s v="Rafael A. Martins"/>
        <s v="João Seiça"/>
        <s v="Luís Margalhau"/>
        <s v="João César Monteiro"/>
        <s v="João Ribeiro"/>
        <s v="Pedro Mota Tavares"/>
        <s v="Edgar Santinhos, João Biscaia"/>
        <s v="Paulo Alexandre Mota"/>
        <s v="Eduarda Pinto"/>
        <s v="Gabriel Abrantes, Kati Widloski"/>
        <s v="Bruno Cabral"/>
        <s v="Laurence Ferreira Barbosa"/>
        <s v="António João Saraiva, Manuel Carvalho Gomes"/>
        <s v="Rino Lupo"/>
        <s v="Mário Gajo de Carvalho"/>
        <s v="Francisco Manuel Sousa"/>
        <s v="Nani Glock"/>
        <s v="António Galrinho"/>
        <s v="Júnio Ratts"/>
        <s v="Ricardo Braga Silva, Fábio Guerreiro"/>
        <s v="Grégoire Fabvre"/>
        <s v="Inês Portugal"/>
        <s v="Filipe Abranches"/>
        <s v="Rui Cardoso"/>
        <s v="Tiago Rosa-Rosso"/>
        <s v="Catarina Mourão"/>
        <s v="Sofia Ponte, Tiago Pereira"/>
        <s v="João Figueiras"/>
        <s v="André Guiomar"/>
        <s v="José Manuel Abrantes, Lígia Ribeiro, Luciano Ottani"/>
        <s v="Luísa Marinho"/>
        <s v="Rui Silveira"/>
        <s v="Pocas Pascoal"/>
        <s v="Bernardo Antero"/>
        <s v="Regina Gonçalves"/>
        <s v="Teresa Magalhães, Luísa Alvão"/>
        <s v="Dulcelina Moreno"/>
        <s v="Fábio Alexandre Gonçalves Carvalho"/>
        <s v="João Pedro Borrego Caleira"/>
        <s v="Ana Gomes"/>
        <s v="Miguel Rafael"/>
        <s v="João Filipe Silva, Pedo Miguel Silva"/>
        <s v="Renata Barretto"/>
        <s v="Bernardo Gramaxo"/>
        <s v="Raquel Martins"/>
        <s v="Raquel Freire"/>
        <s v="Vanessa Namora Caeiro"/>
        <s v="José Coimbra, Tiago Guimarães"/>
        <s v="José Piteira"/>
        <s v="Luis Avilés Baquero"/>
        <s v="Rita Matos, Nuno Costa"/>
        <s v="Luísa Homem"/>
        <s v="Ana Hatherly"/>
        <s v="Tiago Soares"/>
        <s v="João Onofre"/>
        <s v="Felippe Gonçalves"/>
        <s v="António Guedes, Marco Carvalho"/>
        <s v="Marta Silva"/>
        <s v="Maio Afonso, Tiago Afonso"/>
        <s v="Isabel Aboim Inglez"/>
        <s v="Pedro Brito"/>
        <s v="Anna da Palma"/>
        <s v="Carlos Barreto"/>
        <s v="Vincent Lefort"/>
        <s v="Helena de Sousa Freitas"/>
        <s v="António Aleixo, Fábio Vicente"/>
        <s v="Bernardo Camisão"/>
        <s v="Tiago Pereira"/>
        <s v="Vasco Mendes"/>
        <s v="Cristiano Mourato"/>
        <s v="Sérgio da Costa"/>
        <s v="João Azevedo, Luís Lobo"/>
        <s v="Daniel Barroca"/>
        <s v="Nuno Dias"/>
        <s v="Gil Gelpi"/>
        <s v="Ricardo Sousa"/>
        <s v="Cindy de Sousa"/>
        <s v="Alexia Fernandes"/>
        <s v="Artur Serra Araújo"/>
        <s v="Hugo Vieira da Silva"/>
        <s v="Fernando Jorge Correia Lalanda Sebastião"/>
        <s v="José Nascimento"/>
        <s v="Emanuel Lopes"/>
        <s v="Henrique Pina"/>
        <s v="Susana Neves"/>
        <s v="Bruno Miguel Resende, Fátima Vale"/>
        <s v="Walter Salles"/>
        <s v="Daniel Thorbeke"/>
        <s v="Teresa Prata"/>
        <s v="Pedro Coquenão"/>
        <s v="Paulo Henrique Silva"/>
        <s v="Tatiana Ferreira, Miguel Geraldes"/>
        <s v="Pedro Lucas Freire"/>
        <s v="André Silva, Hugo A. Lobo"/>
        <s v="Gonçalo Almeida"/>
        <s v="Joana Filipa Sá"/>
        <s v="Vítor Lopes"/>
        <s v="Rui Nunes"/>
        <s v="Mário Macedo"/>
        <s v="Afonso Cruz"/>
        <s v="Bruno Lourenço"/>
        <s v="Thomas Harlan"/>
        <s v="André Príncipe, Marco Martins"/>
        <s v="Rodolfo Rodrigues"/>
        <s v="Carlos Bartilotti"/>
        <s v="Carlos Fernandes"/>
        <s v="Mário Barroso"/>
        <s v="Sérgio Oliveira"/>
        <s v="Pedro Almeida"/>
        <s v="Telmo Martins"/>
        <s v="Carlos Cruz (Charlie Blue)"/>
        <s v="Diogo Andrade"/>
        <s v="João Azevedo, Rafael A. Martins"/>
        <s v="Levi Martins"/>
        <s v="André Valentim Almeida"/>
        <s v="Vítor Candeias"/>
        <s v="Regina Guimarães"/>
        <s v="Crianças das Oficinas da ANILUPA"/>
        <s v="Vitor Lopes, Carlos Cruz (Charlie Blue)"/>
        <s v="António Lopes"/>
        <s v="António Gonçalves, Ricardo Oliveira"/>
        <s v="Nathalie Mansoux"/>
        <s v="Bárbara Veiga"/>
        <s v="Pedro Barão"/>
        <s v="Cristina Amaro"/>
        <s v="José Azevedo"/>
        <s v="Pedro Miguel Cruz"/>
        <s v="Susana Guardiola, Françoise Polo"/>
        <s v="José Manuel Fernandes"/>
        <s v="Bernardo Gomes de Almeida"/>
        <s v="Ângelo Gonzalez"/>
        <s v="Aya Koretzky"/>
        <s v="José Manuel S. Lopes"/>
        <s v="João Pereira"/>
        <s v="André Jesus"/>
        <s v="Sara Graça, Mariya Nesvyetaylo"/>
        <s v="Pedro Ferreira"/>
        <s v="Cláudia Clemente"/>
        <s v="Isabel Pina"/>
        <s v="Sara Pereira"/>
        <s v="Sara Brysch"/>
        <s v="João Garcia"/>
        <s v="Mário Ventura"/>
        <s v="Cláudio Jordão"/>
        <s v="Rui Goulart"/>
        <s v="Andrea Gomez, Didac Gilabert, Teresa Santos"/>
        <s v="Filipe Afonso"/>
        <s v="The Driftwood Collective"/>
        <s v="Sérgio Guerreiro"/>
        <s v="Manuel Bernardo Cabral"/>
        <s v="Gonçalo Pôla"/>
        <s v="Francisco Baptista, jovens da Quinta do Mocho"/>
        <s v="Manuel Pureza"/>
        <s v="Paulo Neves"/>
        <s v="Jacinta Barreto"/>
        <s v="Luís Urbano"/>
        <s v="Raquel Marques , Joana Frazão"/>
        <s v="Leonor Noivo"/>
        <s v="Pedro Ferreira, Samanta Correia"/>
        <s v="Gonçalo Cardeira"/>
        <s v="Bruno Duarte"/>
        <s v="Ana Luísa Santos, Maria João Neves, Sofia Miranda"/>
        <s v="Alexandre Carreira, Pedro Carvalho, Tânia Prates"/>
        <s v="Diogo Alexandre"/>
        <s v="Luís Albuquerque"/>
        <s v="Eduardo Teixeira"/>
        <s v="Gustavo Fonseca, Hugo Gonçalves, Juca Lordello, Maurício Teixeira, Pedro Polónio"/>
        <s v="André Miranda"/>
        <s v="Francisco Marvão, Ana Cabaça"/>
        <s v="Rui Tendinha"/>
        <s v="André Matos, Joana Santos"/>
        <s v="Henrique Prudêncio"/>
        <s v="André Rosado"/>
        <s v="Pedro de Sousa Pereira"/>
        <s v="Mercês Tomaz Gomes"/>
        <s v="Luís Oliveira Santos"/>
        <s v="Marta Andrade"/>
        <s v="Marcos Barbosa"/>
        <s v="Inês Gonçalves, Kiluanje Liberdade"/>
        <s v="Nuno Félix"/>
        <s v="Artur Correia"/>
        <s v="Francisco Neffe"/>
        <s v="Abi Feijó"/>
        <s v="Ana Almeida"/>
        <s v="Paulo Couto"/>
        <s v="Raphael Amaral, Cátia Pereira, Susana Palmerston"/>
        <s v="vários - Escola Antero de Quental"/>
        <s v="Iván Castiñeiras Gallego"/>
        <s v="André Vieira"/>
        <s v="Catherine Boutaud"/>
        <s v="Pedro Pais Correia"/>
        <s v="Nicolau Breyner"/>
        <s v="Diego Ramalho, Gonçalo Costa"/>
        <s v="Nuno Matos, Rodrigo Lopo"/>
        <s v="Gustavo Imigrante"/>
        <s v="Carlos Muriongo"/>
        <s v="Carlos Silva"/>
        <s v="Ricardo Machado"/>
        <s v="Tiago Guedes, Frederico Serra"/>
        <s v="Andreia Carvalho"/>
        <s v="Luís Almeida"/>
        <s v="André Tadeu, Sandra Fernandes, Sara Mendes"/>
        <s v="João Marco"/>
        <s v="João Almeida"/>
        <s v="David Vallinas"/>
        <s v="Diogo Sequeira"/>
        <s v="Miguel Filgueiras"/>
        <s v="Luísa Soares, Pedro Sousa Raposo"/>
        <s v="Sílvia Firmino"/>
        <s v="Mónica Santos"/>
        <s v="Mohammad Reza Hajipour"/>
        <s v="José Alberto Pinto"/>
        <s v="Pedro Vaz"/>
        <s v="Bruno Soares"/>
        <s v="Carla Fonseca"/>
        <s v="Rui Pilão"/>
        <s v="Pedro Claúdio"/>
        <s v="João Garcia, João Rodrigues, David Ferreira, Ruben Frutuoso"/>
        <s v="Rui Luís"/>
        <s v="Carlos Lima"/>
        <s v="Diana Andringa, Flora Gomes"/>
        <s v="Joana Pontes, António Barreto"/>
        <s v="Susana Costa, João Garrinhas"/>
        <s v="Marta Madureira, Pedro Mota Teixeira"/>
        <s v="Xavier Almeida"/>
        <s v="João Nuno Brochado"/>
        <s v="Amadeu Pena da Silva, Pedro Santasmarinas"/>
        <s v="Rúben Amado"/>
        <s v="Maya Kosa, Sérgio da Costa"/>
        <s v="Sila Tiny"/>
        <s v="Ana Barroso"/>
        <s v="Creative Artistic"/>
        <s v="Filipa Reis, João Miller Guerra"/>
        <s v="Miguel de Oliveira"/>
        <s v="Tiago Costa"/>
        <s v="Raquel Felgueiras"/>
        <s v="Joana Peralta"/>
        <s v="Rui Esperança"/>
        <s v="José Eduardo"/>
        <s v="Pedro Firmino"/>
        <s v="Sara Pinto"/>
        <s v="Bernardo Rão, Afonso Cortez"/>
        <s v="Cinequipa"/>
        <s v="Margarida Correia"/>
        <s v="Francesco Giarrusso, Adriano Smaldone"/>
        <s v="Fernando Miguel Moreira"/>
        <s v="Cecília Amado"/>
        <s v="Jorge Pinho"/>
        <s v="Adolfo Estrada Vargas"/>
        <s v="Ana Luísa Oliveira, Rui Oliveira "/>
        <s v="Manuel Faria de Almeida"/>
        <s v="José-Maria Norton"/>
        <s v="Ângela Melo, Diogo Allen, Sofia Aguiar"/>
        <s v="Aki Kaurismäki, Pedro Costa, Victor Erice, Manoel de Oliveira"/>
        <s v="Gustavo Costa"/>
        <s v="Joana Castro, Marlene Soares"/>
        <s v="Guilherme Afonso"/>
        <s v="Colectivo de Jovens do 10ºA da Escola Secundária de Figueira de Castelo Rodrigo"/>
        <s v="Pedro Flores"/>
        <s v="Solange Santos"/>
        <s v="Rita Macedo"/>
        <s v="Guilherme Machado Comando"/>
        <s v="Nicholas Oulman"/>
        <s v="Colectivo de Jovens do 12º O da Escola Secundária Alves Martins"/>
        <s v="Francisco Sousa, Vitor Pedrosa"/>
        <s v="Ricardo Pinto"/>
        <s v="Ana Isabel Lopes Mateus"/>
        <s v="Flávio Costa"/>
        <s v="Francisco Sousa, João Rodrigues, João Garcia"/>
        <s v="Linnea Lidegran"/>
        <s v="David Cronenberg"/>
        <s v="Gil Ramos"/>
        <s v="Susana Rola"/>
        <s v="João Miguel Cunha, José Maria Cunha"/>
        <s v="Julião Sarmento"/>
        <s v="Luís Miguel Correia"/>
        <s v="Edgar Ferreira"/>
        <s v="Ana Borba"/>
        <s v="Raul Domingues"/>
        <s v="Sérgio Nogueira"/>
        <s v="Pedro Magano"/>
        <s v="David de Mira"/>
        <s v="Christine Laurent"/>
        <s v="Emanuel Loureiro"/>
        <s v="José Alberto Pinheiro"/>
        <s v="David Mourato"/>
        <s v="Werner Schroeter"/>
        <s v="Bárbara Silva"/>
        <s v="Andreia Pereira"/>
        <s v="Daniela Rodrigues"/>
        <s v="Alexandre Braga"/>
        <s v="Alexandra de Matos"/>
        <s v="Tiago Albuquerque"/>
        <s v="João Teles, Paulo Duarte"/>
        <s v="Raquel Figueiredo"/>
        <s v="Colectivo de Alunos da Escola EB1 nº1 de Abrantes (Escola dos Quinchosos)"/>
        <s v="Jorge Costa"/>
        <s v="Maria Eça, Miguel Bretiano, Vasco Crespo"/>
        <s v="Patrícia Gomes"/>
        <s v="Bruno Cativo"/>
        <s v="António Pinhão Botelho"/>
        <s v="Ana Mateus"/>
        <s v="Cristina Silva, Gonçalo Miller, Patrícia Bogas, Luís Rodrigues"/>
        <s v="Manthia Diwara"/>
        <s v="Margarida Sá Coutinho"/>
        <s v="Paulo Rebelo"/>
        <s v="Miguel Cravo"/>
        <s v="Nelson Fernandes"/>
        <s v="João Filipe Silva"/>
        <s v="Catarina Ruivo"/>
        <s v="Vítor Jorge Alves"/>
        <s v="Daniel Ribeiro Duarte"/>
        <s v="Luís Batista"/>
        <s v="Lígia Anjos"/>
        <s v="João Rosas"/>
        <s v="Viva Filmes"/>
        <s v="David Ferreira"/>
        <s v="Rodrigo Cardoso"/>
        <s v="Tiago Vilaça, Carolina Figueiras, Pedro Costa"/>
        <s v="Miguel Canastro, Márcia Almeida"/>
        <s v="Pedro Almeida, Gabriel Macedo"/>
        <s v="Mariana Otero"/>
        <s v="Lino de Oliveira"/>
        <s v="António Costa Valente, Carlos Silva"/>
        <s v="Diogo Pessoa de Andrade"/>
        <s v="Luciano Sazo"/>
        <s v="João de Goes, Mariana Bicho"/>
        <s v="J. César de Sá"/>
        <s v="Timóteo Azevedo"/>
        <s v="Fernando Relvas"/>
        <s v="Carlos Saura"/>
        <s v="Hernâni Duarte Maria, Pedro Noel da Luz"/>
        <s v="Lígia Parodi, Patrícia Nogueira, Pedro Monteiro"/>
        <s v="Paulo Carneiro"/>
        <s v="João Pedro Marnoto"/>
        <s v="Rui Moreira"/>
        <s v="Helena Moreira"/>
        <s v="Colectivo de Alunos da Escola Básica de Vilar de Andorinho"/>
        <s v="Filipe Carvalho"/>
        <s v="Tiago Martins"/>
        <s v="Emanuel Malveiro"/>
        <s v="João Ferreira, Inês Lapa"/>
        <s v="Eduardo Ramos"/>
        <s v="Miguel Leão"/>
        <s v="Júlio Barreiros, Álvaro Teixeira"/>
        <s v="Nuno Mota"/>
        <s v="José Vieira Mendes"/>
        <s v="Júlio Pereira"/>
        <s v="Manuela Viegas"/>
        <s v="Pedro Palma"/>
        <s v="Dinis Santos, André Gil Mata, Miguel Marinheiro"/>
        <s v="Dunya Rodrigues"/>
        <s v="A. Oliveira - Escola Domingos Rebelo"/>
        <s v="Fernando Mamede"/>
        <s v="Tiago Siopa"/>
        <s v="Tiago Afonso"/>
        <s v="Jorge Romariz, Tiago Siopa"/>
        <s v="Vasco Dinis"/>
        <s v="Raquel Ceriz"/>
        <s v="Rita Fevereiro"/>
        <s v="Sílvia das Fadas"/>
        <s v="João Pedro Grisantes"/>
        <s v="Maria de Lurdes Martins"/>
        <s v="Maria Luísa Abreu"/>
        <s v="Turma 12º B da Escola Secundária Dr. Joaquim Ferreira Alves"/>
        <s v="Nuno Santana"/>
        <s v="Nuno Portimão"/>
        <s v="Adriano Sodré"/>
        <s v="Miguel Bidarra"/>
        <s v="João Vladimiro"/>
        <s v="Helena Inverno, Verónica Castro"/>
        <s v="Nuno Cibrão"/>
        <s v="António Castanheira"/>
        <s v="André Filipe Almeida, Joana Linhares, Jérémy Pouivet"/>
        <s v="Paulo Nuno Vicente"/>
        <s v="Ricardino Almeida"/>
        <s v="André Godinho"/>
        <s v="Miguel Gaspar"/>
        <s v="Filipa Gomes"/>
        <s v="Yann Gonzalez"/>
        <s v="Miguel Pinho"/>
        <s v="César Atouguia, Filipe Carvalho, Marco Pereira"/>
        <s v="Gonçalo Robalo"/>
        <s v="Paulo Teixeira Rebelo"/>
        <s v="Jerónimo Rocha"/>
        <s v="Ico Costa"/>
        <s v="Enrico Sariava"/>
        <s v="Sandro Baptista"/>
        <s v="Victor Lopes"/>
        <s v="Valeria Sarmiento"/>
        <s v="Hélio Valentim, Ricardo Ferreira"/>
        <s v="Sandra Henriques"/>
        <s v="Nuno Tudela"/>
        <s v="Carlos Faustino"/>
        <s v="Ana Carneiro"/>
        <s v="Eduardo Castro Fonseca"/>
        <s v="André Lage"/>
        <s v="Zeka Laplaine"/>
        <s v="Inês Cristina"/>
        <s v="Maria Simões"/>
        <s v="Cátia Aguiam, Joana Aguiam, João V.F."/>
        <s v="Pedro Serra"/>
        <s v="Sónia Faria Lopes, Rui João Rodrigues, Gonçalo Loureiro"/>
        <s v="Maria Neves"/>
        <s v="Ricardo Leite"/>
        <s v="Bárbara Gouveia, Gisela Pissarra, Miguel Ribeiro Fernandes, Paulo Cunha Fernandes"/>
        <s v="Filipe Cabeçadas"/>
        <s v="Miguel Sargento"/>
        <s v="Joana Rodrigues"/>
        <s v="Mariana Seiça"/>
        <s v="Joana Barra Vaz"/>
        <s v="Filipa GC Ruiz"/>
        <s v="António Escudeiro"/>
        <s v="Vítor Hugo Costa"/>
        <s v="Ecomuseu do Barroso"/>
        <s v="Montserrat Ciges"/>
        <s v="Ignasi Duarte"/>
        <s v="Hugo de Sousa"/>
        <s v="Pierre Ardenne"/>
        <s v="Pedro Pinto, Filipe Pinto"/>
        <s v="Pedro Ribeiro"/>
        <s v="João Barriga"/>
        <s v="Sérgio Almeida"/>
        <s v="Delia Hess"/>
        <s v="Maria João Ganga"/>
        <s v="Jorge Campos"/>
        <s v="Fernando Matos Silva"/>
        <s v="Óscar Faria, Rui Costa, Rui Lima, Carlos Passos, José Pedro Lopes"/>
        <s v="Turma 12º B1 da ESSR"/>
        <s v="Miguel Munhá"/>
        <s v="Pedro Horta, Filipa Gouveia"/>
        <s v="Colectivo de Alunos do 4º Ano da Escola EB1/JI das Caxinas, Vila do Conde"/>
        <s v="André Gouveia"/>
        <s v="Departamento de Animação da DIALECTUS"/>
        <s v="Tiago P. Carvalho"/>
        <s v="Tiago Curado de Almeida, Henrique Patrício"/>
        <s v="Catarina Neves"/>
        <s v="Pedro Baptista"/>
        <s v="Helvécio Marins Jr."/>
        <s v="Marco Barbosa"/>
        <s v="Cláudia Alves"/>
        <s v="Luís Ferreira, Afonso Nunes"/>
        <s v="Turma dos Amiguinhos (Escola EB1/JI de Anta 1, Espinho)"/>
        <s v="Luís Noronha da Costa"/>
        <s v="Fernando Pimenta"/>
        <s v="Manuel Guimarães"/>
        <s v="Adriano Luz"/>
        <s v="Colectivo NEFASTO"/>
        <s v="Rui Santos"/>
        <s v="Bruno Teléforo, Luís Lobo"/>
        <s v="Luís da Matta Almeida, Júlio Vanzeler"/>
        <s v="João Leitão"/>
        <s v="Gonçalo Branco"/>
        <s v="João Ferreira"/>
        <s v="Colectivo de Crianças da Escola EB1 de São Facundo, Abrantes"/>
        <s v="Rúben Ferreira"/>
        <s v="António Lopes, Ana Rodrigues"/>
        <s v="Sergei Loznitsa"/>
        <s v="F. Evaristo"/>
        <s v="Possidónio Cachapa"/>
        <s v="Helder Filipe, Luis Sergio"/>
        <s v="João Rui Guerra da Mata"/>
        <s v="Inês Rueff, João Seguro"/>
        <s v="Paulo Castilho"/>
        <s v="Hiroatsu Suzuki, Rossana Torres"/>
        <s v="Catarina Gomes"/>
        <s v="António Victorino d'Almeida"/>
        <s v="Ana Arsénio, José Miguel Fonseca, Miguel Velez"/>
        <s v="Sofia Peixe, Sue Alves"/>
        <s v="Margarida Madeira, Aracely Kennedy"/>
        <s v="Bárbara Cruz, Paulo Fontes"/>
        <s v="Luís Miguel Amaral de Araújo"/>
        <s v="Alunos ATL - Palha de Abrantes"/>
        <s v="Colectivo de Alunos da Escola EB 2,3 de Aguiar da Beira (Escola Pe. José Augusto da Fonseca)"/>
        <s v="André M. Santos"/>
        <s v="Sérgio Torres"/>
        <s v="Luís Soares"/>
        <s v="Kiluanje Liberdade, Ondjaki"/>
        <s v="Renata Sancho"/>
        <s v="André Pisca, Pedro Almeida"/>
        <s v="Igor Martins, Rosário Costa, Sara Petiz"/>
        <s v="José João Sardinha"/>
        <s v="Fernando Alle"/>
        <s v="Artur Caiano, Júlio Filipe Cardoso, Tiago Leça"/>
        <s v="Rancho Tradicional de Cinfães - Associação"/>
        <s v="João Duque"/>
        <s v="Vanessa Oliveira"/>
        <s v="Ana Luís Lourenço, Pedro Moreira, Pedro Caetano"/>
        <s v="Emanuel Macedo"/>
        <s v="Júlio Filipe Cardoso, Ricardo Salgado, Vítor Gomes"/>
        <s v="André Guiomar, Miguel da Santa, Vasco Pucarinho"/>
        <s v="Diogo Lima"/>
        <s v="Joana Silva, André Dias"/>
        <s v="Mónica Ferreira, Luís Queirós dos Santos, Henrique Moreira"/>
        <s v="António Carlos Castro"/>
        <s v="Ana Pio"/>
        <s v="Carlos Saboga"/>
        <s v="Leonardo Dias, Pedro Neiva"/>
        <s v="Catarina Beatriz Silva"/>
        <s v="Nelson Graf"/>
        <s v="Rogério Boldt"/>
        <s v="Miguel Marques"/>
        <s v="Marco Miranda"/>
        <s v="Nelson Costa"/>
        <s v="Beatriz Andrade"/>
        <s v="Luís Candeias"/>
        <s v="Luís Esperança"/>
        <s v="Tatiana Saavedra, Carolina Catrola"/>
        <s v="Paula Soares"/>
        <s v="Nuno Monteiro"/>
        <s v="Gustavo Ribeiro"/>
        <s v="Alex Carvalho"/>
        <s v="André Santos"/>
        <s v="Mauro Viegas"/>
        <s v="Susana Luciano"/>
        <s v="Thom Andersen"/>
        <s v="Philipp Rylatt, Telmo Vicente"/>
        <s v="Leonor Teles"/>
        <s v="Tiago Cerveira"/>
        <s v="Cláudia Quaresma"/>
        <s v="Zara Pinto"/>
        <s v="Colectivo de Alunos da Escola Secundária com 3º Ciclo do Fundão"/>
        <s v="Dulce Gonçalves"/>
        <s v="Miguel Serra, Sofia Barata"/>
        <s v="Melissa Guimarães"/>
        <s v="Samuel Marques"/>
        <s v="Mariana Fernandes"/>
        <s v="Susanne Malorny"/>
        <s v="Jérôme Lecat"/>
        <s v="Bela Feldman-Bianco"/>
        <s v="Margarida Moura Guedes, Paulo Galvão"/>
        <s v="Edição: Adriano Ramos Pinto &amp; Irmão Lda"/>
        <s v="Pedro Sousa , Nuno Rodrigues"/>
        <s v="Tatiana Macedo"/>
        <s v="Marta Tavares, Lino de Oliveira"/>
        <s v="Rui Oliveira Pires"/>
        <s v="Rita Figueiredo"/>
        <s v="Nuno Prudêncio"/>
        <s v="Mariana Gaivão"/>
        <s v="Xavier Gonçalves"/>
        <s v="Dulce Gonçalves, Rodrigo Carvalho"/>
        <s v="Vico Ughetto"/>
        <s v="Alexandre Cardoso, Paula C. Lopes"/>
        <s v="Sofia de Botton"/>
        <s v="Tito da Costa"/>
        <s v="Tiago Ivo, Alberto Simões, Rui Durão"/>
        <s v="Ana Panêlo"/>
        <s v="Sandra Araújo"/>
        <s v="José Magro"/>
        <s v="Nuno Leocádio"/>
        <s v="Joana Morais"/>
        <s v="Carlos Silva, António Osório"/>
        <s v="Donna Mabey"/>
        <s v="Nuno Sá Pessoa"/>
        <s v="Nuno Gervásio"/>
        <s v="Jorge Barros"/>
        <s v="Joana Bartolomeu"/>
        <s v="Pedro Rilhó"/>
        <s v="André Rodrigues"/>
        <s v="Daniel Neves"/>
        <s v="Francisco Carvalho"/>
        <s v="João Rodrigues de Sousa"/>
        <s v="David La Rua"/>
        <s v="Patrícia Soares"/>
        <s v="Edward Shieh"/>
        <s v="João Pinto Nogueira"/>
        <s v="João Sousa"/>
        <s v="Ana Leite, Patrícia Silva, Melissa Oliveira, Sara Marinho"/>
        <s v="Paulo Pancadas"/>
        <s v="Jorge Nuno Cavadas da Costa"/>
        <s v="Humberto Caldas"/>
        <s v="Nuno Costa"/>
        <s v="Gonçalo Cardeira, Rodrigues Lopes"/>
        <s v="Tânia Sampaio, Hugo Leite"/>
        <s v="Helder Faria, Luis Sergio, Michell Silva"/>
        <s v="Hélio Valentim"/>
        <s v="Bruno Ferreira, Rúben Ferreira"/>
        <s v="Vítor Gonçalves"/>
        <s v="L Praino Project"/>
        <s v="Helena Santos"/>
        <s v="Nelson Leão"/>
        <s v="John Filipe"/>
        <s v="Joana Maria Sousa"/>
        <s v="Nuno Filipe"/>
        <s v="Humberto Guedes"/>
        <s v="João Clemente"/>
        <s v="Wim Wenders"/>
        <s v="Alzer Barreto"/>
        <s v="Francisco de Castro"/>
        <s v="Filipe Lima Barbosa, André Gil Dinis, Pedro Mota, Gonçalo Loureiro, Fernando Machado"/>
        <s v="Tiago Hespanha"/>
        <s v="Jorge Humberto, César Gomes"/>
        <s v=""/>
        <s v="João Lourenço"/>
        <s v="Ramir Oliveira"/>
        <s v="Ana Francisca Bernardo"/>
        <s v="João Correia"/>
        <s v="Rafael Morais"/>
        <s v="Vítor Estudante"/>
        <s v="Gustavo Santos, José Magro"/>
        <s v="Inês Teixeira"/>
        <s v="Ana Seia de Matos"/>
        <s v="António Aleixo"/>
        <s v="Circo de Ideias"/>
        <s v="Patrícia Nogueira"/>
        <s v="Peter Greenaway, Jean-Luc Godard, Edgar Pêra"/>
        <s v="Sofia Marques"/>
        <s v="Fabrice Pinto, Cátia Garcia"/>
        <s v="Duarte Guedes"/>
        <s v="Rafael Cardoso"/>
        <s v="João Melo"/>
        <s v="Bruno Lopes, Joana Pereira"/>
        <s v="Henrique Somsen"/>
        <s v="Jorge Brum do Canto"/>
        <s v="Alexandre Melo, João Vieira Torres"/>
        <s v="Manuel Graça Dias"/>
        <s v="Guilherme de Sousa Delgado Goiana Mesquita"/>
        <s v="João Vilares"/>
        <s v="Lena Campelo, Fábio Leria, Carla Santos, José Cabecinha"/>
        <s v="Eurico Coelho"/>
        <s v="Adriana Martins da Silva, Pedro Martins, Sofia Nunes"/>
        <s v="Pedro Mourão-Ferreira"/>
        <s v="Luciano Cartaxo, Johel Almeida"/>
        <s v="Mafalda Marques"/>
        <s v="Jerónimo Rocha, Joana Faria, Nico Guedes"/>
        <s v="Hugo Silva"/>
        <s v="Carlos Costa"/>
        <s v="Iana Ferreira, João Viana"/>
        <s v="Leandra Gomes, Ricardo Grilo, Sara Duarte"/>
        <s v="Afonso Sousa"/>
        <s v="Rui Mendes"/>
        <s v="David Ferreira, Francisco Correia, João Santos, Margarida Pereira, Rui Silva"/>
        <s v="Daniela Leitão"/>
        <s v="Carlos Fraga"/>
        <s v="João Carrilho"/>
        <s v="Pedro Raimundo"/>
        <s v="Carlos Viana"/>
        <s v="Sérgio Pereira"/>
        <s v="Hugo Dinis Neves"/>
        <s v="Boris van Es"/>
        <s v="Ana Isabel Martins"/>
        <s v="Paulo A. Zumach"/>
        <s v="Luís Teixeira"/>
        <s v="Miguel Babo"/>
        <s v="Sofia Ferreira, Nuno Rodrigues"/>
        <s v="Rui Costa, Paulo Varela"/>
        <s v="Francisco Miranda"/>
        <s v="Colectivo de Alunos das Escolas do 1º Ciclo das freguesias rurais de Montemor-o-Novo"/>
        <s v="Pedro Gaipo"/>
        <s v="Luís Coelho, Marco Min, Telmo Domingues"/>
        <s v="Pedro Bastos"/>
        <s v="Joel Fernandes, Levi Fernandes"/>
        <s v="Hugo Ângelo, Pedro Marta"/>
        <s v="Aurélio Faria, Jorge Ramalho"/>
        <s v="Pedro Semedo, Mário Guilherme"/>
        <s v="Helder Faria"/>
        <s v="Rosa Coutinho Cabral"/>
        <s v="Bruno Araújo, Octávio Matos"/>
        <s v="Colectivo de Alunos do 2º Ano da Escola EB1 de Rossio ao Sul do Tejo, Colectivo de Crianças da Escola EB1 de São Facundo, Abrantes, Colectivo de Alunos da Escola EB1 de Chainça, Abrantes"/>
        <s v="Bruno Ricardo Duarte"/>
        <s v="Maria Adriana Ventura"/>
        <s v="Carlos Norton"/>
        <s v="Pedro Pinho, Frederico Lobo"/>
        <s v="Pedro Santasmarinas"/>
        <s v="Alfredo Tropa"/>
        <s v="Hernâni Duarte Maria"/>
        <s v="Regina Pessoa, Abi Feijó"/>
        <s v="João Manso, Miguel Manso"/>
        <s v="Nuria Leon Bernardo"/>
        <s v="Inês Oliveira"/>
        <s v="Tânia Prates"/>
        <s v="Colectivo de Crianças e Jovens de Guimarães"/>
        <s v="Patrícia Vidal Delgado"/>
        <s v="Helder Silva, Samuel Antão, Vitor Carneiro"/>
        <s v="Colectivo DezOnze"/>
        <s v="Frederico Parreira"/>
        <s v="Paula Alves"/>
        <s v="André Príncipe"/>
        <s v="Marco Vilela"/>
        <s v="João Boaventura, Guilherme Martins, Carlos Soares, Mafalda Boavida, Inês Paixão"/>
        <s v="Paulo d'Alva"/>
        <s v="Armando Fernandes, Patrick Santos, Nuno Araújo, Miguel Araújo"/>
        <s v="José Manuel Sá"/>
        <s v="François Bonenfant"/>
        <s v="Sonat Duyar"/>
        <s v="Joana de Verona"/>
        <s v="Fernando Vilas-Boas"/>
        <s v="Carolina de Lemos"/>
        <s v="Regina Pessoa, Pedro Serrazina, Abi Feijó"/>
        <s v="David Bonneville"/>
        <s v="Sérgio Grilo"/>
        <s v="Amarante Abramovici"/>
        <s v="Afonso Oliveira"/>
        <s v="Nico Guedes"/>
        <s v="Paulo Cristóvão"/>
        <s v="Bertino Araújo, Ana Raquel Simões"/>
        <s v="Organização Internacional para as Migrações (OIM), Projetos Globais de Media (PGM)"/>
        <s v="André Vilar, Bruno Ferreira, Eliana Silva, Joana Vale, Sara Nogueira"/>
        <s v="Flávio Gonçalves"/>
        <s v="Carlos Melim"/>
        <s v="Eduardo Pinto, Paulo Tomé"/>
        <s v="Nuno Gonçalves"/>
        <s v="Ricardo Penedo"/>
        <s v="Tiago Gonçalves"/>
        <s v="Miguel Alcantud"/>
        <s v="Pedro Caeiro"/>
        <s v="Luís Stoffel"/>
        <s v="João Estrada"/>
        <s v="Nuno Matos, Pedro Verde"/>
        <s v="Cristina Ferreira Gomes"/>
        <s v="Margarida Madeira"/>
        <s v="João Alves da Veiga"/>
        <s v="Carina Esteves"/>
        <s v="Joaquim Pinto"/>
        <s v="Raquel Palermo, Sofia Bairrão"/>
        <s v="Andreia Campos, Ana Mansinho, André Ferreira"/>
        <s v="Ciomara Morais"/>
        <s v="Gonçalo Robalo, Tânia S. Ferreira"/>
        <s v="Renata Ramos"/>
        <s v="Pedro Macedo"/>
        <s v="Sofia Brandão Santos"/>
        <s v="Rafael Calisto"/>
        <s v="Ernesto Pinto"/>
        <s v="Luís Portas"/>
        <s v="Ana Sofia Marques Martins"/>
        <s v="Mário Silva"/>
        <s v="Helvécio Marins Jr., Felipe Bragança"/>
        <s v="Miguel Velez"/>
        <s v="David Krems, Hugo Furtado"/>
        <s v="Joaquim Pavão"/>
        <s v="Marko Sipka"/>
        <s v="Colectivo de Alunos da Escola EB1 de Chainça, Abrantes"/>
        <s v="Maria Maranha"/>
        <s v="Filipe Gomes"/>
        <s v="Filomena Carvalho Sousa"/>
        <s v="Luís Costa"/>
        <s v="Emanuel Nevado, Ricardo Almeida"/>
        <s v="Waldir Araújo"/>
        <s v="Ricardo Antunes Martins"/>
        <s v="António Lopes Ribeiro"/>
        <s v="Eva Mendes, Joana de Rosa, Sara Augusto"/>
        <s v="Zeca Medeiros"/>
        <s v="Vasco Branco"/>
        <s v="Alfredo Reis Deus"/>
        <s v="Bruno Sousa"/>
        <s v="Tiago Rosas, Victor Descalzo"/>
        <s v="Rebeca das Neves"/>
        <s v="Francisco Correia, Humberto Duarte, Patrício Brito, Ricardo Falcão"/>
        <s v="Iuri Monteiro, João Garcia, Manuel Prata, Maria Barroqueiro, Ricardo Dias"/>
        <s v="Bruno Santana"/>
        <s v="Gonçalo Waddington"/>
        <s v="Diego Ramalho"/>
        <s v="Nuno Escudeiro"/>
        <s v="Inês Freitas, Miguel Mendes"/>
        <s v="Bruna Silva, João Faria, Marco Nascimento, Pedro Brito, Rita Silva"/>
        <s v="Lara Leitão, Nelson Silva"/>
        <s v="João Horta"/>
        <s v="Miguel Azevedo"/>
        <s v="Maria Inês Carrola"/>
        <s v="Fernando Eloy"/>
        <s v="Ginette Lavigne"/>
        <s v="Renato Fernandes"/>
        <s v="Diogo Allen"/>
        <s v="Óscar Faria"/>
        <s v="Carla Castelo"/>
        <s v="Joana Mendes"/>
        <s v="Paulo Moreira"/>
        <s v="Filipa Pereira Pinto"/>
        <s v="Inês Mestre"/>
        <s v="Pedro Barbosa"/>
        <s v="Bruno Fonseca, Nuno Roque, Alexandre Leonardo"/>
        <s v="Chiara Brancadoro, Giulia Coen, Matteo Ferraris, Cora Fornovi, Chiara Zanetti"/>
        <s v="Carlos Godinho"/>
        <s v="Noémia Delgado"/>
        <s v="Marcantonio del Carlo"/>
        <s v="Victor Carvalho"/>
        <s v="Miguel Coelho, Pedro Pirata"/>
        <s v="Andreia Caldeira, João Sousa, Juliana Mota, Luís Martins, Mariana Evangelista, Pedro Abalada"/>
        <s v="André Dias"/>
        <s v="Amaya Sumpsi"/>
        <s v="Alex Barone"/>
        <s v="Rui Sena"/>
        <s v="Luís Lobato Costa, Bruno Cavalcanti"/>
        <s v="Jérémy Pouivet"/>
        <s v="Priscilla Fontoura"/>
        <s v="Paulo Araújo"/>
        <s v="Bille August"/>
        <s v="Manuel Vilarinho"/>
        <s v="Henrique Manuel Pereira"/>
        <s v="Colectivo de Alunos da EB2,3 Prof. Carlos Teixeira, Fafe"/>
        <s v="Adriana Martins da Silva"/>
        <s v="João Pedro Vale , Nuno Alexandre Ferreira"/>
        <s v="Rui Almeida"/>
        <s v="Bruno Rosa"/>
        <s v="Joana Inácio"/>
        <s v="Tiago Pimentel"/>
        <s v="Pedro Monteiro"/>
        <s v="Joaquim Pinto, Nuno Leonel"/>
        <s v="Gabriela Leite Soares"/>
        <s v="Colectivo de Alunos da Escola EB 2,3 Bento Carqueja, Oliveira de Azeméis"/>
        <s v="Arminda de Sousa Deusdado"/>
        <s v="Rita Filipe, Maria Azevedo"/>
        <s v="Guilherme Daniel"/>
        <s v="Paulo Grade, João Lourenço"/>
        <s v="Gonçalo Silva, Marcantonio del Carlo"/>
        <s v="Soraia Ferreira"/>
        <s v="André M. Santos, Filipe Caeiro, Pedro de Sousa Rodrigues"/>
        <s v="Abel Oliveira"/>
        <s v="Bárbara Carmo, Carlos Arteiro"/>
        <s v="João Pedro Moreira"/>
        <s v="Daniel Silvério"/>
        <s v="Joana Areal"/>
        <s v="Miguel Moraes Cabral"/>
        <s v="Maria Clara Escobar"/>
        <s v="Helder Fonseca"/>
        <s v="Alex Campos García"/>
        <s v="Pedro Gadanho"/>
        <s v="Francisco Ferreira, João Rosmaninho"/>
        <s v="Fábio Freitas"/>
        <s v="Aurora Ribeiro"/>
        <s v="Joana Lima Martins"/>
        <s v="Dário Pacheco"/>
        <s v="Matthias Fritsche"/>
        <s v="Vasco Galhofo"/>
        <s v="Bruno Moreira"/>
        <s v="Jorge Jácome"/>
        <s v="Afonso Pimentel"/>
        <s v="Luís Santo Vaz"/>
        <s v="Luís Nunes"/>
        <s v="José Costa Barbosa"/>
        <s v="Hugo Pedro"/>
        <s v="Fábio Gonçalves"/>
        <s v="Miguel Seabra Lopes"/>
        <s v="Davide Marques"/>
        <s v="Catarina Damas"/>
        <s v="Bruno Gonçalves"/>
        <s v="Diogo Nóbrega"/>
        <s v="José Pedro Graça"/>
        <s v="Júlio Lopes, André Sobral, Pedro Teixeira"/>
        <s v="Telmo Churro"/>
        <s v="António Nascimento"/>
        <s v="Daniel Machado, Dinis Machado, Bruno Costa , Rui Almeida, Cristina Silva"/>
        <s v="Patrícia Bandeira"/>
        <s v="Diego Fernández"/>
        <s v="Patrícia Fernandes"/>
        <s v="Hugo Santos"/>
        <s v="David Cachopo"/>
        <s v="Manuel Paula Dias"/>
        <s v="Eberhard Schedl"/>
        <s v="Luís Pedreira"/>
        <s v="Miguel Antunes"/>
        <s v="Bruno Gomes"/>
        <s v="Vanessa Pinheiro"/>
        <s v="Ivo Louro"/>
        <s v="Turma 12ºH da Escola Secundária D. João II, Setúbal"/>
        <s v="Diogo Gomes"/>
        <s v="Inês Faro"/>
        <s v="Ana Catarina Caldas, Pedro Pintalhão, Ariana Caldeira, Kátia Ferreira, Lardyanne Pimentel"/>
        <s v="Carlos Gomes"/>
        <s v="Hugo Folgado, Célia Alturas"/>
        <s v="Nuno Fragata"/>
        <s v="Cristina Branco"/>
        <s v="Eduardo Geada"/>
        <s v="José Mendes"/>
        <s v="Mariana Ferreira"/>
        <s v="João Gaspar"/>
        <s v="Bruno Simões"/>
        <s v="Nuno Cera"/>
        <s v="João Pedro Tomás"/>
        <s v="Turma 12º E Audiovisuais do Agrupamento de Escolas de Castro Daire"/>
        <s v="Pedro Marnoto Pereira"/>
        <s v="Bruno Santos, Pedro Baginha, Sérgio Cerqueira, Tiago Fonseca"/>
        <s v="António Ferreira, Nuno Portugal"/>
        <s v="Pedro Farate"/>
        <s v="LIA"/>
        <s v="Mário Pereira, Vítor Brito, Carlos Amaro"/>
        <s v="Andreia Luís"/>
        <s v="Laura Gonçalves"/>
        <s v="Rui Pedro Sousa"/>
        <s v="Nuno Calado, Eduardo Adelino"/>
        <s v="Alexandra Côrte-Real de Almeida"/>
        <s v="Pedro Pinho"/>
        <s v="Maria José Afonso, João Silva"/>
        <s v="São José Correia"/>
        <s v="Jorge Romariz"/>
        <s v="Joel Duarte"/>
        <s v="Ana Almeida, José Pedro Lopes"/>
        <s v="Joana Beja, João Aguiar"/>
        <s v="Isabel Vasconcelos"/>
        <s v="Salvador Palma, Rui Rodrigues"/>
        <s v="Gonçalo Costa"/>
        <s v="Pedro Madeira"/>
        <s v="Abel Oliveira, Jacinta Barreto, Rui Ribeiro"/>
        <s v="João Gargaté"/>
        <s v="Vasco Saraiva"/>
        <s v="Pedro Neves Marques"/>
        <s v="João Couto C."/>
        <s v="Joana Torgal"/>
        <s v="Francisco Morgado"/>
        <s v="Paulo Sousa, Silvino Fernandes"/>
        <s v="Pedro Miguel Santos"/>
        <s v="Guilherme Gomes"/>
        <s v="Daniel M. Silva"/>
        <s v="Augusto Fraga"/>
      </sharedItems>
    </cacheField>
    <cacheField name="Ano Produção" numFmtId="0">
      <sharedItems containsMixedTypes="1" containsNumber="1" containsInteger="1" minValue="1929" maxValue="2013" count="67">
        <n v="2001"/>
        <n v="2009"/>
        <s v=""/>
        <n v="2011"/>
        <n v="2008"/>
        <n v="2010"/>
        <n v="1961"/>
        <n v="1963"/>
        <n v="1933"/>
        <n v="2004"/>
        <n v="2003"/>
        <n v="1990"/>
        <n v="2002"/>
        <n v="1999"/>
        <n v="1962"/>
        <n v="2006"/>
        <n v="1982"/>
        <n v="1942"/>
        <n v="2007"/>
        <n v="1964"/>
        <n v="2000"/>
        <n v="1996"/>
        <n v="1976"/>
        <n v="1931"/>
        <n v="1947"/>
        <s v="1973/1974"/>
        <n v="1975"/>
        <n v="2005"/>
        <n v="1978"/>
        <n v="1974"/>
        <n v="1930"/>
        <n v="1966"/>
        <n v="1987"/>
        <n v="1943"/>
        <s v="1979/1985"/>
        <n v="1971"/>
        <n v="1992"/>
        <n v="1998"/>
        <n v="1989"/>
        <n v="1994"/>
        <n v="1991"/>
        <n v="2012"/>
        <n v="1995"/>
        <n v="1993"/>
        <n v="1965"/>
        <n v="1986"/>
        <n v="1997"/>
        <n v="1980"/>
        <n v="1979"/>
        <n v="1984"/>
        <n v="1972"/>
        <n v="1983"/>
        <n v="2013"/>
        <n v="1929"/>
        <s v="1978/79"/>
        <n v="1940"/>
        <n v="1977"/>
        <n v="1934"/>
        <n v="1967"/>
        <n v="1970"/>
        <n v="1959"/>
        <n v="1988"/>
        <n v="1973"/>
        <n v="1958"/>
        <n v="1969"/>
        <n v="1985"/>
        <s v="2012/2013"/>
      </sharedItems>
    </cacheField>
    <cacheField name="Festival" numFmtId="0">
      <sharedItems containsBlank="1" count="1113">
        <s v="CURTA CINEMA - Festival Internacional de Curtas do Rio de Janeiro"/>
        <s v="Punto de Vista - Festival Internacional de Cine Documental de Navarra"/>
        <s v="13ème Semaine du Cinéma Lusophone"/>
        <s v="Festival International de Films de Femmes de Créteil"/>
        <s v="Espaces de la Lusophonie"/>
        <s v="Comemorações do 25 de Abril em Évora"/>
        <s v="MARFICI - Festival Internacional de Cine Independiente de Mar del Plata"/>
        <s v="DOC Europa III (2011)"/>
        <s v="Programação Regular do Centro Cultural Vila Flor"/>
        <s v="Exibição no Auditório Municipal do Fórum Cultural do Seixal"/>
        <s v="CINEPORT - Festival de Cinema de Países de Língua Portuguesa"/>
        <s v="Ciclo &quot;Vidas&quot;"/>
        <s v="Rencontres du Cinéma Portugais"/>
        <s v="Sessão do Cineclube de Tavira no Cine-Teatro António Pinheiro"/>
        <s v="Faial Filmes Fest"/>
        <s v="Ciclo de Cinema Português Nós por Cá 2011"/>
        <s v="IX Mostra Portuguesa em Madrid"/>
        <s v="Cours Ouvert de Cinéma Portugais Contemporain (FCG - Résidence André de Gouveia, Cineclube do Porto)"/>
        <s v="Mostra de Cinema Português"/>
        <s v="FAIA - Festival de Atibaia Internacional do Audiovisual"/>
        <s v="Filmfestival Contravision"/>
        <s v="Festival de Cinema Digital"/>
        <s v="Caminhos do Cinema Português"/>
        <s v="Ciclo &quot;Curtas Científicas&quot;"/>
        <s v="Queer Lisboa - Festival Internacional de Cinema Queer"/>
        <s v="DOCLISBOA"/>
        <s v="MONSTRA"/>
        <s v="CINANIMA"/>
        <s v="Short Soup International Short Film Festival"/>
        <s v="Festival Regard sur le Court-Métrage au Saguenay"/>
        <s v="GoShort - International Short Film Festival Nijmegen"/>
        <s v="Festival International du Film d'Aubagne"/>
        <s v="Cleveland International Film Festival"/>
        <s v="Mediterranean Festival of New Film-Makers of Larissa"/>
        <s v="Curtas Sadinas"/>
        <s v="Plein la Bobine - Festival de Cinéma Jeunes Publics du Massif de Sancy"/>
        <s v="United Islands of Prague"/>
        <s v="FEST'AFILM - Festival International du film lusophone et francophone de Montpellier"/>
        <s v="Encontros Cinematográficos (2011)"/>
        <s v="Cinema ao Ar Livre no Breyner 85"/>
        <s v="Uma Noite com Júlio Alves"/>
        <s v="Concurso &quot;Das 10 às 10 faz uma Curta&quot; (Arouca Film Festival)"/>
        <s v="Sessão do 9500 Cineclube no Cine Solmar"/>
        <s v="Ciclo António Campos"/>
        <s v="Jihlava International Documentary Film Festival"/>
        <s v="Ecos do Festival Internacional de Documentários de Jihlava 2011"/>
        <s v="Festival Temps d'Images"/>
        <s v="Mostra de Cinema Português de Andorra"/>
        <s v="MOTELx"/>
        <s v="Rencontres Internationales Paris/Berlin/Madrid - Nouveau Cinéma et Art Contemporain (Espanha)"/>
        <s v="Rencontres Internationales Paris/Berlin/Madrid - Nouveau Cinéma et Art Contemporain (Alemanha)"/>
        <s v="Douro Film Harvest (2011)"/>
        <s v="O Grito do Ipiranga: Sessão de Curtas para Crianças"/>
        <s v="Há Cinema na Mouraria!"/>
        <s v="Cine Jardim - Comédias Clássicas Portuguesas"/>
        <s v="Os Cineastas e o CInema"/>
        <s v="Sessão de ZOOM Cineclube de Barcelos no Auditório da Bibioteca Municipal"/>
        <s v="Sessões de Cinema no Cine-Teatro S.Pedro"/>
        <s v="Cineavante"/>
        <s v="Ciclo de Cinema sob as Estrelas"/>
        <s v="Cinema às Quartas no Virgínia: Ciclo &quot;Portugal RE-Activo&quot;"/>
        <s v="Ciclo de Cinema de Animação no Centro Cultural Português"/>
        <s v="FANTASPORTO"/>
        <s v="FESTIN - Festival de Cinema Itinerante da Língua Portuguesa"/>
        <s v="MIFEC - Mostra Internacional de Filmes de Escolas de Cinema"/>
        <s v="NY Portuguese Short Film Festival (2011)"/>
        <s v="FESTROIA - Festival Internacional de Cinema de Setúbal"/>
        <s v="Porto7 - Festival Internacional de Curtas Metragens"/>
        <s v="Curtas Vila do Conde"/>
        <s v="Con i minuti contati - Festival Internazionale del Cortometraggio"/>
        <s v="Arouca Film Festival"/>
        <s v="CURTA! - IV Mostra Nacional de Curtas Metragens"/>
        <s v="Mostra FESTIN"/>
        <s v="Retrospectiva do Cinema Português"/>
        <s v="Les Rencontres du Cinéma Portugais"/>
        <s v="Festival de Cine-Ibero-Americano"/>
        <s v="2nd Portuguese Film Festival in London"/>
        <s v="Mostra de Curtas Metragens Experimentáculo"/>
        <s v="CÓRTEX - II Festival de Curtas-Metragens"/>
        <s v="Curtas HC Porto 7 - Crime"/>
        <s v="Lisbon &amp; Estoril Film Festival"/>
        <s v="Festival International du Court Métrage"/>
        <s v="Homenagem ao actor Mário Viegas"/>
        <s v="Premiers Plans - Festival d'Angers"/>
        <s v="Ciclo Sangue Novo"/>
        <s v="Busan International Film Festival"/>
        <s v="Sound and Fury: Recent Portuguese Cinema"/>
        <s v="Ciclo de Cinema"/>
        <s v="CineEco - Festival Internacional de Cinema Ambiental da Serra da Estrela"/>
        <s v="Mostra de Ciencia e Cinema"/>
        <s v="International Film Festival Rotterdam"/>
        <s v="Jeonju International Film Festival"/>
        <s v="Festival Internazionale del Cinema d'Arte"/>
        <s v="Circuito Off Venice International Short Film Festival"/>
        <s v="FIKE"/>
        <s v="ALCINE - Festival de Cine de Alcalá de Henares"/>
        <s v="Focus on Gabriel Abrantes (Cultural program of Villa Medici)"/>
        <s v="Festival Internacional de Cinema do Funchal"/>
        <s v="Jornadas de Cinema Português da UBI"/>
        <s v="Cork Film Festival"/>
        <s v="As Pêras do Edgar"/>
        <s v="Ciclo &quot;A (ver) Saramago&quot;"/>
        <s v="Ciclo &quot;Memória e Revolução&quot;"/>
        <s v="Festival Tous Courts"/>
        <s v="Sessão do Cineclube de Santarém no Cine-Teatro Sá da Bandeira"/>
        <s v="Festival International de Films &quot;Les Pêcheurs du Monde&quot;"/>
        <s v="DOCKANEMA - Festival do Filme Documentário"/>
        <s v="BRAGACINE"/>
        <s v="Toti Film Festival"/>
        <s v="Ciclo &quot;O Sabor do Cinema&quot;"/>
        <s v="Comemorações do 10 de Junho"/>
        <s v="IV Prémio de Actores de Cinema da Fundação GDA 2010"/>
        <s v="Black&amp;White - Festival Audiovisual"/>
        <s v="Tourfilm Brazil - Festival Internacional de Filmes de Turismo"/>
        <s v="Bridge Fest Cooltura"/>
        <s v="Videograndprix"/>
        <s v="Tirana International Film Festival"/>
        <s v="Ciclo &quot;Cinema e Literatura&quot;"/>
        <s v="Filmes ao Sábado"/>
        <s v="Unided Islands of Prague"/>
        <s v="One Minute Movie Film Festival"/>
        <s v="Krakow Film Festival"/>
        <s v="Festival International du Film d'Animation d'Annecy"/>
        <s v="Melbourne International Animation Festival"/>
        <s v="Faîtes de l'Image"/>
        <s v="London International Animation Festival"/>
        <s v="Festival de Cine Internacional de Ourense"/>
        <s v="Bradford Animation Festival"/>
        <s v="4º Laboratório de Cinema Português"/>
        <s v="FIDMARSEILLE - Festival International de Cinéma"/>
        <s v="Sessão Cultura da Idade"/>
        <s v="Trick - Animation Film Festival"/>
        <s v="Mostra de Curtas Metragens do Curso de Cinema da UBI"/>
        <s v="Festival de Cinema Luso-Brasileiro"/>
        <s v="Sessão do Cineclube Ao Norte no Cinema Verde Viana"/>
        <s v="Ciclo de Cinema Português em Riga e Ventspils"/>
        <s v="Istambul Animation Festival"/>
        <s v="Romance in a Can Film Festival"/>
        <s v="Festival de Cine de Martil"/>
        <s v="Lago Film Fest - Festival Internazionale di Cortometraggi, Documentari e Sceneggiature"/>
        <s v="Festival Internacional de Curtas Metragens de São Paulo"/>
        <s v="Adana Golden Boll Mediterranean Short Film Competition"/>
        <s v="Festival du Court Métrage de Nice - Un Festival c'est trop court"/>
        <s v="Festival International du Film d'Amiens"/>
        <s v="Ciclo &quot;Pontos Fronteiriços&quot;"/>
        <s v="Days of Portugal in Nis"/>
        <s v="INDIELISBOA"/>
        <s v="Festival del Film Locarno"/>
        <s v="VIFF - Vancouver International Film Festival"/>
        <s v="Viennale"/>
        <s v="CPH:DOX - Copenhagen International Documentary Film Festival"/>
        <s v="Festival Internacional de Cine de Gijón"/>
        <s v="The International Film Music Critics Association Awards"/>
        <s v="Sofia International Film Festival"/>
        <s v="AFI Eupean Union Film Showcase"/>
        <s v="Ciclo de Cinema Português (Chaves)"/>
        <s v="Cinema às Quartas no Virgínia"/>
        <s v="Extrema' Doc"/>
        <s v="CINECOA - Festival Internacional de Cinema de Foz Côa"/>
        <s v="It's all True - Festival Internacional de Documentários (2011)"/>
        <s v="Full Frame Documentary Film Festival"/>
        <s v="CINEMED - Festival International du Cinéma Méditerranéen de Montpellier"/>
        <s v="Ciclo &quot;Os Filmes libertam a Cabeça&quot;"/>
        <s v="Ciclo de Cinema &quot;As Escolhas de…&quot;"/>
        <s v="Sessão Especial do Cineclube Ao Norte (Vila Franca)"/>
        <s v="Summer Night Series at Union Square Park"/>
        <s v="VIII Festival Internacional de Curtas Metragens e Escolas de Cinema"/>
        <s v="2ª edição do Festival de Cinema Português"/>
        <s v="I Seminario de Cine Portugués Contemporáneo: Gestos artísticos radicales"/>
        <s v="Festival Ibérico de Cinema de Badajoz"/>
        <s v="Cinema ao Ar Livre no Breyner 85: Curtas Metragens Académicas"/>
        <s v="Mês do Cinema Português na Universidade Eduardo Mondlane"/>
        <s v="Festa de Cinema da UE"/>
        <s v="VII Semana de Cinema Português"/>
        <s v="Los Angeles New Wave International Film Festival"/>
        <s v="Les Reflets du Cinéma Ibérique et Latino-américain"/>
        <s v="X Mostra Audiovisual &quot;El Més Más Corto&quot;"/>
        <s v="Cinema ao Ar Livre no Breyner 85: Curtas Metragens Nacionais"/>
        <s v="FEST"/>
        <s v="Mostra Internacional de Cinema de São Paulo"/>
        <s v="Mostra de Cinema Lusófono em Vilnius"/>
        <s v="Curtas HC Porto 7"/>
        <s v="Cinéma du Réel - Festival International de films documentaires"/>
        <s v="Exibição na Galérie Colbert do Institut National d'Histoire d'Art"/>
        <s v="Festival de Cannes"/>
        <s v="Toronto International Film Festival"/>
        <s v="Donostia Zinemaldia Festival de San Sebastián"/>
        <s v="Raindance Film Festival"/>
        <s v="Festival do Rio"/>
        <s v="Tokyo International Film Festival"/>
        <s v="Thessaloniki International Film Festival"/>
        <s v="Rencontres Cinémas d'Amérique Latine de Toulouse"/>
        <s v="Encontros Internacionais de Cinema, Televisão, Vídeo e Multimédia - AVANCA"/>
        <s v="ÉCU - The European Independent Film Festival"/>
        <s v="Bergenfield Film Festival"/>
        <s v="New York International Latino Film Festival"/>
        <s v="NYC International Film Festival"/>
        <s v="Projecção na Escuela de Idiomas"/>
        <s v="Mostra de Cinema da UE"/>
        <s v="Bamberger Kurzfilmtage"/>
        <s v="Ciné-Court Animé - Festival International du Court-Métrage d'Animation"/>
        <s v="Ciclo de Cinema em Português"/>
        <s v="Exibição no Lycée Français Comte de Foix"/>
        <s v="Saramago's NY Week: Portuguese and Spanish Short Films"/>
        <s v="Los Angeles Movie Awards (I)"/>
        <s v="Zinegoak - Festival Internacional de Cine y Artes Escénicas Gay-Lesbian-Trans de Bilbao"/>
        <s v="Próximo Futuro: 3 filmes, 3 realizadores (FCG)"/>
        <s v="CCB Fora de Si: Ciclo de Cinema Ficheiros da Imigração"/>
        <s v="Ciclo de Cinema sobre a Pobreza e a Exclusão"/>
        <s v="Mostra Internazionale d'Arte Cinematografica"/>
        <s v="Sessão do Cineclube da Feira no Auditório da Biblioteca Municipal"/>
        <s v="Projecto &quot;Regione del Veneto for Quality Cinema&quot; - Multisala CINERGIA"/>
        <s v="Projecto &quot;Regione del Veneto for Quality Cinema&quot; - Multisala ROMA"/>
        <s v="Projecto &quot;Regione del Veneto for Quality Cinema&quot; - Cinema Astra"/>
        <s v="Sessão do Cineclube Universitário de Évora"/>
        <s v="Ciclo de Cinema Português Contemporâneo (Vila do Porto)"/>
        <s v="Ciclo de Cinema Português Contemporâneo (Madalena)"/>
        <s v="Ciclo &quot;Viva Ruiz&quot;"/>
        <s v="Verão no Terraço: Sessões de Cinema ao Ar Livre (Sky Bar - Hotel Tivoli Lisboa)"/>
        <s v="Festival Internacional de Cinema de Cabo Verde"/>
        <s v="ANIMA MUNDI - Festival Internacional de Animação do Brasil"/>
        <s v="Sessão Especial de Cineclube"/>
        <s v="Prémio Nacional Multimédia"/>
        <s v="ANIMATOR International Animated Film Festival"/>
        <s v="SICAF - Seoul International Cartoon &amp; Animation Festival"/>
        <s v="ReAnimania - Yerevan International Animation Film Festival"/>
        <s v="Internationales Kurzfilmfestival Bunter Hund"/>
        <s v="Semana Cultural da Universidade"/>
        <s v="23 Festival de Cine Europeo"/>
        <s v="Docudays - Beirut International Ducumentary Festival"/>
        <s v="Shnit International Short Film Festival"/>
        <s v="Cortopotere Short Film Festival"/>
        <s v="Internationale Kurzfilmtage Oberhausen"/>
        <s v="Internationales Kurzfilm Festival Hamburg"/>
        <s v="Open Air Filmfest Weiterstadt"/>
        <s v="Festival Internacional de Cine &quot;Nova Mirada&quot; para la Infancia y Juventud"/>
        <s v="FANTOCHE - Internationales Festival für Animations film"/>
        <s v="BUSTER - Copenhagen International Children's Film Festival"/>
        <s v="Ottawa International Animation Festival"/>
        <s v="Se-Ma-For Film Festival"/>
        <s v="International Animated Films Festival KROK"/>
        <s v="BFI London Film Festival"/>
        <s v="Flensburger Kurzfilmtage"/>
        <s v="FESTAFIFE - Festival Internacional de Marionetas e de Cinema de Animação"/>
        <s v="The Golden Elephant - Children's International Film Festival"/>
        <s v="Animated Dreams Animation Film Festival"/>
        <s v="Festival des Films du Monde"/>
        <s v="Festival de Cinema Gai i Lésbic de Barcelona"/>
        <s v="Prémio Autores 2011"/>
        <s v="Sessão Especial do Cineclube de Tomar"/>
        <s v="10º Ciclo de Cinema da União Europeia"/>
        <s v="Rotas &amp; Rituais"/>
        <s v="Sessões Cineclubistas"/>
        <s v="Festival Internacional de Cine de Valdivia"/>
        <s v="Shanghai International Film Festival"/>
        <s v="Rendez-vous mensuel du cinéma lusophone (Studio des Ursellines)"/>
        <s v="Opuzen Film Festival"/>
        <s v="Festival &quot;EUROCINE&quot; (Colômbia)"/>
        <s v="Santa Cruz Film Festival"/>
        <s v="Festival de Cinema Europeu"/>
        <s v="Festival de Cinema Europeu em Adis-Abeba"/>
        <s v="Festival &quot;EUROCINE&quot; (Equador)"/>
        <s v="Incontri Cinematografici di Stresa"/>
        <s v="II Mostra de Cinema Português Contemporâneo"/>
        <s v="FANTASPOA - Festival Internacional de Cinema Fantástico de Porto Alegre"/>
        <s v="I Encontro de Escritores da Lusofonia"/>
        <s v="Ciclo de Cinema Europeu em Buenos Aires e outras cidades"/>
        <s v="Delphic Art Movie Awards"/>
        <s v="CINESUL - Festival Ibero-Americano de Cinema e Vídeo"/>
        <s v="Festival Cinematográfico Internacional del Uruguay"/>
        <s v="Dresdner Schmalfilmtage"/>
        <s v="7º Curta 8 - Festival Internacional de Cinema Super8 de Curitiba"/>
        <s v="World Film Festival"/>
        <s v="A Morte Tarda a Chegar - Curtas Portuguesas"/>
        <s v="África Mostra-se: Mostra de Cinema e Cultura Africana"/>
        <s v="Africando - Cultura Africana no Museu de São Roque"/>
        <s v="Norwegian International Short Film Festival"/>
        <s v="ART Film Fest"/>
        <s v="Split Film Festival - International Festival of New Film"/>
        <s v="Media 10/10 - Festival du Court Métrage de Namur"/>
        <s v="ENTREVUES - Festival International du Film de Belfort"/>
        <s v="MOVICA III- Mostra de Vídeo e Cinema Africano"/>
        <s v="Exibição no São Luiz - Teatro Municipal"/>
        <s v="CineConchas 2011"/>
        <s v="Sessão de ZOOM Cinecube de Barcelos no Paço dos Condes de Barcelos"/>
        <s v="12ª Mostra de Cinema Europeu de Tavira"/>
        <s v="SEMINCI - Semana Internacional de Cine de Valladolid"/>
        <s v="Screening MOMA (Museum of Modern Art)"/>
        <s v="XVIII Semana do Cinema Espanhol e Ibero-Americano"/>
        <s v="Ciclo de Cinema Lusófono"/>
        <s v="CINEMIGRANTE - Festival Internacional de Cine y Formacion en Derechos Humanos de las Personas Migrantes"/>
        <s v="Ciclo de Exclusão Social"/>
        <s v="Dia Internacional para a Erradicação da Pobreza"/>
        <s v="MiradasDoc - Festival Internacional de Cine Documental de Guía de Isora"/>
        <s v="The Militant Image , no INIVA - Institute of International Visual Arts"/>
        <s v="Ciclo &quot;Migrações&quot;"/>
        <s v="Cine-Teatro Paraíso"/>
        <s v="Uma Prenda de Natal"/>
        <s v="Festival de Cinema de Gramado"/>
        <s v="CURTA-SE - Festival Ibero-Americano de Sergipe"/>
        <s v="Ciclo Todo o José Álvaro Morais (Cineclube de Joane)"/>
        <s v="Festival de Cinema Europeu em Brasília"/>
        <s v="Festival de Cine de Huesca"/>
        <s v="KINOFEST - International Digital Film Festival"/>
        <s v="Festival Européen du Film Court de Brest"/>
        <s v="Ciclo &quot;O Lugar Criação&quot;"/>
        <s v="LA Film Fest"/>
        <s v="Fitas Na Rua"/>
        <s v="International Short Film Festival of Cyprus"/>
        <s v="L'Alternativa - Festival de Cinema Independent de Barcelona"/>
        <s v="SIFF - Seattle International Film Festival"/>
        <s v="Globos de Ouro 2011"/>
        <s v="EYE Film Institut Netherlands"/>
        <s v="Toronto Film Critics Association's Awards 2011"/>
        <s v="International Press Academy Satellite Awards"/>
        <s v="Short Shorts Film Festival México"/>
        <s v="FARCUME - Festival de Curtas Metragens de Faro"/>
        <s v="A Noite dos Parques Vivos: Ciclo de Cinema ao Ar Livre"/>
        <s v="Outono Feminista en Mondoñedo"/>
        <s v="Cinema Passos Manuel"/>
        <s v="Cine-Teatro Avenida"/>
        <s v="Fieri International Short Film Festival"/>
        <s v="Aspen Shortsfest"/>
        <s v="NEXT International Film Festival"/>
        <s v="CFC Worldwide Short Film Festival"/>
        <s v="Tumbleweed Film Festival"/>
        <s v="Bumbershoot 1 Reel Film Festival"/>
        <s v="Atlantic Film Festival"/>
        <s v="Festival du Court Métrage Méditerranéen de Tangier"/>
        <s v="Warsaw Film Festival"/>
        <s v="Heartland Film Festival"/>
        <s v="REGIOFUN - International Festival of Film Producers"/>
        <s v="Savannah Film Festival"/>
        <s v="Anchorage International Film Festival"/>
        <s v="Slash Film Festival"/>
        <s v="Cinefantasy"/>
        <s v="Festival Les Écrans Documentaires"/>
        <s v="Sessão do Cineclube de Amarante no Cinema Teixeira de Pascoaes"/>
        <s v="XIII Festival de Cinema Europeu"/>
        <s v="New Horizons International Film Festival"/>
        <s v="Festival Internacional de Jóvenes Realizadores"/>
        <s v="Flanders International Film Festival Ghent"/>
        <s v="Exground Filmfest"/>
        <s v="Sessão de Cinema no Centro Cultural Brasil"/>
        <s v="Mostra Internacional do Filme Etnográfico"/>
        <s v="5ªs á Noite no Museu"/>
        <s v="Festival de Cinema da União Europeia"/>
        <s v="Festival de Cinema Europeu em Riade"/>
        <s v="Sessão Evocativa do 100º aniversário do nascimento de Ribeirinho"/>
        <s v="Brevemente - Concurso de Audiovisual e Publicidade da AAC"/>
        <s v="Curtocircuito - Festival Internacional de Cortometrages"/>
        <s v="DOK Leipzig - Internationales Leipziger Festival für Dokumentar-und Animationsfilm"/>
        <s v="ZINEBI - Festival Internacional de Cine Documental y Cortometraje de Bilbao"/>
        <s v="ENCOUNTERS - Short Film and Animation Festival"/>
        <s v="Retratos: João César Monteiro"/>
        <s v="Göteborg International Film Festival"/>
        <s v="Cyprus International Film Festival"/>
        <s v="Ciclo de Cinema sobre a Exclusão"/>
        <s v="ANIMA - Festival International du Film d’Animation de Bruxelles"/>
        <s v="Lucas - Internationales Kinderfilmfestival"/>
        <s v="Small World Animation Festival"/>
        <s v="Big Cartoon Festival"/>
        <s v="Ciclo Cinema na Rua: Filmes das Nossa Vidas"/>
        <s v="Trento Film Festival"/>
        <s v="XI Ciclo de Cinema Português e de Língua Portuguesa"/>
        <s v="Sessão Especial do Cineclube Ao Norte"/>
        <s v="Praxes - Violência, Poder e Submissão"/>
        <s v="Sessão do ABC - Cineclube de Lisboa no City Alvalade"/>
        <s v="Sessão do Cineclube do Porto no Cinema Passos Manuel"/>
        <s v="Sessão do Cineclube de Tomar no Cine-Teatro Paraíso"/>
        <s v="Tricky Women Animation Festival"/>
        <s v="FEMINA - Festival Internacional de Cinema Feminino"/>
        <s v="Le Festival International du Film de Pau"/>
        <s v="Filmfest Dresden - International Short Film Festival"/>
        <s v="EUNIC - Semana do Cinema Europeu"/>
        <s v="BERLINALE"/>
        <s v="Visions du Réel - Festival International de Cinéma"/>
        <s v="DOCUMENTA MADRID - Festival Internacional de Documentales de Madrid"/>
        <s v="European Human Rights Film Days"/>
        <s v="Ciclo Literatura em Filme"/>
        <s v="Woods Hole Film Festival"/>
        <s v="Green Film Festival"/>
        <s v="Festival Internacional de Cine Guanajuato"/>
        <s v="Two Riversides Film and Art Festival"/>
        <s v="Festival du Film Insulaire"/>
        <s v="Silhouette - Festival International de Court Métrage"/>
        <s v="Aye-Aye Film Festival Nancy-Lorraine"/>
        <s v="ANIMAGE - Festival Internacional de Cinema de Animação de Pernambuco"/>
        <s v="ANIMA – Festival Internacional de Animación de Córdoba"/>
        <s v="Festival du Nouveau Cinéma"/>
        <s v="Anûû-rû-âboro - Festival International des Cinémas du Peuple"/>
        <s v="Chicago International Children's Film Festival"/>
        <s v="Odessa International Film Festival"/>
        <s v="Prémios Shortcutz Lisboa 2010"/>
        <s v="Aphrodite Cinefest International"/>
        <s v="KALIBER 35 - Munich International Short Film Festival"/>
        <s v="Maremetraggio - Festival Internazionale del Cortometraggio e delle Opere Primi"/>
        <s v="Thess International Short Film Festival"/>
        <s v="First Step Film Fest"/>
        <s v="Cornwall Film Festival"/>
        <s v="Certamen Internacional de Cortos Ciudad de Sorria"/>
        <s v="Uppsala International Short Film Festival"/>
        <s v="7ª edição do Concurso de Vídeo Fundação INATEL"/>
        <s v="Festival du Cinéma de Brive"/>
        <s v="Torino Film Festival"/>
        <s v="Espaço Nimas convida: Susana de Sousa Dias"/>
        <s v="DOC Europa III (2012)"/>
        <s v="Mostra de Cinema Português Contemporâneo"/>
        <s v="Les États Généraux du Film Documentaire"/>
        <s v="3rd UK Portuguese Film Festival"/>
        <s v="1ª edição do Surf Film Fest Portugal"/>
        <s v="FESTFILMES - Festival do Audiovisual Luso Afro Brasileiro"/>
        <s v="Festival de Curtas Metragens de Valadares"/>
        <s v="NAU - Festival de Cinema e Fotografia Jovem"/>
        <s v="Ciclo Preparatório: Escritores, Editores e Livros"/>
        <s v="Shortcutz Lisboa #89"/>
        <s v="Shortcutz Lisboa  #117"/>
        <s v="Shortcutz Lisboa #90"/>
        <s v="Shortcutz Porto #62"/>
        <s v="Shortcutz Faro #1"/>
        <s v="CEC # 1"/>
        <s v="Die 24 Stunden von Nürnberg"/>
        <s v="Mississippi International Film Festival"/>
        <s v="BRNO 16 - 53. International Short Fiction Film Festival"/>
        <s v="S.A.L. - Surf at Lisbon Film Fest"/>
        <s v="Extensão IX DOCLISBOA (Valadares)"/>
        <s v="Providence Children's Film Festival"/>
        <s v="Tampere International Short Film Festival"/>
        <s v="Curtas &amp; Vinho Verde - 3ª Mostra de Curtas na Casa do Alentejo"/>
        <s v="Forster Film Festival"/>
        <s v="Shortcutz Lisboa #87"/>
        <s v="NY Portuguese Short Film Festival (2012)"/>
        <s v="PANAZOREAN - Festival Internacional de Cinema Migrações e Interculturalidade"/>
        <s v="Extensão do PANAZOREAN no Centro de Monitorização e Investigação das Furnas"/>
        <s v="III Festival de Curtas Metragens da Ribeira Grande"/>
        <s v="Ciclo &quot;Fernando Lopes - Um grande senhor do Cinema&quot;"/>
        <s v="Move Cine Arte"/>
        <s v="Ciclo &quot;Curto&quot; de Cinema Português"/>
        <s v="Quinzena de Cinema Português"/>
        <s v="Phantasticus! II - Festival Internacional de Artes e Cinema"/>
        <s v="Shortcutz Lisboa #93"/>
        <s v="Festival International du Film de La Rochelle"/>
        <s v="27 Festival Internacional de Cine de Mar del Plata"/>
        <s v="Regards Croisés: Pierre-Marie Goulet &amp; Teresa Garcia"/>
        <s v="1º Ciclo de Cinema  Contemporâneo Português"/>
        <s v="Festival de Cinema Quinta Praia"/>
        <s v="Black &amp; White Festival - Best Of"/>
        <s v="Festival de Verão do RS de Cinema Internacional"/>
        <s v="CÓRTEX - III Festival de Curtas-Metragens"/>
        <s v="Brevemente - Concurso Universitário de Design e Multimédia"/>
        <s v="Sessão do Cineclube de Telheiras na Biblioteca Municipal Orlando Ribeiro"/>
        <s v="Lisbon Week"/>
        <s v="Festival LER - 25 Anos, 25 Filmes"/>
        <s v="1º Congresso Internacional Portugal-Brasil-África: Relações Históricas. Literárias e Cinematográficas"/>
        <s v="Vista Curta - Festival de Curtas de Viseu"/>
        <s v="Shortcutz Lisboa@Pop Up - #3"/>
        <s v="Watx' - Cinema de Bairro"/>
        <s v="PUFF 2012 - Portugal Underground Film Festival"/>
        <s v="Curtas do Parque - Festival de Cinema "/>
        <s v="FRAME 1 - Competição de curtas metragens para estudantes"/>
        <s v="Fórum 21 da Criança 2012"/>
        <s v="Rio+20 - Conferência das Nações Unidas sobre o Desenvolvimento Sustentável"/>
        <s v="3º Festival Ver e Fazer Filmes - Guimarães 2012"/>
        <s v="Shortcutz Lisboa #91"/>
        <s v="INDEX - Festival de Cinema e Experimentação"/>
        <s v="Shortcutz Lisboa #117"/>
        <s v="9th. Naoussa International Film Festival"/>
        <s v="Shortcutz Lisboa #102"/>
        <s v="Ciclo Edgar Pêra"/>
        <s v="Lisboa: A Cidade no Cinema"/>
        <s v="Extensão IX DOCLISBOA (Castro Verde)"/>
        <s v="Festival Internazionale del Film di Roma"/>
        <s v="LUSODOC - Mostra de Cinema Documental de Loulé"/>
        <s v="Prémios Shortcutz Lisboa 2011"/>
        <s v="Zootropio - Short Film and Video Festival"/>
        <s v="Semana Aberta da ESMAE"/>
        <s v="Sessão do Cineclube de Vila do Conde no Teatro Municipal de Vila do Conde"/>
        <s v="Exibição no Centro Cultural Olga Cadaval - Auditório Acácio Barreiros"/>
        <s v="Chicago Latino Film Festival"/>
        <s v="Shortcutz Lisboa #96"/>
        <s v="9es Rencontres Internationales du Cinéma d'Animation de Wissembourg"/>
        <s v="Mostra de Curtas Nacionais (Cineclube de Telheiras)"/>
        <s v="Shortcutz Lisboa #98"/>
        <s v="7. Pravo Ljudski Film Festival"/>
        <s v="Filofest - International Student Film and Videofestival"/>
        <s v="XXII International Film Festival Message to Man"/>
        <s v="Athens ANIMFEST - International Animation Festival"/>
        <s v="Be There! Corfu Animation Festival"/>
        <s v="ANIRMAU - Festival de Cine de Animación"/>
        <s v="RIOS - 1º Festival Internacional de Cinema Documental e Transmedia"/>
        <s v="53 Festival dei Popoli - Festival Internazionale del Film Documentario"/>
        <s v="FICVALDIVIA - Festival Internacional de Cine de Valdivia"/>
        <s v="Sevilla Festival de Cine Europeo"/>
        <s v="Festival ao Largo"/>
        <s v="29º Festival de Almada"/>
        <s v="Miami International Film Festival"/>
        <s v="Riverrun International Film Festival"/>
        <s v="Palm Springs International Short Film Fest"/>
        <s v="Edinburgh International Film Festival"/>
        <s v="Filmfest München"/>
        <s v="Cinema Português no Grande Auditório"/>
        <s v="Festival Encontros do DeVIR - Criação"/>
        <s v="Shortcutz Lisboa #110"/>
        <s v="5ª edición de MÓRBIDO - Festival de Cine Fantástico y de Terror"/>
        <s v="Shortcutz Porto #80"/>
        <s v="Cycle Manoel de Oliveira"/>
        <s v="Exibição no Espaço Nimas"/>
        <s v="Cartoons on the Bay Pulcinella Awards 2012 - Festival Internazionale dell' Animazione Televisiva e Cross-mediale"/>
        <s v="Regard sur le Court Métrage au Saguenay - Festival International du Film Court"/>
        <s v="MECAL - Festival Internacional de Cortometrajes de Barcelona"/>
        <s v="Curta KINOFORUM - Festival Internacional de Curtas Metragens de São Paulo"/>
        <s v="12 éme Festival International du Court Métrage Lille"/>
        <s v="FILMETS - Badalona Film Festival"/>
        <s v="9. One Minute Film &amp; Video Festival"/>
        <s v="Encontros de Cinema de Viana"/>
        <s v="Exibição no Auditório da Biblioteca Municipal"/>
        <s v="Exibição no Pax Julia - Teatro Municipal"/>
        <s v="Exibição na Universidade do Algarve (Cultura Fílmica)"/>
        <s v="Sessão do Cineclube de Olhão no Ria Shopping"/>
        <s v="PANORAMA - Mostra de Documentário Português"/>
        <s v="ART &amp; TUR - Festival Internacional de Filmes de Turismo"/>
        <s v="Museum of the Moving Image: First Look Series"/>
        <s v="BAFICI - Buenos Aires Festival Internacional de Cine Independiente"/>
        <s v="1ª edición MECAL Chile - Festival Latinoamericano e Internacional de Cortometrjes"/>
        <s v="Shortcutz Porto #67"/>
        <s v="Ciclo Marias Cheias de Graça"/>
        <s v="Ciclo de Cinema INDIELISBOA nas Lojas FNAC - FNAC Santa Catarina"/>
        <s v="Ciclo de Cinema INDIELISBOA nas Lojas FNAC - FNAC Vasco da Gama"/>
        <s v="Ciclo de Cinema INDIELISBOA nas Lojas FNAC - FNAC Almada e FNAC Norte Shopping"/>
        <s v="Ciclo de Cinema INDIELISBOA nas Lojas FNAC - FNAC Colombo, FNAC Cascais Shopping, FNAC Gaia Shopping, FNAC Mar Shopping, FNAC Guimarães Shopping e FNAC Braga"/>
        <s v="Ciclo de Cinema INDIELISBOA nas Lojas FNAC - FNAC Chiado"/>
        <s v="Ciclo de Cinema INDIELISBOA nas Lojas FNAC - FNAC Alfragide"/>
        <s v="International Animated Film Festival TINDIRINDIS"/>
        <s v="The School of Reis: The Film Legacy of António Reis and Margarida Cordeiro (Harvard Film Archive)"/>
        <s v="The School of Reis: The Film Legacy of António Reis and Margarida Cordeiro (Anthology Film Archives)"/>
        <s v="Festival ImigrArte"/>
        <s v="Exibição no Teatro Municipal da Guarda"/>
        <s v="FIC LUANDA - Festival Internacional de Cinema de Luanda"/>
        <s v="Amostra-me Cinema Português"/>
        <s v="Madeira Film Festival"/>
        <s v="Cinema Português - Hipóteses para um Futuro (Barcelona)"/>
        <s v="Cinema Sénior (Espalha Fitas)"/>
        <s v="Rendez-vous CLASSICS"/>
        <s v="Ciclo de Cinema Português Nós por Cá 2012"/>
        <s v="Cycle J.G. Ballard: Cinematic Dystopias"/>
        <s v="Mostra de Cinema Português Independente"/>
        <s v="15ème semaine du cinéma de langue portugaise"/>
        <s v="Ciclo de Cinema Português (Coimbra)"/>
        <s v="Shortcutz Lisboa #116"/>
        <s v="Curtas Nacionais (ART e Cineclube de Telheiras)"/>
        <s v="Shortcutz Berlin #44"/>
        <s v="Shortcutz Porto #61"/>
        <s v="Shortcutz Faro #2"/>
        <s v="Festival Hors Pistes"/>
        <s v="Shortcutz Lisboa #97"/>
        <s v="FESTIBÉRICO"/>
        <s v="Shortcutz Porto #68"/>
        <s v="Festival BERLINDA 2012"/>
        <s v="Prémio ZON Criatividade em Multimédia 2011"/>
        <s v="Vamos ao NIMAS!"/>
        <s v="Bucharest International Experimental Film Festival"/>
        <s v="Filmes Independentes - Casos de Empreendedorismo (Sessão Especial Lusófona Shortcutz Lisboa)"/>
        <s v="Shortcutz Porto #77"/>
        <s v="FIC Puebla - Festival Internacional de Cine"/>
        <s v="Cinema Português - Hipóteses para um Futuro (La Coruña)"/>
        <s v="Landshuter Kurzfilmfestival"/>
        <s v="Shortcutz Lisboa #112"/>
        <s v="8º Curta 8 – Festival Internacional de Cinema Super8 de Curitiba "/>
        <s v="Shortcutz Lisboa@Pop Up - #1"/>
        <s v="Música, dança, ritual - Documentários sobre Cabo Verde"/>
        <s v="Shortcutz Lisboa #103"/>
        <s v="VII Jornadas de Cinema e Audiovisual de Fafe"/>
        <s v="Séance du Ciné-Club Cinem'Attack (Auditorium du Centre Michelet)"/>
        <s v="Vilnius International Film Festival"/>
        <s v="San Francisco International Film Festival"/>
        <s v="Sessão do Cineclube de Faro no IPJ"/>
        <s v="ViriatoCurtas Festival"/>
        <s v="Shortcutz Lisboa #109"/>
        <s v="Stoke Your Fires Awards 2012"/>
        <s v="Cartoon Club - XXVIII Festival Internazionale del Cinema d'Animazione e del Fumetto"/>
        <s v="Curtas ao Tanque #01"/>
        <s v="IDFA - International Documentary Film Festival Amsterdam"/>
        <s v="ZEPE 3 filmes e 5 Ginjas (Cineclube de Telheiras)"/>
        <s v="Sessão do Cineclube de Torres Novas no Estúdio Alfa"/>
        <s v="13ª Festa do Cinema Francês"/>
        <s v="FIPA - Festival International de Programmes Audiovisuels"/>
        <s v="Aljazeera International Documentary Film Festival"/>
        <s v="Africa in the Picture Film Festival"/>
        <s v="Shortcutz Porto #81"/>
        <s v="Manhattan Film Festival"/>
        <s v="ANIFEST - International Film of Animated Films"/>
        <s v="Shortcutz Porto #75"/>
        <s v="Cinema de Verão"/>
        <s v="Sessão do Cineclube de Fafe na Sala Manoel de Oliveira"/>
        <s v="2º aniversário do 9500 Cineclube no Cine Solmar"/>
        <s v="Sessão do Cineclube de Joane na Casa das Artes"/>
        <s v="Festival Internacional de Cine de Las Palmas de Gran Canaria"/>
        <s v="CPH Pix - Feature Film Festival"/>
        <s v="Shortcutz Madrid #2"/>
        <s v="Triplic'Arte Mini Fest"/>
        <s v="Shortcutz Faro #4"/>
        <s v="UFO 0110 (2012) - International Digital Film Festival"/>
        <s v="Festival der Nationen"/>
        <s v="Shortcutz Faro #5"/>
        <s v="Texas National Film Festival 2011"/>
        <s v="2011 California Movie Awards"/>
        <s v="Karlovy Vary International Film Festival"/>
        <s v="MOVICA IV- Mostra de Vídeo e Cinema Africano"/>
        <s v="DEMOCRACINE - Festival Internacional de Cinema de Porto Alegre"/>
        <s v="Shortcutz Porto #73"/>
        <s v="Shortcutz Porto #72"/>
        <s v="Magnificent Obsession:  The Films of Werner Schroeter"/>
        <s v="Shortcutz Lisboa@Pop Up - #2"/>
        <s v="Shortcutz Lisboa #104"/>
        <s v="XI Mostra de Documentários sobre Direitos Humanos AI Portugal"/>
        <s v="Semana de Cine de Medina del Campo"/>
        <s v="Shortcutz Porto #60"/>
        <s v="Sessão do Cineclube de Amarante - Uma noite com Luís Vieira Campos no Cinema Teixeira de Pascoaes"/>
        <s v="Sessão do Cineclube do Porto no Espaço Compasso"/>
        <s v="Ao Encontro de…"/>
        <s v="Thermaikos International 2min Film Festival"/>
        <s v="Children's Film Festival Seattle"/>
        <s v="New Yorl Int'l Children's Film Festival"/>
        <s v="Ciné-Jeune de l'Aisne - Festival International de Cinéma"/>
        <s v="Internationales Trickfilm-Festival Stuttgart"/>
        <s v="El meu primer Festival - Festival de Cinema Infantil"/>
        <s v="Concurso de Curtas Metragens de Canelas"/>
        <s v="Prémios Sophia"/>
        <s v="Cinema em Casa"/>
        <s v="MOLODIST - Kyiv International Film Festival"/>
        <s v="6º Concurso de Vídeo Escolar 8 e Meio"/>
        <s v="It's all True - Festival Internacional de Documentários (2012)"/>
        <s v="Ciclo Observatório"/>
        <s v="Queer Lisboa no Espaço Nimas"/>
        <s v="Gardunha Fest - Festival de Curtas Metragens"/>
        <s v="Ciclo &quot;MELANCOLIAS&quot;"/>
        <s v="Dia Internacional do Público e do Cineclubismo"/>
        <s v="SHORTCUTZ Lisboa #107"/>
        <s v="Shortcutz Lisboa #94"/>
        <s v="Trafic: 20 ans, 20 films"/>
        <s v="CORSICADOC - Festival International du Documentaire"/>
        <s v="Celebração Mundial do Dia da Árvore e da Floresta"/>
        <s v="Shortcutz Porto #78"/>
        <s v="Cine-Concerto no Auditório de Serralves"/>
        <s v="Cine-Concerto no Centro Multimeios de Espinho"/>
        <s v="# CEC 4: Cine-Concerto"/>
        <s v="Cine-Concerto no TAGV"/>
        <s v="Cine-Concerto no São Luiz Teatro Municipal"/>
        <s v="Midnight Sun Film Festival"/>
        <s v="Sessão do Cineclube de Guimarães no São Mamede CAE"/>
        <s v="Jornadas Europeias do Património (Évora)"/>
        <s v="ANIMANIMA - International Animation Festival"/>
        <s v="Arte Dentro - Festival da Cultura"/>
        <s v="XIII SÉVÍDEO - Festival de Vídeo da Sé"/>
        <s v="Ciclo de Cinema INDIELISBOA nas Lojas FNAC - FNAC Cascais Shopping"/>
        <s v="Ciclo de Cinema INDIELISBOA nas Lojas FNAC - FNAC Gaia Shopping, FNAC Mar Shopping, FNAC Guimarães Shopping e FNAC Colombo"/>
        <s v="Ciclo de Cinema INDIELISBOA nas Lojas FNAC - FNAC Braga"/>
        <s v="Festival Silêncio"/>
        <s v="Shortcutz Lisboa #84"/>
        <s v="Festa da Poesia - FNAC Vasco da Gama e FNAC Chiado"/>
        <s v="Festa da Poesia - FNAC Viseu, FNAC Alfragide, FNAC Almada e FNAC Cascais Shopping"/>
        <s v="Sessões do 9500 Cineclube no Teatro Micaelense"/>
        <s v="Shortcutz Porto #70"/>
        <s v="Shortcutz Porto #58"/>
        <s v="Tardes de Cinema Infantil: Curtinhas de Animação da Monstrinha"/>
        <s v="Shortcutz Lisboa #85"/>
        <s v="CINEUROPA"/>
        <s v="Teatro José Lúcio da Silva"/>
        <s v="Pax Julia - Teatro Municipal"/>
        <s v="Olhar de Cinema - Festival Internacional de Curitiba"/>
        <s v="Shortcutz Porto #53"/>
        <s v="Screen Loud Film Festival"/>
        <s v="Festival VIDET"/>
        <s v="PUFF - Portugal Underground Film Festival"/>
        <s v="Curtas em Flagrante (Festins 2012)"/>
        <s v="Concorto Film Festival"/>
        <s v="9º FCAT - Festival de Cine Africano de Córdoba"/>
        <s v="Ciclo de Cinema Africano"/>
        <s v="Ciclo de Cinema &quot;As Comunidades Acidentais&quot;"/>
        <s v="Jornada Internacional de Cinema da Bahia"/>
        <s v="Shortcutz Lisboa #86"/>
        <s v="Shortcutz Porto #54"/>
        <s v="XII International Documentary Film Festival &quot;Flahertiana&quot;"/>
        <s v="Palm Springs International Film Festival"/>
        <s v="Exibição no VIFF, Vancity Theatre"/>
        <s v="Ciclo de cinema dedicado a José Saramago"/>
        <s v="Hiroshima International Animation Festival"/>
        <s v="La Compet' de l'Hybride"/>
        <s v="Anilogue - International Animation Film Festival"/>
        <s v="Etiuda&amp;Anima - 19th. International Film Festival"/>
        <s v="Olympia International Film Festival for Children and Young People"/>
        <s v="ANIMATEKA 2012 - 9th. International Animated Film Festival"/>
        <s v="LES NUITS MAGIQUES - 22 ème Festival International du Film d'Animation"/>
        <s v="Sessão do 9500 Cineclube na Galeria/Bar Arco8"/>
        <s v="Shortcutz Porto #71"/>
        <s v="Jameson Cinefest - Miskolc International Film Festival"/>
        <s v="Euroshorts 2012 - European Film Festival "/>
        <s v="Festival CINE//B_5"/>
        <s v="Internationale Kurzfilmtage Winterthur"/>
        <s v="Sessão de Cinema na CINUBITECA (Aud. de Cinema da UBI)"/>
        <s v="Programa BLACK BOX - Mostra Final do Projecto Territórios Invisíveis"/>
        <s v="Sessão para Escolas (CCV)"/>
        <s v="Sessão do Cineclube do Barreiro na Biblioteca Municipal"/>
        <s v="Shortcutz Porto #64"/>
        <s v="Cinema para Escolas - Serviço Educativo da FCD"/>
        <s v="Sessão do Cineclube de Faro no Grande Auditório do Campus de Gambelas"/>
        <s v="Skepto International Film Festival"/>
        <s v="Ciclo de Cinema &quot;Cenas do CES III: uma boa dose de lirismo e sífilis&quot;"/>
        <s v="Semaine de la Critique"/>
        <s v="NYFF - New York Film Festival"/>
        <s v="V Janela Internacional de Cinema do Recife"/>
        <s v="Shortcutz Lisboa #114"/>
        <s v="Flickerfest - International Short Film Festival"/>
        <s v="EUROPA 2012 - Ciclo de Cinema Europeu"/>
        <s v="Shortcutz Porto #57"/>
        <s v="Festival Européen du Court Métrage de Bordeaux"/>
        <s v="Rencontres Henri Langlois - Festival International des Écoles de Cinéma"/>
        <s v="Prix du Syndicat Français de la Critique de Cinéma 2011"/>
        <s v="SANFIC8 - Santiago Festival Internacional de Cine"/>
        <s v="Soul 4 Reel International Film Festival"/>
        <s v="Video Festival Imperia"/>
        <s v="Festival Le Temps Presse"/>
        <s v="Festival der Nationen 2012"/>
        <s v="Outubro - Mês da Música 2012"/>
        <s v="Douro Film Harvest (2012)"/>
        <s v="Shortcutz Porto #76"/>
        <s v="Festival Internacional de Cine de Huesca"/>
        <s v="KIN International Film Festival IX"/>
        <s v="Shortcutz Porto #65"/>
        <s v="Shortcutz Porto #56"/>
        <s v="Shortcutz Faro #3"/>
        <s v="Luxor Egyptian and European Film Festival"/>
        <s v="Shortcutz Porto #55"/>
        <s v="Santa Barbara International Film Festival"/>
        <s v="TriMedia Film Festival"/>
        <s v="The 4th International Animated Film Festival &quot;TOFUZI&quot;"/>
        <s v="Ciclo É a política…! "/>
        <s v="Prémio Autores 2012"/>
        <s v="Espaço Nimas convida: Edgar Pêra"/>
        <s v="Globos de Ouro 2012"/>
        <s v="1 Ano de Atividade do Cineclube de Telheiras no ART"/>
        <s v="Cambridge Film Festival"/>
        <s v="Tardes de Cinema Infantil: Curtinhas de Animação Extensão do CINANIMA"/>
        <s v="Tardes de Cinema "/>
        <s v="IBAFF - Festival Internacional de Cine Viaje y Creación"/>
        <s v="Abu Dhabi Film Festival"/>
        <s v="Citéphilo 2012"/>
        <s v="Shortcutz Lisboa #113"/>
        <s v="International Research Film Festival at Connecticut College"/>
        <s v="5ª edição do Festival &quot;O Mundo Aqui&quot;"/>
        <s v="Shortcutz Lisboa #118"/>
        <s v="Brussels Short Film Festival"/>
        <s v="WorldKids International Short Film Festival"/>
        <s v="Ciclo de Cinema na Casa das Artes"/>
        <s v="Festival de Málaga - Cine Español"/>
        <s v="6ª Mostra de Cinema da Baixada Fluminense"/>
        <s v="Cinema Jove - Festival Internacional de Cine de Valencia"/>
        <s v="Ante-estreia no Cine-Teatro de Vila Nova de Cerveira"/>
        <s v="The Pan-African Film &amp; Arts Festival"/>
        <s v="Northern Wave International Film Festival"/>
        <s v="Festival de Cine y Derechos Humanos de Barcelona"/>
        <s v="MedFilm Festival - Il Cinema Mediterraneo a Roma"/>
        <s v="Cinema Sem Limites - Mostra Straub-Huillet"/>
        <s v="The 26th Pärnu International Documentary and Anthropology Film Festival "/>
        <s v="Shortcutz Porto #63"/>
        <s v="Festival Ciné Junior"/>
        <s v="Quinzaine des Réalisateurs"/>
        <s v="PUFF 2013 - Portugal Underground Film Festival"/>
        <s v="Comemorações do 25 de Abril em Santarém"/>
        <s v="Ante-estreia no Espaço Nimas"/>
        <s v="Melbourne International Film Festival"/>
        <s v="Sessão de Cultura Vibra no Centro Cultural de Alcains"/>
        <s v="Shortcutz Porto #74"/>
        <s v="Journées Cinématographiques de Carthague"/>
        <s v="Shortcutz Lisboa #101"/>
        <s v="Cine Las Americas International Film Festival"/>
        <s v="Shortcutz Lisboa #106"/>
        <s v="Apresentação do filme na FNAC Coimbra"/>
        <s v="Apresentação do filme com debate na FNAC Chiado"/>
        <s v="Sessão do Cineclube de Santarém no Cine-Teatro Sá da Bandeira (Dia Internacional da Mulher)"/>
        <s v="Apoio aos ex-combatentes vítimas do stress de guerra - Associação APOIAR"/>
        <s v="Teatro do Campo Alegre"/>
        <s v="Festival Paris Cinéma"/>
        <s v="18th Sarajevo Film Festival"/>
        <s v="60 Jahre Goldene Bären"/>
        <s v="Estreia no Castelo de Miranda do Douro"/>
        <s v="Exibição no Teatro Municipal do Pinhal Novo"/>
        <s v="Exibição no Centro Cultural de Ílhavo, (inserido no ciclo do 4º aniversário)"/>
        <s v="Crossing Europe Filmfestival Linz"/>
        <s v="D'A - Festival Internacional de Cinema d'Autor de Barcelona"/>
        <s v="Transilvania International Film Festival"/>
        <s v="7ª Muestra de Cine Europeo Ciudad de Segovia"/>
        <s v="24 Festival de Cine Europeo"/>
        <s v="Antestreia na Biblioteca Municipal de Faro"/>
        <s v="Mompeo in Corto"/>
        <s v="Sydney Film Festival"/>
        <s v="Festival du Film de Cabourg - 26e Journées Romantiques"/>
        <s v="Jerusalem Film Festival"/>
        <s v="33rd Durban International Film Festival"/>
        <s v="Transatlantyk - Poznan International Film and Music Festival"/>
        <s v="28 èmes Rencontres Cinéma de Gindou"/>
        <s v="Avvantura Festival Filmforum Zadar"/>
        <s v="15 èmes Rencontres ...à la Campagne"/>
        <s v="25th  Helsinki International Film Festival Love &amp; Anarchy"/>
        <s v="18th. Auteur Film Festival"/>
        <s v="II Muestra de Cine Europeo de Lanzarote"/>
        <s v="Prémios Time Out Lisboa 2012"/>
        <s v="Ciclo &quot;Os Filmes libertam a Cabeça&quot; (Comemorações do 25 de Abril da CM de Odivelas)"/>
        <s v="Exibição no Centro Cultural e de Congressos das Caldas da Rainha"/>
        <s v="18/18 International Film Festival on Human Trafficking"/>
        <s v="Dia Europeu contra o Tráfico de Seres Humanos"/>
        <s v="II edição do FAFE FILM FEST"/>
        <s v="Dia do Animal"/>
        <s v="Exibição na Sociedade Recreativa Artística Farense"/>
        <s v="Shortcutz Lisboa #115"/>
        <s v="Exibição no Grande Auditório da Faculdade de Belas-Artes de Lisboa"/>
        <s v="Exibição na Casa da Cultura de Verín"/>
        <s v="Festival International du Film d'Environnement"/>
        <s v="Minimalen Short Film Festival"/>
        <s v="International Debut Film Festival of Cinemtography &quot;Spirit of Fire&quot;"/>
        <s v="Festival Pontino del Cortometraggio"/>
        <s v="Shortcutz London #60"/>
        <s v="Jornadas Europeias do Património (Lixa)"/>
        <s v="50 Years of the NYFF"/>
        <s v="Arrested History: New Portuguese Cinema"/>
        <s v="Filhos da Curta - 1º Festival de Curtas-Metragens de Sandim"/>
        <s v="Arquiteturas Film Festival Lisboa"/>
        <s v="PF ShortsFest"/>
        <s v="UFO 0110 - International Digital Film Festival (2013)"/>
        <s v="CURTA AMAZÔNIA - Festival de Cinema"/>
        <s v="5º Festival Internacional de Cinema da Fronteira"/>
        <s v="Leiria Film Fest' 13 - 1st International Film Festival"/>
        <s v="5th Annual Bay Area International Children's Film Festival"/>
        <s v="Shortcutz Xpress Viseu #5"/>
        <s v="INTERFILM - International Shortfilmfestival Berlin"/>
        <s v="35 Moskow International Film Festival"/>
        <s v="Filmfest Hamburg"/>
        <s v="DMZ Docs - Korean International Documentary Film Festival"/>
        <s v="18th International Film Festival of Kerala"/>
        <s v="Kugoma - Fórum de Cinema de Curta Metragem"/>
        <s v="CLAP - Festival de Cinema de Carnide"/>
        <s v="Script 2013 - International Short Film Festival"/>
        <s v="Festival de Curtas-Metragens da Ribeira Grande"/>
        <s v="II Mostra de Cinema Português Contemporâneo (Recife)"/>
        <s v="II Mostra de Cinema Português Contemporâneo (Rio de Janeiro)"/>
        <s v="Copenhagen Art Week"/>
        <s v="LFŠ 2013"/>
        <s v="Shortcutz Lisboa #137"/>
        <s v="Primera Semana de Cine Portugués"/>
        <s v="Film Africa"/>
        <s v="The New Wave of African Cinema"/>
        <s v="Utopia - 4th UK Portuguese  Film Festival"/>
        <s v="Exibição no ICA"/>
        <s v="Festival International du Cinéma d'Alger - Journées du Film Engagé"/>
        <s v="Novos e Novíssimos do Cinema Português"/>
        <s v="Fitas na Ria"/>
        <s v="Ciclo &quot;Ontem como Hoje&quot;"/>
        <s v="Festival International du Film Lusophone"/>
        <s v="U. Frame - Festival Internacional de Vídeo Universitário"/>
        <s v="FestCurtas BH - Festival Internacional de Curtas de Belo Horizonte"/>
        <s v="28 Festival Internacional de Cine de Mar del Plata"/>
        <s v="Olhar Lisboa"/>
        <s v="Comemorações do Dia Internacional de Mulher 2013"/>
        <s v="Festival International du Cinéma Mediterranéen de Tétouan"/>
        <s v="FESTROIA - Festival Internacional de Cinema de Setúbal (2013)"/>
        <s v="Cinéma portugais, du &lt;&lt;novo&gt;&gt; au contemporain"/>
        <s v="Sessão Especial do Cineclube Lusófona"/>
        <s v="Shortcutz Lisboa #141"/>
        <s v="Prémios Shortcutz Lisboa 2012"/>
        <s v="Prémio em Curtas - Esclerose Múltipla"/>
        <s v="CÓRTEX - IV Festival de Curtas Metragens"/>
        <s v="MUCES - Muestra de Cine Europeo Ciudad de Segovia"/>
        <s v="FIKE 2013"/>
        <s v="RIOS - 2º Festival Internacional de Cinema Documental e Transmedia"/>
        <s v="Shortcutz Lisboa #120"/>
        <s v="RIDM - Rencontres Internationales du Documentaire de Montréal"/>
        <s v="Shortcutz Porto #106"/>
        <s v="Shortcutz Xpress Viseu #14 Especial O Dia Mais Curto"/>
        <s v="10th. Naoussa International Film Festival"/>
        <s v="Les Rendez-vous de Raoul"/>
        <s v="Festival Internazionale Cinema e Donne"/>
        <s v="ANIMPACT - Animation Festival"/>
        <s v="Extensão do II PANAZOREAN no Faial"/>
        <s v="Shortcutz Porto #87"/>
        <s v="Shortcutz Lisboa #121"/>
        <s v="Black Movie - Festival de Films"/>
        <s v="3. Edición FICUNAM - Festival Internacional de Cine UNAM"/>
        <s v="37th Hong Kong International Film Festival"/>
        <s v="International Istambul Film Festival"/>
        <s v="III Encontro Anual da AIM"/>
        <s v="Cine do Desasosego: Portugal Hoxe"/>
        <s v="Shortcutz Lisboa #125"/>
        <s v="Shortcutz Amsterdam #35"/>
        <s v="Prémio Autores 2013"/>
        <s v="Encontros Cinematográficos (2013)"/>
        <s v="Cine Ceará - 23º Festival Iber-Americano de Cinema"/>
        <s v="DAAD-Stipendiat Sandro Aguilar"/>
        <s v="Portobello World Cinema Festival"/>
        <s v="Shortcutz Porto #84"/>
        <s v="Shortcutz Lisboa #123"/>
        <s v="Shortcutz Xpress Viseu #1"/>
        <s v="Shortcutz Porto #103"/>
        <s v="European Media Art Festival Osnabrück"/>
        <s v="Flexiff 2013 - Experimental International Film Festival"/>
        <s v="Semana do Cinema Etnográfico - Ciclo de Filmes &quot;Identidade e Memória&quot;"/>
        <s v="Traces de Vie - Festival du Film Documentaire"/>
        <s v="CinAntrop - Festival Internacional de Cinema Etnográfico"/>
        <s v="8ª edição do Concurso de Vídeo Fundação INATEL"/>
        <s v="Athens International Digital Film Festival"/>
        <s v="8. Pravo Ljudski Film Festival"/>
        <s v="15th Madurai International Documentary and Short Film Festival"/>
        <s v="Festival NAA  - Novas Artes Associadas"/>
        <s v="Shortcutz Porto #93"/>
        <s v="21ª Mostra Internacional de Films de Dones"/>
        <s v="Courtisane Festival"/>
        <s v="Shortcutz Xpress Viseu #7"/>
        <s v="VAFI - 4th. International Children and Youth Animation Film Festival Varazdin"/>
        <s v="Sessão do Cineclube de Guimarães no PAC/Blackbox"/>
        <s v="Onion City Experimental Film and Video Festival"/>
        <s v="Exibição no CinePalmeiras"/>
        <s v="Frames - Portuguese Film Festival"/>
        <s v="Especial João Salaviza"/>
        <s v="Hollywood Brazilian Film Festival"/>
        <s v="Shortcutz Xpress Viseu #10"/>
        <s v="Ciclo Cinema: Dinheiro para que te querem"/>
        <s v="Cinema do Mundo"/>
        <s v="29 ème Festival International du Film d'Amour de Mons"/>
        <s v="Dokufest - International Documentary and Short Film Festival"/>
        <s v="IndieCork "/>
        <s v="Shortcutz Porto #90"/>
        <s v="Shortcutz Lisboa #134"/>
        <s v="Shortcutz Lisboa #128"/>
        <s v="Shortcutz Xpress Viseu #13"/>
        <s v="5th. Cairo Video Festival - Video Art &amp; Experimental Films"/>
        <s v="No/Gloss Film Festival - The Independent Film Festival for Leeds"/>
        <s v="Shortcutz Porto #97"/>
        <s v="Exibição na Livraria/Galeria Municipal Verney"/>
        <s v="FIDOCS - Festival Internacional de Documentales de Santiago"/>
        <s v="FIDBA - Festival Internacional de Cine Documental de Buenos Aires"/>
        <s v="20th Annual Chicago Underground Film Festival"/>
        <s v="Stockholm International Film Festival"/>
        <s v="Ciclo Europa Ano Zero"/>
        <s v="Exibição no Pavilhão Gimnodesportivo de Coruche"/>
        <s v="Shortcutz Lisboa #143"/>
        <s v="Shortcutz Xpress Viseu #9"/>
        <s v="Shortcutz Lisboa #146"/>
        <s v="Cinemateca Próximo Futuro"/>
        <s v="Shortcutz Lisboa #139"/>
        <s v="19th Sarajevo Film Festival"/>
        <m/>
        <s v="VIII Jornadas de Cinema e Audiovisual  de Fafe"/>
        <s v="FICSAM - Festival Internacional de Cinema e Saúde Mental"/>
        <s v="Doc Alliance Selection Award 2013"/>
        <s v="28 Festival Internacional de Cine en Guadalajara"/>
        <s v="Hamptons International Film Festival"/>
        <s v="International Short Film Festival Leuven"/>
        <s v="Shortcutz Porto #88"/>
        <s v="Shortcutz Lisboa #127"/>
        <s v="CHILEMONOS - Segundo Festival Internacional  de Animación 2013"/>
        <s v="Shortcutz Porto #89"/>
        <s v="Shortcutz Xpress Viseu #4"/>
        <s v="Shortcutz Berlin : Best Shorts 2nd edition"/>
        <s v="Shortcutz Xpress Viseu #12"/>
        <s v="Exibição no Labirintho Bar"/>
        <s v="Shortcutz Porto # 95 Especial 25 de Abril"/>
        <s v="Shortcutz Porto #102"/>
        <s v="Ciclo &quot;O Mundo não acaba aqui''"/>
        <s v="Exibição no Cine-Teatro Louletano"/>
        <s v="Giffoni Film Festival"/>
        <s v="Novel Cineasta - Mostra de curtas-metragens escolares"/>
        <s v="Curtas Metragens de The Legendary Tigerman"/>
        <s v="Shortcutz Xpress Viseu #8"/>
        <s v="Gardunha Fest no Ananda Café"/>
        <s v="Timishort Film Festival"/>
        <s v="VI Janela Internacional de Cinema do Recife"/>
        <s v="NY Portuguese Short Film Festival (2013)"/>
        <s v="Douro Film Harvest (2013)"/>
        <s v="Cinema em Setúbal"/>
        <s v="FEST - 41st. Belgrade International Film Festival"/>
        <s v="VI Prémio de Atores de Cinema Fundação GDA 2012"/>
        <s v="Festival de Brasília do Cinema Brasileiro"/>
        <s v="Pessoa in New York"/>
        <s v="2nd Fanatika Theatre Documentary Festival"/>
        <s v="MULTIVISION - XI International Festival of Animation Arts"/>
        <s v="Quintas de Cinema Português"/>
        <s v="Festival de Cine de Bogotá"/>
        <s v="Fastnet Short Film Festival"/>
        <s v="13ª Mostra de Cinema Europeu de Tavira"/>
        <s v="Short Sharp Film Festival"/>
        <s v="Festival de Cortos de Bogotá BOGOSHORTS"/>
        <s v="Noites do Geba"/>
        <s v="Leeds International Film Festival"/>
        <s v="Shortcutz Lisboa #126"/>
        <s v="Filmes Proibidos - Ciclo de Cinema Português"/>
        <s v="Shortcutz Lisboa #155"/>
        <s v="London Art Fair 2013"/>
        <s v="Semana da Responsabilidade Social Universitária"/>
        <s v="Shortcutz Lisboa #142"/>
        <s v="Shortcutz Lisboa #129"/>
        <s v="Festival Tous Ecrans"/>
        <s v="Homenagem nacional a José Saramago"/>
        <s v="Shortcutz Lisboa #119"/>
        <s v="Pedro Costa http: www.porta33.com"/>
        <s v="Kloosterkino 6e editie"/>
        <s v="ANIMAC'13 - Mostra Internacional de Cinema d'Animació de Catalunya"/>
        <s v="BUFF - International Children and Young People's Film Festival"/>
        <s v="Kyiv International Short Film Festival"/>
        <s v="ANIFILM 04 - International Festival of Animated Films"/>
        <s v="Kiki Tabor - International Film Festival for Kids"/>
        <s v="Festival Côté Court"/>
        <s v="Little Big Shots - International Film Festival for Kids"/>
        <s v="KUKI - 6. Internationales Kinder- &amp; Jugendkurzfilmfestival Berlin"/>
        <s v="ANIMATEKA 2013 - 10th. International Animated Film Festival"/>
        <s v="Sessão de CONFEDERAÇÃO no Auditório do Grupo Musical de Miragaia"/>
        <s v="FICBIC - Festival Internacional de Cinema da Bienal Internacional de Curitiba"/>
        <s v="#9 La Pedrera Short Film Festival"/>
        <s v="Shortcutz Porto #91"/>
        <s v="Festival della Fantascienza di Trieste"/>
        <s v="Shortcutz Lisboa # 133"/>
        <s v="Shortcutz Porto #94"/>
        <s v="Ostrava Kamera Oko - International Cinematographers Film Festival"/>
        <s v="Shortcutz Xpress Viseu #6"/>
        <s v="Tabor Film Festival - 11th International Short Film Festival"/>
        <s v="EU Short Film Festival (Hong Kong)"/>
        <s v="EU Short Film Festival (Macau)"/>
        <s v="Harvard na Gulbenkian - Diálogos sobre o Cinema Português e o Cinema do Mundo"/>
        <s v="Exibição na Associação MOB"/>
        <s v="Shortcutz Porto #83"/>
        <s v="Shortcutz Porto #86"/>
        <s v="FECIMM - Festival de Cinema do Mundo de Marvão"/>
        <s v="Ozu and His Afterlives"/>
        <s v="Frequency Film Festival"/>
        <s v="Shortcutz Lisboa #149"/>
        <s v="Shortcutz Xpress Viseu #11"/>
        <s v="Cine ONU: Ciclo Direitos e Desenvolvimento"/>
        <s v="The 16th Annual European Union Film Festival"/>
        <s v="Lisbon &amp; Estoril Film Festival'13"/>
        <s v="Film Comment Selects 2013"/>
        <s v="Sessão do Cineclube da Guarda no Teatro Municipal de Guarda"/>
        <s v="Africa International Film Festival"/>
        <s v="Semana Shortcutz Network &quot;5 dias, 5 cidades&quot;"/>
        <s v="Shortcutz Porto #100"/>
        <s v="Shortcutz Amsterdam #34"/>
        <s v="Shortcutz Lisboa #138"/>
        <s v="Festival Internacional de Cine de Cartagena"/>
        <s v="Shortcutz Xpress Viseu #2"/>
        <s v="CLAP89 - Festival International du Court Métrage"/>
        <s v="Festival RESTART"/>
        <s v="Memória da Mudança - Cinema Português dos Anos 80"/>
        <s v="Festival der Nationen 2013"/>
        <s v="Premio Max Cavallo"/>
        <s v="Shortcutz Porto #98"/>
        <s v="11mm - 10. Internationales Fussballfilmfestival"/>
        <s v="International Short Film Festival in Drama"/>
        <s v="Paz em Ciclo - Cinema e Debates"/>
        <s v="Shortcutz Lisboa #124"/>
        <s v="Ciclo &quot;Cidadania Informada, Cidadania Activa&quot;"/>
        <s v="Shortcutz Porto #85"/>
        <s v="1ª edição dos Cinema Blogger Awards"/>
        <s v="Unknown Pleasures #5 - American Independent Film Festival"/>
        <s v="The 27th Pärnu International Documentary and Anthropology Film Festival"/>
        <s v="FIDMarseille Carte Blanche: A Weekend with Programmer Jean-Pierre Rehm"/>
        <s v="Shortcutz Xpress Viseu #3"/>
        <s v="Cinema Mundi International Film Festival"/>
        <s v="Fafe Film Fest - Festival de Cinema de Fafe"/>
        <s v="Expedient de crisi - Cine militant dels anys setanta a la península Ibèrica"/>
        <s v="Shortcutz Lisboa #140"/>
        <s v="Shortcutz Porto #96"/>
        <s v="Cortoacquario - Festival Internazionale Cortometraggi"/>
        <s v="Concurso Cultural &quot;Road Movie&quot;"/>
        <s v="Alternative Film/video Festival - Festival of New Film and Video"/>
        <s v="Tromsø International Film Festival"/>
        <s v="2013 International Cinephile Society Awards"/>
        <s v="!f Istambul International Independent Film Festival"/>
        <s v="Cinema às 6ªs "/>
        <s v="Festival Internacional de Cine de Panamá"/>
        <s v="3 Festival de Cine La Orquidea"/>
        <s v="Kastav Film Festival"/>
        <s v="KLEX - Kuala Lumpur Experimental Film &amp; Video Festival"/>
        <s v="Frontale - 3. Internationales Wiener Neustadt Filmfestival "/>
        <s v="Women Media Arts and Film Festival"/>
        <s v="Shortcutz Porto #107"/>
        <s v="Documentary Fortnight 2013: MoMA's International Festival of Nonfiction Film and Media"/>
        <s v="LIMA INDEPENDIENTE  - Festival Internacional de Cine"/>
        <s v="Open City Docs Fest"/>
        <s v="Sessão Comemorativa do 39º Aniversário do 25 de Abril"/>
        <s v="Exibição no Auditório do Louvre"/>
        <s v="Exibição na Casa das Artes de Tavira"/>
        <s v="Shortcutz Porto #105"/>
        <s v="Onmoving Film Festival"/>
        <s v="O Filme da Minha Vida"/>
        <s v="Beacons Music &amp; Art Festival "/>
        <s v="29ème Festival International de Cinéma Vues d'Afrique"/>
        <s v="FICAB XIII - Festival Internacional del Cine Arqueológico del Bidasoa"/>
        <s v="Shortcutz Xpress Viseu #17"/>
        <s v="Documentary Fortnight 2014: MoMA's International Festival of Nonfiction Film and Media"/>
        <s v="Shortcutz Lisboa #157"/>
        <s v="Shortcutz Lisboa #159"/>
        <s v="Shortcutz Xpress Viseu #16"/>
        <s v="Shortcutz Lisboa #160"/>
        <s v="4. Edición FICUNAM - Festival Internacional de Cine UNAM"/>
        <s v="Encontro Florbela Espanca"/>
        <s v="One Screen Film Festival"/>
        <s v="30 ème Festival International du Film d'Amour de Mons"/>
        <s v="Shortcutz Lisboa #156"/>
        <s v="Les Nuits en Or - PANORAMA 2014"/>
        <s v="Shortcutz Lisboa #158"/>
        <s v="Vícios e Obsessões"/>
        <s v="Zum 50. Todestag von Jean Cocteau"/>
        <s v="Journées du Film Européen d'Alger"/>
        <s v="As nossas Tardes de Cinema"/>
        <s v="Prémio ABRACCINE - Associação Brasileira de Críticos de Cinema para Melhores Filmes de 2013"/>
        <s v="Shortcutz Xpress Viseu #15"/>
      </sharedItems>
    </cacheField>
    <cacheField name="C1" numFmtId="0">
      <sharedItems containsBlank="1"/>
    </cacheField>
    <cacheField name="Cidade" numFmtId="0">
      <sharedItems count="475">
        <s v="Rio de Janeiro"/>
        <s v="Pamplona"/>
        <s v="Nice, Cannes, Grasse"/>
        <s v="Créteil"/>
        <s v="Pau"/>
        <s v="Évora"/>
        <s v="Mar del Plata"/>
        <s v="Cascais, Porto"/>
        <s v="Guimarães"/>
        <s v="Seixal"/>
        <s v="João Pessoa"/>
        <s v="Faro"/>
        <s v="Marselha"/>
        <s v="Tavira"/>
        <s v="Horta (Faial)"/>
        <s v="Viseu"/>
        <s v="Madrid"/>
        <s v="Paris"/>
        <s v="Aveiro"/>
        <s v="Atibaia"/>
        <s v="Berlim"/>
        <s v="Odemira"/>
        <s v="Coimbra"/>
        <s v="Porto"/>
        <s v="Lisboa"/>
        <s v="Espinho"/>
        <s v="Sidney"/>
        <s v="Chicoutimi"/>
        <s v="Nijmegen"/>
        <s v="Aubagne"/>
        <s v="Cleveland"/>
        <s v="Larissa"/>
        <s v="Setúbal"/>
        <s v="La Bourboule, Le Mont-Dore"/>
        <s v="Praga"/>
        <s v="Montpellier"/>
        <s v="Guarda"/>
        <s v="Amarante"/>
        <s v="Arouca"/>
        <s v="Ponta Delgada"/>
        <s v="Abrantes"/>
        <s v="Jihlava"/>
        <s v="Andorra"/>
        <s v="Alijó, Chaves, Favaios, Penedono, Pinhão"/>
        <s v="Figueira da Foz"/>
        <s v="Baixa da Banheira"/>
        <s v="Barcelos"/>
        <s v="Atalaia-Seixal"/>
        <s v="Cacela Velha"/>
        <s v="Torres Novas"/>
        <s v="Luanda"/>
        <s v="New York, Lisboa"/>
        <s v="Setúbal, Lisboa"/>
        <s v="Vila do Conde"/>
        <s v="Montefalco"/>
        <s v="S. João da Madeira"/>
        <s v="Varsóvia"/>
        <s v="Boston"/>
        <s v="Londres"/>
        <s v="Sintra"/>
        <s v="Lisboa, Estoril"/>
        <s v="Clermont-Ferrand"/>
        <s v="Santarém"/>
        <s v="Angers"/>
        <s v="Busan"/>
        <s v="New York"/>
        <s v="Jacarta"/>
        <s v="Seia"/>
        <s v="Corunha"/>
        <s v="Roterdão"/>
        <s v="Jeonju"/>
        <s v="Bérgamo"/>
        <s v="Veneza"/>
        <s v="Évora, Alandroal"/>
        <s v="Alcalá de Henares"/>
        <s v="Roma"/>
        <s v="Funchal"/>
        <s v="Covilhã"/>
        <s v="Cork"/>
        <s v="Loures"/>
        <s v="Aix-en-Provence"/>
        <s v="Lorient"/>
        <s v="Maputo"/>
        <s v="Braga"/>
        <s v="Maribor"/>
        <s v="Macau"/>
        <s v="Florianópolis"/>
        <s v="Trebinje"/>
        <s v="Ruggell"/>
        <s v="Tirana"/>
        <s v="Joanesburgo"/>
        <s v=""/>
        <s v="Cracóvia"/>
        <s v="Annecy"/>
        <s v="Melbourne"/>
        <s v="Toulouse"/>
        <s v="Ourense"/>
        <s v="Bradford"/>
        <s v="Sofia"/>
        <s v="Viana do Castelo"/>
        <s v="Milão"/>
        <s v="Santa Maria da Feira"/>
        <s v="Riga, Ventspils"/>
        <s v="Istambul"/>
        <s v="Miami Beach"/>
        <s v="Martil"/>
        <s v="Revine Lago"/>
        <s v="Adana"/>
        <s v="Nice"/>
        <s v="Amiens"/>
        <s v="New Bedford"/>
        <s v="Nis"/>
        <s v="Locarno"/>
        <s v="Vancouver"/>
        <s v="Viena"/>
        <s v="Copenhaga"/>
        <s v="Gijón"/>
        <s v="Los Angeles"/>
        <s v="Washington"/>
        <s v="Chaves"/>
        <s v="Cáceres"/>
        <s v="Foz Côa"/>
        <s v="São Paulo, Rio de Janeiro"/>
        <s v="Durham"/>
        <s v="Olival Basto"/>
        <s v="Vila Franca"/>
        <s v="Bogotá"/>
        <s v="Luxemburgo"/>
        <s v="Sevilha"/>
        <s v="Badajoz"/>
        <s v="Chiang-Mai"/>
        <s v="Telavive, Jerusalém, Haifa"/>
        <s v="Villeurbanne"/>
        <s v="São Paulo"/>
        <s v="Vilnius"/>
        <s v="Cannes"/>
        <s v="Toronto"/>
        <s v="San Sebastián"/>
        <s v="Tóquio"/>
        <s v="Salónica"/>
        <s v="Avanca"/>
        <s v="New Jersey"/>
        <s v="Mèrida"/>
        <s v="Kiev"/>
        <s v="Bamberg"/>
        <s v="Roanne"/>
        <s v="Lecce"/>
        <s v="Bilbau"/>
        <s v="Rovigo"/>
        <s v="Vicenza"/>
        <s v="Pádua"/>
        <s v="Vila do Porto"/>
        <s v="Madalena"/>
        <s v="Vila de Espargos, Santa Maria"/>
        <s v="Rio de Janeiro, São Paulo"/>
        <s v="Poznan"/>
        <s v="Seul"/>
        <s v="Yerevan"/>
        <s v="Munique"/>
        <s v="Lima, Outras Cidades"/>
        <s v="Beirute"/>
        <s v="Berna"/>
        <s v="Oberhausen"/>
        <s v="Hamburgo"/>
        <s v="Weiterstadt"/>
        <s v="Buenos Aires"/>
        <s v="Baden"/>
        <s v="Ottawa"/>
        <s v="Lodz"/>
        <s v="Rota Kiev a Odessa"/>
        <s v="Flensburg"/>
        <s v="Mumbai"/>
        <s v="Tallin"/>
        <s v="Montréal"/>
        <s v="Barcelona"/>
        <s v="Tomar"/>
        <s v="Xangai"/>
        <s v="Opuzen"/>
        <s v="Bogotá, Outras Cidades"/>
        <s v="Santa Cruz"/>
        <s v="Bucareste, Outras Cidades"/>
        <s v="Adis-Abeba"/>
        <s v="Quito, Outras Cidades"/>
        <s v="Stresa"/>
        <s v="Caracas"/>
        <s v="Porto Alegre"/>
        <s v="Monção"/>
        <s v="Buenos Aires, Outras Cidades"/>
        <s v="Montevideu"/>
        <s v="Dresden"/>
        <s v="Curitiba"/>
        <s v="Bangkok"/>
        <s v="Grimstad"/>
        <s v="Trencianske Teplice"/>
        <s v="Split"/>
        <s v="Namur"/>
        <s v="Belfort"/>
        <s v="Valladolid"/>
        <s v="Sófia"/>
        <s v="Belgrado"/>
        <s v="Cartaxo"/>
        <s v="Guía de Isora"/>
        <s v="Ankara"/>
        <s v="Estói"/>
        <s v="Gramado"/>
        <s v="Sergipe"/>
        <s v="Famalicão"/>
        <s v="Brasília"/>
        <s v="Huesca"/>
        <s v="Bucareste"/>
        <s v="Brest"/>
        <s v="Limassol"/>
        <s v="Seattle"/>
        <s v="Amsterdão"/>
        <s v="Beverly Hills"/>
        <s v="Cidade do México"/>
        <s v="Barreiro"/>
        <s v="Mondoñedo"/>
        <s v="Castelo Branco"/>
        <s v="Fieri"/>
        <s v="Aspen"/>
        <s v="Oroville"/>
        <s v="Halifax"/>
        <s v="Tânger"/>
        <s v="Indianapolis"/>
        <s v="Katovice"/>
        <s v="Savannah"/>
        <s v="Anchorage"/>
        <s v="Arcueil"/>
        <s v="Santiago do Chile, Outras Cidades"/>
        <s v="Granada"/>
        <s v="Ghent"/>
        <s v="Wiesbaden"/>
        <s v="Praia"/>
        <s v="Riade"/>
        <s v="Santiago de Compostela"/>
        <s v="Leipzig"/>
        <s v="Bristol"/>
        <s v="Gotemburgo"/>
        <s v="Nicósia"/>
        <s v="Bruxelas"/>
        <s v="Frankfurt am Main"/>
        <s v="Barnsley"/>
        <s v="Moscovo"/>
        <s v="Trento"/>
        <s v="Maputo, Outras Cidades"/>
        <s v="Sarajevo"/>
        <s v="Nyon"/>
        <s v="Woods Hole"/>
        <s v="San Miguel de Allende, Guanajuato"/>
        <s v="Kasimierz Dolny"/>
        <s v="île de Groix"/>
        <s v="Nancy"/>
        <s v="Recife"/>
        <s v="Córdoba"/>
        <s v="Pwêêdi Wiimîâ (Poindimié - Nova Caledónia) "/>
        <s v="Chicago"/>
        <s v="Odessa"/>
        <s v="Huntsville"/>
        <s v="Trieste"/>
        <s v="Newquay"/>
        <s v="Soria"/>
        <s v="Uppsala"/>
        <s v="Brive-la-Gaillarde"/>
        <s v="Turim"/>
        <s v="Graciosa"/>
        <s v="Lussas"/>
        <s v="Peniche"/>
        <s v="Fortaleza, Redenção, Maranguape"/>
        <s v="Valadares"/>
        <s v="Maia"/>
        <s v="Nuremberga"/>
        <s v="Jackson"/>
        <s v="Brno"/>
        <s v="Providence"/>
        <s v="Tampere"/>
        <s v="Forster"/>
        <s v="New York, Lisboa, Porto"/>
        <s v="Furnas"/>
        <s v="Ribeira Grande"/>
        <s v="Monte Verde"/>
        <s v="Almada"/>
        <s v="La Rochelle"/>
        <s v="Caldas da Rainha"/>
        <s v="Esmeriz"/>
        <s v="Portimão, Fundão"/>
        <s v="Senhora da Hora"/>
        <s v="Estoril"/>
        <s v="Naoussa"/>
        <s v="Castro Verde"/>
        <s v="Loulé"/>
        <s v="Wissembourg"/>
        <s v="Liubliana"/>
        <s v="São Petersburgo"/>
        <s v="Atenas"/>
        <s v="Corfu"/>
        <s v="Lalín"/>
        <s v="Vila Real"/>
        <s v="Florença"/>
        <s v="Valdivia"/>
        <s v="Miami"/>
        <s v="Winston-Salem"/>
        <s v="Palm Springs"/>
        <s v="Edimburgo"/>
        <s v="Pátzcuaro"/>
        <s v="Rapallo"/>
        <s v="Lille"/>
        <s v="Badalona"/>
        <s v="Aarau"/>
        <s v="Beja"/>
        <s v="Olhão"/>
        <s v="Santiago do Chile"/>
        <s v="Almada, Senhora da Hora"/>
        <s v="Lisboa, Cascais, Gaia, Leça da Palmeira, Guimarães, Braga"/>
        <s v="Cambridge (US)"/>
        <s v="Angra do Heroísmo"/>
        <s v="Nantes"/>
        <s v="Delft"/>
        <s v="Heroica Puebla de Zaragoza (Puebla)"/>
        <s v="La Coruña"/>
        <s v="Landshut"/>
        <s v="Fafe"/>
        <s v="São Francisco"/>
        <s v="Fataunços"/>
        <s v="Stoke-on-Trent"/>
        <s v="Rimini"/>
        <s v="Biarritz"/>
        <s v="Doha"/>
        <s v="Teplice"/>
        <s v="Las Palmas"/>
        <s v="Nova Deli"/>
        <s v="Dallas"/>
        <s v="San Diego"/>
        <s v="Karlovy Vary"/>
        <s v="Medina del Campo"/>
        <s v="Amadora"/>
        <s v="Saint Quentin"/>
        <s v="Estugarda"/>
        <s v="Canelas"/>
        <s v="Póvoa de Varzim"/>
        <s v="Fundão"/>
        <s v="Ajaccio"/>
        <s v="Sodankylä"/>
        <s v="Cacak"/>
        <s v="Aljezur"/>
        <s v="Cascais"/>
        <s v="Gaia, Leça da Palmeira, Guimarães, Lisboa"/>
        <s v="Viseu, Alfragide, Almada, Cascais"/>
        <s v="Leiria"/>
        <s v="Alcains"/>
        <s v="Pontenure"/>
        <s v="Córdova"/>
        <s v="Salvador da Bahia"/>
        <s v="Perm"/>
        <s v="Hiroshima"/>
        <s v="Budapeste, Viena"/>
        <s v="Pyrgos"/>
        <s v="Bègles, Outras Cidades"/>
        <s v="Miskolc"/>
        <s v="Gdansk"/>
        <s v="Winterthur"/>
        <s v="Cagliari"/>
        <s v="Bordéus"/>
        <s v="Poitiers"/>
        <s v="Forestville"/>
        <s v="Imperia"/>
        <s v="Ebbensee"/>
        <s v="Porto, Maia, Favaios, Matosinhos, Peso da Régua"/>
        <s v="Luxor"/>
        <s v="Santa Barbara"/>
        <s v="Fort Collins"/>
        <s v="Batumi"/>
        <s v="Cambridge (UK)"/>
        <s v="Murcia"/>
        <s v="Abu Dhabi"/>
        <s v="New London"/>
        <s v="Felgueiras"/>
        <s v="Málaga"/>
        <s v="Duque de Caxias"/>
        <s v="Valência"/>
        <s v="Vila Nova de Cerveira"/>
        <s v="Groundarfjörôur"/>
        <s v="Pärnu"/>
        <s v="Val-du Marne (Dep.)"/>
        <s v="Túnis"/>
        <s v="Austin"/>
        <s v="Miranda do Douro"/>
        <s v="Pinhal Novo"/>
        <s v="Ílhavo"/>
        <s v="Linz"/>
        <s v="Cluj"/>
        <s v="Segóvia"/>
        <s v="Mompeo"/>
        <s v="Sydney"/>
        <s v="Cabourg"/>
        <s v="Jerusalém"/>
        <s v="Durban"/>
        <s v="Gindou"/>
        <s v="Zadar"/>
        <s v="Rieupeyroux"/>
        <s v="Helsínquia"/>
        <s v="Arrecife"/>
        <s v="Verín"/>
        <s v="Paris, Île-de-France"/>
        <s v="Trondheim"/>
        <s v="Khanty-Mansiysk"/>
        <s v="Latina"/>
        <s v="Lixa"/>
        <s v="Berkeley"/>
        <s v="Sandim"/>
        <s v="Nova Deli, Mumbai"/>
        <s v="Porto Velho"/>
        <s v="Bagé"/>
        <s v="Alameda"/>
        <s v="Goyang, Paju"/>
        <s v="Trivandrum"/>
        <s v="Kochi"/>
        <s v="Uherské Hradiště"/>
        <s v="Argel"/>
        <s v="Genève"/>
        <s v="Belo Horizonte"/>
        <s v="Tétouan"/>
        <s v="Évora, Beja"/>
        <s v="Seul, Daegu"/>
        <s v="Hong Kong"/>
        <s v="Fortaleza"/>
        <s v="Osnabrück"/>
        <s v="Madurai"/>
        <s v="Varaždin"/>
        <s v="Estocolmo"/>
        <s v="Mons"/>
        <s v="Prizren"/>
        <s v="Cairo"/>
        <s v="Leeds"/>
        <s v="Oeiras"/>
        <s v="Coruche"/>
        <s v="Guadalajara"/>
        <s v="The Hamptons"/>
        <s v="Lovaina"/>
        <s v="Giffoni Valle Piana"/>
        <s v="Timisoara"/>
        <s v="New York, Lisboa, Londres"/>
        <s v="Porto, Tabuaço, Sabrosa"/>
        <s v="New York, Newark"/>
        <s v="Ahmedabad"/>
        <s v="Coffs Harbour"/>
        <s v="Odivelas"/>
        <s v="Lisboa, Outras Cidades"/>
        <s v="Lleida"/>
        <s v="Malmö"/>
        <s v="Trebon"/>
        <s v="Zabok"/>
        <s v="Pantin, Seine-Saint-Denis"/>
        <s v="La Pedrera"/>
        <s v="Ostrava"/>
        <s v="Desinić"/>
        <s v="Marvão"/>
        <s v="Lisboa, Estoril, Cascais"/>
        <s v="Calabar"/>
        <s v="Cartagena"/>
        <s v="Sens"/>
        <s v="Lenzing"/>
        <s v="Massafra"/>
        <s v="Drama"/>
        <s v="Santa Marinella"/>
        <s v="Tromsø"/>
        <s v="Portimão"/>
        <s v="Ciudad de Panamá"/>
        <s v="Cuenca"/>
        <s v="Kastav"/>
        <s v="Kuala Lumpur"/>
        <s v="Wiener Neustadt"/>
        <s v="Lima"/>
        <s v="Skipton"/>
        <s v="Irún"/>
      </sharedItems>
    </cacheField>
    <cacheField name="P1" numFmtId="0">
      <sharedItems containsNonDate="0" containsString="0" containsBlank="1"/>
    </cacheField>
    <cacheField name="País" numFmtId="0">
      <sharedItems count="79">
        <s v="Brasil | Brazil"/>
        <s v="Espanha | Spain"/>
        <s v="França | France"/>
        <s v="Portugal"/>
        <s v="Argentina"/>
        <s v="Alemanha | Germany"/>
        <s v="Austrália | Australia"/>
        <s v="Canadá | Canada"/>
        <s v="Holanda | Netherlands"/>
        <s v="EUA | US"/>
        <s v="Grécia | Greece"/>
        <s v="República Checa | Czech Republic"/>
        <s v="Andorra"/>
        <s v="Angola"/>
        <s v="EUA | US, Portugal"/>
        <s v="Itália | Italy"/>
        <s v="Polónia | Poland"/>
        <s v="Reino Unido | United Kingdom"/>
        <s v="Coreia do Sul | South Korea"/>
        <s v="Indonésia | Indonesia"/>
        <s v="Irlanda | Ireland"/>
        <s v="Moçambique | Mozambique"/>
        <s v="Eslovénia | Slovenia"/>
        <s v="China"/>
        <s v="Bósnia-Herzegovina | Bosnia and Herzegovina"/>
        <s v="Liechtenstein"/>
        <s v="Albânia | Albania"/>
        <s v="África do Sul | South Africa"/>
        <s v=""/>
        <s v="Bulgária | Bulgaria"/>
        <s v="Letónia | Latvia"/>
        <s v="Turquia | Turkey"/>
        <s v="Marrocos | Morocco"/>
        <s v="Sérvia | Serbia"/>
        <s v="Suíça | Switzerland"/>
        <s v="Áustria | Austria"/>
        <s v="Dinamarca | Denmark"/>
        <s v="Colômbia | Colombia"/>
        <s v="Luxemburgo | Luxembourg"/>
        <s v="Tailândia | Thailand"/>
        <s v="Israel"/>
        <s v="Lituânia | Lithuania"/>
        <s v="Japão | Japan"/>
        <s v="Ucrânia | Ukraine"/>
        <s v="Cabo Verde | Cape Verde"/>
        <s v="Arménia | Armenia"/>
        <s v="Peru"/>
        <s v="Líbano | Lebanon"/>
        <s v="Índia | India"/>
        <s v="Estónia | Estonia"/>
        <s v="Croácia | Croatia"/>
        <s v="Roménia | Romania"/>
        <s v="Etiópia | Ethiopia"/>
        <s v="Equador | Ecuador"/>
        <s v="Venezuela | Venezuela, Bolivarian Republic of"/>
        <s v="Uruguai | Uruguay"/>
        <s v="Noruega | Norway"/>
        <s v="Eslováquia | Slovakia"/>
        <s v="Bélgica | Belgium"/>
        <s v="Chipre | Cyprus"/>
        <s v="México | Mexico"/>
        <s v="Chile"/>
        <s v="Arábia Saudita | Saudi Arabia"/>
        <s v="Suécia | Sweden"/>
        <s v="Rússia | Russian Federation"/>
        <s v="Finlândia | Finland"/>
        <s v="Catar | Qatar"/>
        <s v="Hungria | Hungary, Áustria | Austria"/>
        <s v="Hungria | Hungary"/>
        <s v="Egipto | Egypt"/>
        <s v="Geórgia | Georgia"/>
        <s v="Emiratos Árabes Unidos | United Arab Emirates"/>
        <s v="Tunísia | Tunisia"/>
        <s v="Argélia | Algeria"/>
        <s v="Kosovo"/>
        <s v="EUA | US, Portugal, Reino Unido | United Kingdom"/>
        <s v="Nigéria | Nigeria"/>
        <s v="Panamá | Panama"/>
        <s v="Malásia | Malaysia"/>
      </sharedItems>
    </cacheField>
    <cacheField name="Mês" numFmtId="0">
      <sharedItems containsBlank="1" count="9">
        <m/>
        <s v="Mar/Abr"/>
        <s v="Dez"/>
        <s v="Jun"/>
        <s v="Jan"/>
        <s v="Mai"/>
        <s v="Mai/Jul"/>
        <s v="Mai/Set"/>
        <s v="Jun/Nov"/>
      </sharedItems>
    </cacheField>
    <cacheField name="Data Inicio" numFmtId="14">
      <sharedItems containsNonDate="0" containsDate="1" containsString="0" containsBlank="1" minDate="1970-05-15T00:00:00" maxDate="2014-09-23T00:00:00" count="756">
        <d v="2011-10-28T00:00:00"/>
        <d v="2011-02-22T00:00:00"/>
        <d v="2011-03-23T00:00:00"/>
        <d v="2011-03-25T00:00:00"/>
        <d v="2011-04-23T00:00:00"/>
        <d v="2011-04-27T00:00:00"/>
        <d v="2011-05-07T00:00:00"/>
        <d v="2011-06-17T00:00:00"/>
        <d v="2011-07-07T00:00:00"/>
        <d v="2011-07-08T00:00:00"/>
        <d v="2011-09-19T00:00:00"/>
        <d v="2011-09-20T00:00:00"/>
        <d v="2011-09-22T00:00:00"/>
        <d v="2011-10-30T00:00:00"/>
        <d v="2011-11-22T00:00:00"/>
        <d v="2011-12-01T00:00:00"/>
        <d v="2011-12-03T00:00:00"/>
        <d v="2011-12-09T00:00:00"/>
        <d v="2011-05-08T00:00:00"/>
        <d v="2011-09-09T00:00:00"/>
        <d v="2011-11-09T00:00:00"/>
        <d v="2011-09-07T00:00:00"/>
        <d v="2011-09-16T00:00:00"/>
        <d v="2011-10-20T00:00:00"/>
        <d v="2011-03-21T00:00:00"/>
        <d v="2011-11-07T00:00:00"/>
        <d v="2011-01-23T00:00:00"/>
        <d v="2011-03-09T00:00:00"/>
        <d v="2011-03-16T00:00:00"/>
        <d v="2011-03-24T00:00:00"/>
        <d v="2011-03-28T00:00:00"/>
        <d v="2011-05-13T00:00:00"/>
        <d v="2011-06-14T00:00:00"/>
        <d v="2011-06-23T00:00:00"/>
        <d v="2011-11-18T00:00:00"/>
        <d v="2011-09-21T00:00:00"/>
        <d v="2011-11-25T00:00:00"/>
        <d v="2011-08-20T00:00:00"/>
        <d v="2011-11-28T00:00:00"/>
        <d v="2011-10-25T00:00:00"/>
        <d v="2011-11-08T00:00:00"/>
        <d v="2011-11-14T00:00:00"/>
        <d v="2011-05-14T00:00:00"/>
        <d v="2011-05-23T00:00:00"/>
        <d v="2011-06-28T00:00:00"/>
        <d v="2011-09-05T00:00:00"/>
        <d v="2011-09-10T00:00:00"/>
        <d v="2011-07-28T00:00:00"/>
        <d v="2011-08-03T00:00:00"/>
        <d v="2011-01-12T00:00:00"/>
        <d v="2011-06-21T00:00:00"/>
        <d v="2011-06-22T00:00:00"/>
        <d v="2011-07-27T00:00:00"/>
        <d v="2011-09-02T00:00:00"/>
        <d v="2011-09-06T00:00:00"/>
        <d v="2011-09-08T00:00:00"/>
        <d v="2011-04-20T00:00:00"/>
        <d v="2011-02-23T00:00:00"/>
        <d v="2011-02-21T00:00:00"/>
        <d v="2011-04-26T00:00:00"/>
        <d v="2011-05-24T00:00:00"/>
        <d v="2011-06-02T00:00:00"/>
        <d v="2011-06-03T00:00:00"/>
        <d v="2011-06-08T00:00:00"/>
        <d v="2011-07-09T00:00:00"/>
        <d v="2011-08-27T00:00:00"/>
        <d v="2011-10-27T00:00:00"/>
        <d v="2011-11-10T00:00:00"/>
        <d v="2011-08-24T00:00:00"/>
        <d v="2011-11-06T00:00:00"/>
        <d v="2011-11-04T00:00:00"/>
        <d v="2011-02-04T00:00:00"/>
        <d v="2011-11-11T00:00:00"/>
        <d v="2011-01-21T00:00:00"/>
        <d v="2011-05-04T00:00:00"/>
        <d v="2011-05-19T00:00:00"/>
        <d v="2011-07-01T00:00:00"/>
        <d v="2011-10-06T00:00:00"/>
        <m/>
        <d v="2011-10-08T00:00:00"/>
        <d v="2011-10-24T00:00:00"/>
        <d v="2011-01-26T00:00:00"/>
        <d v="2011-04-28T00:00:00"/>
        <d v="2011-07-16T00:00:00"/>
        <d v="2011-09-01T00:00:00"/>
        <d v="2011-10-18T00:00:00"/>
        <d v="2011-11-12T00:00:00"/>
        <d v="2011-12-14T00:00:00"/>
        <d v="2011-12-07T00:00:00"/>
        <d v="2011-07-02T00:00:00"/>
        <d v="2011-06-29T00:00:00"/>
        <d v="2011-12-05T00:00:00"/>
        <d v="2011-11-21T00:00:00"/>
        <d v="2011-11-26T00:00:00"/>
        <d v="2011-10-09T00:00:00"/>
        <d v="2011-06-10T00:00:00"/>
        <d v="2011-12-21T00:00:00"/>
        <d v="2011-05-11T00:00:00"/>
        <d v="2011-05-20T00:00:00"/>
        <d v="2011-11-05T00:00:00"/>
        <d v="2011-06-06T00:00:00"/>
        <d v="2011-06-19T00:00:00"/>
        <d v="2011-08-26T00:00:00"/>
        <d v="2011-10-14T00:00:00"/>
        <d v="2011-05-16T00:00:00"/>
        <d v="2011-07-06T00:00:00"/>
        <d v="2011-09-14T00:00:00"/>
        <d v="2011-03-17T00:00:00"/>
        <d v="2011-12-04T00:00:00"/>
        <d v="2011-07-22T00:00:00"/>
        <d v="2011-08-04T00:00:00"/>
        <d v="2011-08-25T00:00:00"/>
        <d v="2011-05-05T00:00:00"/>
        <d v="2011-05-30T00:00:00"/>
        <d v="2011-09-17T00:00:00"/>
        <d v="2011-03-27T00:00:00"/>
        <d v="2011-04-07T00:00:00"/>
        <d v="2011-07-18T00:00:00"/>
        <d v="2012-09-07T00:00:00"/>
        <d v="2011-09-29T00:00:00"/>
        <d v="2011-11-03T00:00:00"/>
        <d v="2011-02-25T00:00:00"/>
        <d v="2011-10-12T00:00:00"/>
        <d v="2011-03-04T00:00:00"/>
        <d v="2011-12-13T00:00:00"/>
        <d v="2011-03-30T00:00:00"/>
        <d v="2011-04-14T00:00:00"/>
        <d v="2011-10-21T00:00:00"/>
        <d v="2011-08-13T00:00:00"/>
        <d v="2011-08-23T00:00:00"/>
        <d v="2011-03-01T00:00:00"/>
        <d v="2011-04-21T00:00:00"/>
        <d v="2011-06-09T00:00:00"/>
        <d v="2011-09-12T00:00:00"/>
        <d v="2011-08-16T00:00:00"/>
        <d v="2011-12-29T00:00:00"/>
        <d v="2011-10-02T00:00:00"/>
        <d v="2011-10-10T00:00:00"/>
        <d v="2011-09-28T00:00:00"/>
        <d v="2011-10-22T00:00:00"/>
        <d v="2011-07-20T00:00:00"/>
        <d v="2011-04-01T00:00:00"/>
        <d v="2011-07-21T00:00:00"/>
        <d v="2011-08-15T00:00:00"/>
        <d v="2011-08-19T00:00:00"/>
        <d v="2011-02-10T00:00:00"/>
        <d v="2011-01-17T00:00:00"/>
        <d v="2011-03-22T00:00:00"/>
        <d v="2011-12-15T00:00:00"/>
        <d v="2011-01-22T00:00:00"/>
        <d v="2011-06-25T00:00:00"/>
        <d v="2011-12-08T00:00:00"/>
        <d v="2011-05-09T00:00:00"/>
        <d v="2011-05-12T00:00:00"/>
        <d v="2011-08-31T00:00:00"/>
        <d v="2011-09-25T00:00:00"/>
        <d v="2011-10-13T00:00:00"/>
        <d v="2011-08-05T00:00:00"/>
        <d v="2011-03-03T00:00:00"/>
        <d v="2011-06-15T00:00:00"/>
        <d v="2011-07-15T00:00:00"/>
        <d v="2011-06-30T00:00:00"/>
        <d v="2011-05-18T00:00:00"/>
        <d v="2011-09-13T00:00:00"/>
        <d v="2011-04-06T00:00:00"/>
        <d v="2011-10-05T00:00:00"/>
        <d v="2011-10-23T00:00:00"/>
        <d v="2011-06-07T00:00:00"/>
        <d v="2011-09-15T00:00:00"/>
        <d v="2011-09-24T00:00:00"/>
        <d v="2011-11-16T00:00:00"/>
        <d v="2011-08-18T00:00:00"/>
        <d v="2011-10-11T00:00:00"/>
        <d v="2011-06-11T00:00:00"/>
        <d v="2011-05-15T00:00:00"/>
        <d v="2011-06-01T00:00:00"/>
        <d v="2011-07-29T00:00:00"/>
        <d v="2011-03-13T00:00:00"/>
        <d v="2011-04-18T00:00:00"/>
        <d v="2011-02-11T00:00:00"/>
        <d v="2011-02-18T00:00:00"/>
        <d v="2011-01-20T00:00:00"/>
        <d v="2011-02-12T00:00:00"/>
        <d v="2011-11-23T00:00:00"/>
        <d v="2011-10-15T00:00:00"/>
        <d v="2011-02-02T00:00:00"/>
        <d v="2011-11-15T00:00:00"/>
        <d v="2011-09-26T00:00:00"/>
        <d v="2011-11-01T00:00:00"/>
        <d v="2011-10-04T00:00:00"/>
        <d v="2011-02-28T00:00:00"/>
        <d v="2011-12-17T00:00:00"/>
        <d v="2011-03-02T00:00:00"/>
        <d v="2011-06-16T00:00:00"/>
        <d v="2011-09-04T00:00:00"/>
        <d v="2011-02-17T00:00:00"/>
        <d v="2011-02-24T00:00:00"/>
        <d v="2011-05-29T00:00:00"/>
        <d v="2011-12-18T00:00:00"/>
        <d v="2012-08-23T00:00:00"/>
        <d v="2011-08-11T00:00:00"/>
        <d v="2011-10-01T00:00:00"/>
        <d v="2011-04-05T00:00:00"/>
        <d v="2011-05-31T00:00:00"/>
        <d v="2011-09-03T00:00:00"/>
        <d v="2011-10-03T00:00:00"/>
        <d v="2011-10-07T00:00:00"/>
        <d v="2011-10-19T00:00:00"/>
        <d v="2011-10-29T00:00:00"/>
        <d v="2011-12-02T00:00:00"/>
        <d v="2011-10-26T00:00:00"/>
        <d v="2011-09-23T00:00:00"/>
        <d v="2011-11-17T00:00:00"/>
        <d v="2011-05-06T00:00:00"/>
        <d v="2011-10-17T00:00:00"/>
        <d v="2011-12-06T00:00:00"/>
        <d v="2011-01-28T00:00:00"/>
        <d v="2011-09-30T00:00:00"/>
        <d v="2011-02-16T00:00:00"/>
        <d v="2011-03-12T00:00:00"/>
        <d v="2011-01-19T00:00:00"/>
        <d v="2011-02-09T00:00:00"/>
        <d v="2011-12-23T00:00:00"/>
        <d v="2011-03-10T00:00:00"/>
        <d v="2011-07-11T00:00:00"/>
        <d v="2011-04-12T00:00:00"/>
        <d v="2011-06-26T00:00:00"/>
        <d v="2011-07-30T00:00:00"/>
        <d v="2011-08-17T00:00:00"/>
        <d v="2011-01-29T00:00:00"/>
        <d v="2011-11-13T00:00:00"/>
        <d v="2012-12-07T00:00:00"/>
        <d v="2012-04-10T00:00:00"/>
        <d v="2012-10-19T00:00:00"/>
        <d v="2012-11-23T00:00:00"/>
        <d v="2012-01-30T00:00:00"/>
        <d v="2012-06-22T00:00:00"/>
        <d v="2012-06-26T00:00:00"/>
        <d v="2012-08-19T00:00:00"/>
        <d v="2012-11-25T00:00:00"/>
        <d v="2012-10-13T00:00:00"/>
        <d v="2012-05-13T00:00:00"/>
        <d v="2012-06-02T00:00:00"/>
        <d v="2012-06-01T00:00:00"/>
        <d v="2012-02-08T00:00:00"/>
        <d v="2012-02-07T00:00:00"/>
        <d v="2012-12-11T00:00:00"/>
        <d v="2012-02-14T00:00:00"/>
        <d v="2012-03-28T00:00:00"/>
        <d v="2012-01-22T00:00:00"/>
        <d v="2012-07-25T00:00:00"/>
        <d v="2012-11-09T00:00:00"/>
        <d v="2012-10-26T00:00:00"/>
        <d v="2012-07-07T00:00:00"/>
        <d v="2012-11-08T00:00:00"/>
        <d v="2012-06-14T00:00:00"/>
        <d v="2012-03-15T00:00:00"/>
        <d v="2012-09-27T00:00:00"/>
        <d v="2012-02-16T00:00:00"/>
        <d v="2012-03-07T00:00:00"/>
        <d v="2012-04-18T00:00:00"/>
        <d v="2012-09-29T00:00:00"/>
        <d v="2012-10-06T00:00:00"/>
        <d v="2012-01-24T00:00:00"/>
        <d v="2012-06-13T00:00:00"/>
        <d v="2012-04-14T00:00:00"/>
        <d v="2012-09-24T00:00:00"/>
        <d v="2012-11-15T00:00:00"/>
        <d v="2012-03-19T00:00:00"/>
        <d v="2012-03-09T00:00:00"/>
        <d v="2012-02-12T00:00:00"/>
        <d v="2012-01-26T00:00:00"/>
        <d v="2012-12-20T00:00:00"/>
        <d v="2012-01-25T00:00:00"/>
        <d v="2012-05-09T00:00:00"/>
        <d v="2012-05-31T00:00:00"/>
        <d v="2012-09-12T00:00:00"/>
        <d v="2012-10-31T00:00:00"/>
        <d v="2012-03-06T00:00:00"/>
        <d v="2012-11-24T00:00:00"/>
        <d v="2012-06-29T00:00:00"/>
        <d v="2012-04-26T00:00:00"/>
        <d v="2012-11-17T00:00:00"/>
        <d v="2012-07-02T00:00:00"/>
        <d v="2012-11-26T00:00:00"/>
        <d v="2012-10-15T00:00:00"/>
        <d v="2012-09-06T00:00:00"/>
        <d v="2012-03-29T00:00:00"/>
        <d v="2012-03-08T00:00:00"/>
        <d v="2012-11-28T00:00:00"/>
        <d v="2012-06-09T00:00:00"/>
        <d v="2012-01-18T00:00:00"/>
        <d v="2012-02-01T00:00:00"/>
        <d v="2012-07-01T00:00:00"/>
        <d v="2012-10-18T00:00:00"/>
        <d v="2012-10-22T00:00:00"/>
        <d v="2012-12-04T00:00:00"/>
        <d v="2012-10-24T00:00:00"/>
        <d v="2012-07-18T00:00:00"/>
        <d v="2012-02-06T00:00:00"/>
        <d v="2012-02-26T00:00:00"/>
        <d v="2012-06-08T00:00:00"/>
        <d v="2012-02-20T00:00:00"/>
        <d v="2012-09-28T00:00:00"/>
        <d v="2012-11-29T00:00:00"/>
        <d v="2012-06-06T00:00:00"/>
        <d v="2012-06-20T00:00:00"/>
        <d v="2012-11-12T00:00:00"/>
        <d v="2012-10-16T00:00:00"/>
        <d v="2012-06-12T00:00:00"/>
        <d v="2012-02-27T00:00:00"/>
        <d v="2012-03-30T00:00:00"/>
        <d v="2012-09-26T00:00:00"/>
        <d v="2012-04-04T00:00:00"/>
        <d v="2012-05-15T00:00:00"/>
        <d v="2012-01-20T00:00:00"/>
        <d v="2012-01-04T00:00:00"/>
        <d v="2012-03-01T00:00:00"/>
        <d v="2012-02-18T00:00:00"/>
        <d v="2012-04-13T00:00:00"/>
        <d v="2012-04-03T00:00:00"/>
        <d v="2012-04-17T00:00:00"/>
        <d v="2012-01-11T00:00:00"/>
        <d v="2012-03-22T00:00:00"/>
        <d v="2012-05-04T00:00:00"/>
        <d v="2012-11-07T00:00:00"/>
        <d v="2012-11-20T00:00:00"/>
        <d v="2012-12-10T00:00:00"/>
        <d v="2012-09-22T00:00:00"/>
        <d v="2012-04-09T00:00:00"/>
        <d v="2012-11-10T00:00:00"/>
        <d v="2012-12-02T00:00:00"/>
        <d v="2012-03-20T00:00:00"/>
        <d v="2012-07-13T00:00:00"/>
        <d v="2013-07-24T00:00:00"/>
        <d v="2012-08-01T00:00:00"/>
        <d v="2012-10-02T00:00:00"/>
        <d v="2012-10-04T00:00:00"/>
        <d v="2012-10-10T00:00:00"/>
        <d v="2012-10-25T00:00:00"/>
        <d v="2012-11-01T00:00:00"/>
        <d v="2012-11-02T00:00:00"/>
        <d v="2012-11-11T00:00:00"/>
        <d v="2012-07-04T00:00:00"/>
        <d v="2012-03-02T00:00:00"/>
        <d v="2012-06-19T00:00:00"/>
        <d v="2012-05-07T00:00:00"/>
        <d v="2012-06-28T00:00:00"/>
        <d v="2012-03-10T00:00:00"/>
        <d v="2012-09-14T00:00:00"/>
        <d v="2012-10-23T00:00:00"/>
        <d v="2012-12-05T00:00:00"/>
        <d v="2012-01-27T00:00:00"/>
        <d v="2012-03-14T00:00:00"/>
        <d v="2012-11-16T00:00:00"/>
        <d v="2012-04-20T00:00:00"/>
        <d v="2012-08-16T00:00:00"/>
        <d v="2012-01-28T00:00:00"/>
        <d v="2012-04-19T00:00:00"/>
        <d v="2012-06-11T00:00:00"/>
        <d v="2012-05-08T00:00:00"/>
        <d v="2012-01-06T00:00:00"/>
        <d v="2012-04-05T00:00:00"/>
        <d v="2012-04-11T00:00:00"/>
        <d v="2012-04-12T00:00:00"/>
        <d v="2012-05-18T00:00:00"/>
        <d v="2012-02-29T00:00:00"/>
        <d v="2012-05-02T00:00:00"/>
        <d v="2012-06-05T00:00:00"/>
        <d v="2012-11-13T00:00:00"/>
        <d v="2012-09-10T00:00:00"/>
        <d v="2012-02-23T00:00:00"/>
        <d v="2012-03-21T00:00:00"/>
        <d v="2012-05-16T00:00:00"/>
        <d v="2012-10-17T00:00:00"/>
        <d v="2012-01-31T00:00:00"/>
        <d v="2012-09-15T00:00:00"/>
        <d v="2012-09-18T00:00:00"/>
        <d v="2012-10-09T00:00:00"/>
        <d v="2012-11-14T00:00:00"/>
        <d v="2012-09-21T00:00:00"/>
        <d v="2012-11-06T00:00:00"/>
        <d v="2012-10-03T00:00:00"/>
        <d v="2012-08-06T00:00:00"/>
        <d v="2012-01-23T00:00:00"/>
        <d v="2012-12-16T00:00:00"/>
        <d v="2012-05-22T00:00:00"/>
        <d v="2012-11-18T00:00:00"/>
        <d v="2012-03-26T00:00:00"/>
        <d v="2012-11-05T00:00:00"/>
        <d v="2012-01-29T00:00:00"/>
        <d v="2012-02-13T00:00:00"/>
        <d v="2012-07-12T00:00:00"/>
        <d v="2012-06-16T00:00:00"/>
        <d v="2012-03-23T00:00:00"/>
        <d v="2012-12-12T00:00:00"/>
        <d v="2012-02-21T00:00:00"/>
        <d v="2012-06-21T00:00:00"/>
        <d v="2012-08-07T00:00:00"/>
        <d v="2012-01-03T00:00:00"/>
        <d v="2012-01-10T00:00:00"/>
        <d v="2012-02-03T00:00:00"/>
        <d v="2012-02-10T00:00:00"/>
        <d v="2012-02-24T00:00:00"/>
        <d v="2012-03-16T00:00:00"/>
        <d v="2012-03-24T00:00:00"/>
        <d v="2012-06-10T00:00:00"/>
        <d v="2012-05-29T00:00:00"/>
        <d v="2012-12-14T00:00:00"/>
        <d v="2012-02-17T00:00:00"/>
        <d v="2012-10-11T00:00:00"/>
        <d v="2012-10-20T00:00:00"/>
        <d v="2012-03-31T00:00:00"/>
        <d v="2012-05-23T00:00:00"/>
        <d v="2012-02-09T00:00:00"/>
        <d v="2012-09-08T00:00:00"/>
        <d v="2012-05-10T00:00:00"/>
        <d v="2012-09-19T00:00:00"/>
        <d v="2012-11-21T00:00:00"/>
        <d v="2012-07-05T00:00:00"/>
        <d v="2012-04-02T00:00:00"/>
        <d v="2012-04-06T00:00:00"/>
        <d v="2012-04-08T00:00:00"/>
        <d v="2012-04-15T00:00:00"/>
        <d v="2012-10-12T00:00:00"/>
        <d v="2012-02-22T00:00:00"/>
        <d v="2012-02-15T00:00:00"/>
        <d v="2012-10-21T00:00:00"/>
        <d v="2012-08-25T00:00:00"/>
        <d v="2012-12-06T00:00:00"/>
        <d v="2012-09-25T00:00:00"/>
        <d v="2012-01-17T00:00:00"/>
        <d v="2012-01-05T00:00:00"/>
        <d v="2012-03-27T00:00:00"/>
        <d v="2012-01-15T00:00:00"/>
        <d v="2012-06-04T00:00:00"/>
        <d v="2012-09-13T00:00:00"/>
        <d v="2012-12-01T00:00:00"/>
        <d v="2012-12-03T00:00:00"/>
        <d v="2012-12-29T00:00:00"/>
        <d v="2012-08-30T00:00:00"/>
        <d v="2012-11-19T00:00:00"/>
        <d v="2012-04-24T00:00:00"/>
        <d v="2012-04-30T00:00:00"/>
        <d v="2012-08-29T00:00:00"/>
        <d v="2012-09-01T00:00:00"/>
        <d v="2012-05-25T00:00:00"/>
        <d v="2012-07-21T00:00:00"/>
        <d v="2012-05-17T00:00:00"/>
        <d v="2012-03-13T00:00:00"/>
        <d v="2012-05-03T00:00:00"/>
        <d v="2012-11-30T00:00:00"/>
        <d v="2012-05-24T00:00:00"/>
        <d v="2012-08-22T00:00:00"/>
        <d v="2012-12-22T00:00:00"/>
        <d v="2012-08-17T00:00:00"/>
        <d v="2012-06-07T00:00:00"/>
        <d v="2012-10-05T00:00:00"/>
        <d v="2012-06-15T00:00:00"/>
        <d v="2012-01-08T00:00:00"/>
        <d v="2012-09-17T00:00:00"/>
        <d v="2012-02-05T00:00:00"/>
        <d v="2012-01-09T00:00:00"/>
        <d v="2012-01-12T00:00:00"/>
        <d v="2012-03-12T00:00:00"/>
        <d v="2012-05-20T00:00:00"/>
        <d v="2012-05-28T00:00:00"/>
        <d v="2013-11-16T00:00:00"/>
        <d v="2012-03-05T00:00:00"/>
        <d v="2012-12-18T00:00:00"/>
        <d v="2012-06-25T00:00:00"/>
        <d v="2012-04-27T00:00:00"/>
        <d v="2012-05-19T00:00:00"/>
        <d v="2012-04-21T00:00:00"/>
        <d v="2012-01-14T00:00:00"/>
        <d v="2012-04-07T00:00:00"/>
        <d v="2012-02-04T00:00:00"/>
        <d v="2012-08-02T00:00:00"/>
        <d v="2012-02-11T00:00:00"/>
        <d v="2012-08-08T00:00:00"/>
        <d v="2012-10-08T00:00:00"/>
        <d v="2012-05-14T00:00:00"/>
        <d v="2012-07-06T00:00:00"/>
        <d v="2012-01-19T00:00:00"/>
        <d v="2012-07-19T00:00:00"/>
        <d v="2012-05-21T00:00:00"/>
        <d v="2012-08-15T00:00:00"/>
        <d v="2012-08-18T00:00:00"/>
        <d v="2012-09-05T00:00:00"/>
        <d v="2012-09-20T00:00:00"/>
        <d v="2012-12-17T00:00:00"/>
        <d v="2012-07-17T00:00:00"/>
        <d v="2012-07-22T00:00:00"/>
        <d v="2012-11-27T00:00:00"/>
        <d v="2012-09-16T00:00:00"/>
        <d v="2012-08-21T00:00:00"/>
        <d v="2013-02-07T00:00:00"/>
        <d v="2013-04-16T00:00:00"/>
        <d v="2013-11-13T00:00:00"/>
        <d v="2013-06-01T00:00:00"/>
        <d v="2013-08-28T00:00:00"/>
        <d v="2013-10-18T00:00:00"/>
        <d v="2013-12-01T00:00:00"/>
        <d v="2013-02-25T00:00:00"/>
        <d v="2013-05-03T00:00:00"/>
        <d v="2013-09-26T00:00:00"/>
        <d v="2013-06-13T00:00:00"/>
        <d v="2013-01-26T00:00:00"/>
        <d v="2013-06-03T00:00:00"/>
        <d v="2013-11-25T00:00:00"/>
        <d v="2013-09-13T00:00:00"/>
        <d v="2013-03-16T00:00:00"/>
        <d v="2013-08-31T00:00:00"/>
        <d v="2013-11-12T00:00:00"/>
        <d v="2013-05-16T00:00:00"/>
        <d v="2013-06-20T00:00:00"/>
        <d v="2013-08-22T00:00:00"/>
        <d v="2013-10-03T00:00:00"/>
        <d v="2013-10-17T00:00:00"/>
        <d v="2013-11-08T00:00:00"/>
        <d v="2013-12-06T00:00:00"/>
        <d v="2013-06-27T00:00:00"/>
        <d v="2013-01-25T00:00:00"/>
        <d v="2013-02-08T00:00:00"/>
        <d v="2013-04-23T00:00:00"/>
        <d v="2013-05-10T00:00:00"/>
        <d v="2013-06-12T00:00:00"/>
        <d v="2013-09-23T00:00:00"/>
        <d v="2013-10-16T00:00:00"/>
        <d v="2013-01-07T00:00:00"/>
        <d v="2013-04-08T00:00:00"/>
        <d v="2013-04-19T00:00:00"/>
        <d v="2013-05-21T00:00:00"/>
        <d v="2013-05-24T00:00:00"/>
        <d v="2013-08-23T00:00:00"/>
        <d v="2013-07-26T00:00:00"/>
        <d v="2013-05-14T00:00:00"/>
        <d v="2013-04-18T00:00:00"/>
        <d v="2013-06-06T00:00:00"/>
        <d v="2013-07-02T00:00:00"/>
        <d v="2013-08-29T00:00:00"/>
        <d v="2013-09-05T00:00:00"/>
        <d v="2013-09-06T00:00:00"/>
        <d v="2013-09-17T00:00:00"/>
        <d v="2013-11-01T00:00:00"/>
        <d v="2013-11-18T00:00:00"/>
        <d v="2013-11-27T00:00:00"/>
        <d v="2013-12-07T00:00:00"/>
        <d v="2013-12-18T00:00:00"/>
        <d v="2013-12-19T00:00:00"/>
        <d v="2013-03-14T00:00:00"/>
        <d v="2013-10-29T00:00:00"/>
        <d v="2013-02-13T00:00:00"/>
        <d v="2013-10-24T00:00:00"/>
        <d v="2013-08-21T00:00:00"/>
        <d v="2013-08-08T00:00:00"/>
        <d v="2013-04-03T00:00:00"/>
        <d v="2013-03-13T00:00:00"/>
        <d v="2013-06-21T00:00:00"/>
        <d v="2013-09-24T00:00:00"/>
        <d v="2013-03-08T00:00:00"/>
        <d v="2013-03-23T00:00:00"/>
        <d v="2013-06-07T00:00:00"/>
        <d v="2013-01-21T00:00:00"/>
        <d v="2013-06-11T00:00:00"/>
        <d v="2013-02-23T00:00:00"/>
        <d v="2013-08-02T00:00:00"/>
        <d v="2013-05-27T00:00:00"/>
        <d v="2013-10-10T00:00:00"/>
        <d v="2013-09-11T00:00:00"/>
        <d v="2013-07-11T00:00:00"/>
        <d v="2013-03-07T00:00:00"/>
        <d v="2013-01-15T00:00:00"/>
        <d v="2013-07-06T00:00:00"/>
        <d v="2013-11-07T00:00:00"/>
        <d v="2013-07-16T00:00:00"/>
        <d v="2013-12-11T00:00:00"/>
        <d v="2013-12-21T00:00:00"/>
        <d v="2013-02-20T00:00:00"/>
        <d v="2013-09-25T00:00:00"/>
        <d v="2013-02-16T00:00:00"/>
        <d v="2013-11-20T00:00:00"/>
        <d v="2013-04-11T00:00:00"/>
        <d v="2013-11-09T00:00:00"/>
        <d v="2013-01-22T00:00:00"/>
        <d v="2013-04-02T00:00:00"/>
        <d v="2013-01-18T00:00:00"/>
        <d v="2013-02-21T00:00:00"/>
        <d v="2013-03-17T00:00:00"/>
        <d v="2013-03-30T00:00:00"/>
        <d v="2013-04-10T00:00:00"/>
        <d v="2013-05-09T00:00:00"/>
        <d v="2013-06-19T00:00:00"/>
        <d v="2013-06-28T00:00:00"/>
        <d v="2013-11-21T00:00:00"/>
        <d v="2013-02-19T00:00:00"/>
        <d v="2013-03-22T00:00:00"/>
        <d v="2013-09-07T00:00:00"/>
        <d v="2013-08-30T00:00:00"/>
        <d v="2013-01-16T00:00:00"/>
        <d v="2013-02-05T00:00:00"/>
        <d v="2013-07-19T00:00:00"/>
        <d v="2013-01-23T00:00:00"/>
        <d v="2013-04-24T00:00:00"/>
        <d v="2013-09-20T00:00:00"/>
        <d v="2013-07-01T00:00:00"/>
        <d v="2013-12-14T00:00:00"/>
        <d v="2013-09-01T00:00:00"/>
        <d v="2013-04-01T00:00:00"/>
        <d v="2013-01-24T00:00:00"/>
        <d v="2013-04-17T00:00:00"/>
        <d v="2013-11-11T00:00:00"/>
        <d v="2013-04-25T00:00:00"/>
        <d v="2013-04-26T00:00:00"/>
        <d v="2013-06-15T00:00:00"/>
        <d v="2013-10-09T00:00:00"/>
        <d v="2013-02-06T00:00:00"/>
        <d v="2013-03-26T00:00:00"/>
        <d v="2013-07-31T00:00:00"/>
        <d v="2013-09-27T00:00:00"/>
        <d v="2013-03-31T00:00:00"/>
        <d v="2013-02-15T00:00:00"/>
        <d v="2013-02-27T00:00:00"/>
        <d v="2013-08-17T00:00:00"/>
        <d v="2013-10-07T00:00:00"/>
        <d v="2013-02-26T00:00:00"/>
        <d v="2013-08-07T00:00:00"/>
        <d v="2013-12-03T00:00:00"/>
        <d v="2013-03-12T00:00:00"/>
        <d v="2013-07-23T00:00:00"/>
        <d v="2013-12-13T00:00:00"/>
        <d v="2013-10-19T00:00:00"/>
        <d v="2013-07-25T00:00:00"/>
        <d v="2013-05-08T00:00:00"/>
        <d v="2013-07-20T00:00:00"/>
        <d v="2013-06-24T00:00:00"/>
        <d v="2013-09-18T00:00:00"/>
        <d v="2013-11-22T00:00:00"/>
        <d v="2013-03-06T00:00:00"/>
        <d v="2013-11-06T00:00:00"/>
        <d v="2013-01-27T00:00:00"/>
        <d v="2013-04-04T00:00:00"/>
        <d v="2013-06-25T00:00:00"/>
        <d v="2013-10-15T00:00:00"/>
        <d v="2013-05-28T00:00:00"/>
        <d v="2013-08-15T00:00:00"/>
        <d v="2013-05-20T00:00:00"/>
        <d v="2013-10-14T00:00:00"/>
        <d v="2013-10-28T00:00:00"/>
        <d v="2013-03-21T00:00:00"/>
        <d v="2013-03-01T00:00:00"/>
        <d v="2013-10-06T00:00:00"/>
        <d v="2013-10-25T00:00:00"/>
        <d v="2013-11-29T00:00:00"/>
        <d v="2013-06-10T00:00:00"/>
        <d v="2013-03-05T00:00:00"/>
        <d v="2013-06-14T00:00:00"/>
        <d v="2013-07-30T00:00:00"/>
        <d v="2013-03-28T00:00:00"/>
        <d v="2013-12-16T00:00:00"/>
        <d v="2013-02-14T00:00:00"/>
        <d v="2013-02-17T00:00:00"/>
        <d v="2013-10-04T00:00:00"/>
        <d v="2013-04-12T00:00:00"/>
        <d v="2013-06-05T00:00:00"/>
        <d v="2013-10-11T00:00:00"/>
        <d v="2013-05-31T00:00:00"/>
        <d v="2013-09-14T00:00:00"/>
        <d v="2013-02-22T00:00:00"/>
        <d v="2013-07-29T00:00:00"/>
        <d v="2013-03-29T00:00:00"/>
        <d v="2013-04-13T00:00:00"/>
        <d v="2013-02-01T00:00:00"/>
        <d v="2013-01-10T00:00:00"/>
        <d v="2013-05-22T00:00:00"/>
        <d v="2013-07-12T00:00:00"/>
        <d v="2013-07-27T00:00:00"/>
        <d v="2013-09-04T00:00:00"/>
        <d v="2013-04-15T00:00:00"/>
        <d v="2013-12-17T00:00:00"/>
        <d v="2013-03-18T00:00:00"/>
        <d v="2013-12-09T00:00:00"/>
        <d v="2013-06-18T00:00:00"/>
        <d v="2013-03-19T00:00:00"/>
        <d v="2013-10-31T00:00:00"/>
        <d v="2013-11-30T00:00:00"/>
        <d v="2013-01-08T00:00:00"/>
        <d v="2013-01-11T00:00:00"/>
        <d v="2013-02-09T00:00:00"/>
        <d v="2013-02-28T00:00:00"/>
        <d v="2013-03-11T00:00:00"/>
        <d v="2013-04-05T00:00:00"/>
        <d v="2013-04-09T00:00:00"/>
        <d v="2013-05-15T00:00:00"/>
        <d v="2013-11-10T00:00:00"/>
        <d v="2013-12-02T00:00:00"/>
        <d v="2013-08-12T00:00:00"/>
        <d v="2013-03-20T00:00:00"/>
        <d v="2013-10-30T00:00:00"/>
        <d v="2013-11-15T00:00:00"/>
        <d v="2013-03-15T00:00:00"/>
        <d v="2013-10-26T00:00:00"/>
        <d v="2013-01-09T00:00:00"/>
        <d v="2013-12-04T00:00:00"/>
        <d v="2013-11-05T00:00:00"/>
        <d v="2013-01-02T00:00:00"/>
        <d v="2013-02-18T00:00:00"/>
        <d v="2013-03-27T00:00:00"/>
        <d v="2013-05-01T00:00:00"/>
        <d v="2013-01-04T00:00:00"/>
        <d v="2013-03-25T00:00:00"/>
        <d v="2014-09-22T00:00:00"/>
        <d v="2013-09-16T00:00:00"/>
        <d v="2013-02-24T00:00:00"/>
        <d v="2013-02-12T00:00:00"/>
        <d v="2013-01-19T00:00:00"/>
        <d v="2013-12-15T00:00:00"/>
        <d v="2013-01-01T00:00:00"/>
        <d v="2013-11-23T00:00:00"/>
        <d v="2013-08-16T00:00:00"/>
        <d v="2013-06-04T00:00:00"/>
        <d v="2013-01-20T00:00:00"/>
        <d v="2013-07-13T00:00:00"/>
        <d v="2013-08-24T00:00:00"/>
        <d v="2013-12-10T00:00:00"/>
        <d v="2013-01-13T00:00:00"/>
        <d v="2013-02-11T00:00:00"/>
        <d v="2013-11-28T00:00:00"/>
        <d v="2013-05-05T00:00:00"/>
        <d v="2013-05-17T00:00:00"/>
        <d v="2013-11-14T00:00:00"/>
        <d v="2014-01-10T00:00:00"/>
        <d v="2014-01-24T00:00:00"/>
        <d v="2014-02-07T00:00:00"/>
        <d v="1970-05-15T00:00:00"/>
        <d v="2014-01-22T00:00:00"/>
        <d v="2014-02-14T00:00:00"/>
        <d v="2014-01-14T00:00:00"/>
        <d v="2014-01-28T00:00:00"/>
        <d v="2014-03-17T00:00:00"/>
        <d v="2014-01-17T00:00:00"/>
        <d v="2014-02-06T00:00:00"/>
        <d v="2014-01-30T00:00:00"/>
        <d v="2014-02-04T00:00:00"/>
        <d v="2014-01-20T00:00:00"/>
        <d v="2014-02-27T00:00:00"/>
        <d v="2014-03-06T00:00:00"/>
        <d v="2014-01-07T00:00:00"/>
        <d v="2014-01-31T00:00:00"/>
        <d v="2014-06-16T00:00:00"/>
        <d v="2014-01-21T00:00:00"/>
        <d v="2014-01-09T00:00:00"/>
        <d v="2014-01-23T00:00:00"/>
        <d v="2014-01-16T00:00:00"/>
        <d v="2014-02-12T00:00:00"/>
        <d v="2014-01-29T00:00:00"/>
      </sharedItems>
      <fieldGroup par="32" base="14">
        <rangePr groupBy="days" startDate="1970-05-15T00:00:00" endDate="2014-09-23T00:00:00"/>
        <groupItems count="368">
          <s v="(em branco)"/>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v"/>
          <s v="02-fev"/>
          <s v="03-fev"/>
          <s v="04-fev"/>
          <s v="05-fev"/>
          <s v="06-fev"/>
          <s v="07-fev"/>
          <s v="08-fev"/>
          <s v="09-fev"/>
          <s v="10-fev"/>
          <s v="11-fev"/>
          <s v="12-fev"/>
          <s v="13-fev"/>
          <s v="14-fev"/>
          <s v="15-fev"/>
          <s v="16-fev"/>
          <s v="17-fev"/>
          <s v="18-fev"/>
          <s v="19-fev"/>
          <s v="20-fev"/>
          <s v="21-fev"/>
          <s v="22-fev"/>
          <s v="23-fev"/>
          <s v="24-fev"/>
          <s v="25-fev"/>
          <s v="26-fev"/>
          <s v="27-fev"/>
          <s v="28-fev"/>
          <s v="29-fev"/>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br"/>
          <s v="02-abr"/>
          <s v="03-abr"/>
          <s v="04-abr"/>
          <s v="05-abr"/>
          <s v="06-abr"/>
          <s v="07-abr"/>
          <s v="08-abr"/>
          <s v="09-abr"/>
          <s v="10-abr"/>
          <s v="11-abr"/>
          <s v="12-abr"/>
          <s v="13-abr"/>
          <s v="14-abr"/>
          <s v="15-abr"/>
          <s v="16-abr"/>
          <s v="17-abr"/>
          <s v="18-abr"/>
          <s v="19-abr"/>
          <s v="20-abr"/>
          <s v="21-abr"/>
          <s v="22-abr"/>
          <s v="23-abr"/>
          <s v="24-abr"/>
          <s v="25-abr"/>
          <s v="26-abr"/>
          <s v="27-abr"/>
          <s v="28-abr"/>
          <s v="29-abr"/>
          <s v="30-abr"/>
          <s v="01-mai"/>
          <s v="02-mai"/>
          <s v="03-mai"/>
          <s v="04-mai"/>
          <s v="05-mai"/>
          <s v="06-mai"/>
          <s v="07-mai"/>
          <s v="08-mai"/>
          <s v="09-mai"/>
          <s v="10-mai"/>
          <s v="11-mai"/>
          <s v="12-mai"/>
          <s v="13-mai"/>
          <s v="14-mai"/>
          <s v="15-mai"/>
          <s v="16-mai"/>
          <s v="17-mai"/>
          <s v="18-mai"/>
          <s v="19-mai"/>
          <s v="20-mai"/>
          <s v="21-mai"/>
          <s v="22-mai"/>
          <s v="23-mai"/>
          <s v="24-mai"/>
          <s v="25-mai"/>
          <s v="26-mai"/>
          <s v="27-mai"/>
          <s v="28-mai"/>
          <s v="29-mai"/>
          <s v="30-mai"/>
          <s v="31-mai"/>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go"/>
          <s v="02-ago"/>
          <s v="03-ago"/>
          <s v="04-ago"/>
          <s v="05-ago"/>
          <s v="06-ago"/>
          <s v="07-ago"/>
          <s v="08-ago"/>
          <s v="09-ago"/>
          <s v="10-ago"/>
          <s v="11-ago"/>
          <s v="12-ago"/>
          <s v="13-ago"/>
          <s v="14-ago"/>
          <s v="15-ago"/>
          <s v="16-ago"/>
          <s v="17-ago"/>
          <s v="18-ago"/>
          <s v="19-ago"/>
          <s v="20-ago"/>
          <s v="21-ago"/>
          <s v="22-ago"/>
          <s v="23-ago"/>
          <s v="24-ago"/>
          <s v="25-ago"/>
          <s v="26-ago"/>
          <s v="27-ago"/>
          <s v="28-ago"/>
          <s v="29-ago"/>
          <s v="30-ago"/>
          <s v="31-ago"/>
          <s v="01-set"/>
          <s v="02-set"/>
          <s v="03-set"/>
          <s v="04-set"/>
          <s v="05-set"/>
          <s v="06-set"/>
          <s v="07-set"/>
          <s v="08-set"/>
          <s v="09-set"/>
          <s v="10-set"/>
          <s v="11-set"/>
          <s v="12-set"/>
          <s v="13-set"/>
          <s v="14-set"/>
          <s v="15-set"/>
          <s v="16-set"/>
          <s v="17-set"/>
          <s v="18-set"/>
          <s v="19-set"/>
          <s v="20-set"/>
          <s v="21-set"/>
          <s v="22-set"/>
          <s v="23-set"/>
          <s v="24-set"/>
          <s v="25-set"/>
          <s v="26-set"/>
          <s v="27-set"/>
          <s v="28-set"/>
          <s v="29-set"/>
          <s v="30-set"/>
          <s v="01-out"/>
          <s v="02-out"/>
          <s v="03-out"/>
          <s v="04-out"/>
          <s v="05-out"/>
          <s v="06-out"/>
          <s v="07-out"/>
          <s v="08-out"/>
          <s v="09-out"/>
          <s v="10-out"/>
          <s v="11-out"/>
          <s v="12-out"/>
          <s v="13-out"/>
          <s v="14-out"/>
          <s v="15-out"/>
          <s v="16-out"/>
          <s v="17-out"/>
          <s v="18-out"/>
          <s v="19-out"/>
          <s v="20-out"/>
          <s v="21-out"/>
          <s v="22-out"/>
          <s v="23-out"/>
          <s v="24-out"/>
          <s v="25-out"/>
          <s v="26-out"/>
          <s v="27-out"/>
          <s v="28-out"/>
          <s v="29-out"/>
          <s v="30-out"/>
          <s v="31-out"/>
          <s v="01-nov"/>
          <s v="02-nov"/>
          <s v="03-nov"/>
          <s v="04-nov"/>
          <s v="05-nov"/>
          <s v="06-nov"/>
          <s v="07-nov"/>
          <s v="08-nov"/>
          <s v="09-nov"/>
          <s v="10-nov"/>
          <s v="11-nov"/>
          <s v="12-nov"/>
          <s v="13-nov"/>
          <s v="14-nov"/>
          <s v="15-nov"/>
          <s v="16-nov"/>
          <s v="17-nov"/>
          <s v="18-nov"/>
          <s v="19-nov"/>
          <s v="20-nov"/>
          <s v="21-nov"/>
          <s v="22-nov"/>
          <s v="23-nov"/>
          <s v="24-nov"/>
          <s v="25-nov"/>
          <s v="26-nov"/>
          <s v="27-nov"/>
          <s v="28-nov"/>
          <s v="29-nov"/>
          <s v="30-nov"/>
          <s v="01-dez"/>
          <s v="02-dez"/>
          <s v="03-dez"/>
          <s v="04-dez"/>
          <s v="05-dez"/>
          <s v="06-dez"/>
          <s v="07-dez"/>
          <s v="08-dez"/>
          <s v="09-dez"/>
          <s v="10-dez"/>
          <s v="11-dez"/>
          <s v="12-dez"/>
          <s v="13-dez"/>
          <s v="14-dez"/>
          <s v="15-dez"/>
          <s v="16-dez"/>
          <s v="17-dez"/>
          <s v="18-dez"/>
          <s v="19-dez"/>
          <s v="20-dez"/>
          <s v="21-dez"/>
          <s v="22-dez"/>
          <s v="23-dez"/>
          <s v="24-dez"/>
          <s v="25-dez"/>
          <s v="26-dez"/>
          <s v="27-dez"/>
          <s v="28-dez"/>
          <s v="29-dez"/>
          <s v="30-dez"/>
          <s v="31-dez"/>
          <s v="&gt;23-09-2014"/>
        </groupItems>
      </fieldGroup>
    </cacheField>
    <cacheField name="Data Fim" numFmtId="14">
      <sharedItems containsNonDate="0" containsDate="1" containsString="0" containsBlank="1" minDate="2011-01-22T00:00:00" maxDate="2014-06-19T00:00:00"/>
    </cacheField>
    <cacheField name="MÊS2" numFmtId="0">
      <sharedItems count="38">
        <s v="Out/Nov"/>
        <s v="Fev"/>
        <s v="Mar"/>
        <s v="Mar/Abr"/>
        <s v="Abr/Mai"/>
        <s v="Abr"/>
        <s v="Mai"/>
        <s v="Jun"/>
        <s v="Jul"/>
        <s v="Set"/>
        <s v="Set/Out"/>
        <s v="Nov/Dez"/>
        <s v="Dez"/>
        <s v="Nov"/>
        <s v="Out"/>
        <s v="Jan"/>
        <s v="Ago"/>
        <s v="Jun/Jul"/>
        <s v="Jan/Fev"/>
        <s v="Fev/Mar"/>
        <s v="Ago/Set"/>
        <s v="Jul/Nov"/>
        <s v="Mai/Jun"/>
        <s v="Mar/Jun"/>
        <s v=""/>
        <s v="Jul/Ago"/>
        <s v="Mai/Jul"/>
        <s v="Set/Nov"/>
        <s v="Jul/Set"/>
        <s v="Mai/Set"/>
        <s v="Jun/Nov"/>
        <s v="Fev/Abr"/>
        <s v="Out/Dez"/>
        <s v="Dez/Jan"/>
        <s v="Abr/Dez"/>
        <s v="Jan/Jun"/>
        <s v="Jan/Abr"/>
        <s v="Mai/Mar"/>
      </sharedItems>
    </cacheField>
    <cacheField name="Selecções Oficiais" numFmtId="0">
      <sharedItems containsBlank="1" count="3">
        <m/>
        <s v="Competição"/>
        <s v="Fora da Competição"/>
      </sharedItems>
    </cacheField>
    <cacheField name="Secção" numFmtId="0">
      <sharedItems containsBlank="1"/>
    </cacheField>
    <cacheField name="Outras Selecções - Fora de competição" numFmtId="0">
      <sharedItems containsBlank="1"/>
    </cacheField>
    <cacheField name="Prémios/Menções" numFmtId="0">
      <sharedItems containsBlank="1" count="608" longText="1">
        <m/>
        <s v="Menção Especial do Júri"/>
        <s v="Premio de la Competencia Internacional de Documentales"/>
        <s v="Premio Andorinha Longa para Melhor Montagem em Documentário (Susana de Sousa Dias)"/>
        <s v="Prémio RTP2 - Onda Curta"/>
        <s v="2º Prémio"/>
        <s v="Melhor Filme"/>
        <s v="Menção Honrosa"/>
        <s v="Prémio Caixa Geral de Depósitos para Melhor Primeira Obra"/>
        <s v="Melhor Curta-Metragem Nacional"/>
        <s v="Melhor Representação: José Pinto"/>
        <s v="Joaquim de Almeida Augusta Award para Melhor Actor: José Pinto"/>
        <s v="Certificate Fiction"/>
        <s v="Melhor Curtíssima Portuguesa"/>
        <s v="Prémio Jovem Cineasta Português (-18 anos): Menção Honrosa"/>
        <s v="Melhor Actriz Principal: Leonor Baldaque"/>
        <s v="Arara de Prata"/>
        <s v="Menção Honrosa Documentário"/>
        <s v="2nd Prize"/>
        <s v="Certificate Animated Cartoon"/>
        <s v="Prémio du Público: 2º Melhor Filme"/>
        <s v="Melhor Vídeo Animação"/>
        <s v="Melhor Vídeo Ficção"/>
        <s v="Melhor Fotografia"/>
        <s v="Ensaios Visuais: Melhor Filme"/>
        <s v="Grand Prix de la Meilleure Création Sonore: Mário Dias"/>
        <s v="Menção Honrosa Vídeo Ficção"/>
        <s v="Melhor Ficção"/>
        <s v="Prémio PIXEL BUNKER Melhor CM Portuguesa"/>
        <s v="Compositor Revelação do Ano: Nuno Maló"/>
        <s v="Best Director: João Nuno Pinto"/>
        <s v="Prémio AIP Melhor Imagem para LM Portuguesa a Carlos Lopes &quot;Cácá&quot;"/>
        <s v="Prémio Andorinha Longa para Melhor Direção (João Nuno Pinto) e Melhor Ator Coadjuvante (Raúl Solnado)"/>
        <s v="Prémio Revelação, Prémio Melhor Actor: Fernando Luís"/>
        <s v="Prémio Andorinha Curta para Melhor Documentário"/>
        <s v="Menção Honrosa e Prémio da Juventude Universidade Lusófona"/>
        <s v="Prix Ulysse"/>
        <s v="3º Prémio"/>
        <s v="Prémio do Público: 1º Melhor Filme"/>
        <s v="1º Prémio"/>
        <s v="Melhor Documentário"/>
        <s v="Prémio Kodak, Prémio Smiling, Prémio Restart, Prémio ACM e Prémio RTP2 Onda Curta"/>
        <s v="Honorable Mention"/>
        <s v="Melhor Ficção e Melhor Filme Português"/>
        <s v="2º Prémio Naval VideoSub"/>
        <s v="Mehor Vídeo Ficção"/>
        <s v="Luís Ismael Augusta Award para Melhor Documentário"/>
        <s v="Prémio do Público"/>
        <s v="Prémio a Jovem Realizador"/>
        <s v="Augusta Award para Melhor Realizador"/>
        <s v="Prémio Jovem Cineasta Português (+18 anos)"/>
        <s v="3º Prémio na categoria de Curtas"/>
        <s v="Prix Cinéma en Construction 19"/>
        <s v="Best Non-European Dramatic Short"/>
        <s v="Prémio Melhor Curta-Metragem"/>
        <s v="Prémio Jovem Cineasta Português (+18 anos): Menção Honrosa"/>
        <s v="Award of Excellence"/>
        <s v="Melhor Som: Vasco Pimentel, Tiago Matos e Joel Rangon"/>
        <s v="Melhor Filme Nacional"/>
        <s v="Prémio Núcleo de Animação de Campinas"/>
        <s v="Melhor Curta-Metragem de Animação"/>
        <s v="Prémio Nacional Multimédia na Categoria Entretenimento para a Filmógrafo"/>
        <s v="Prémio Motelx para Melhor Curta de Terror Portuguesa"/>
        <s v="Prémio José Farinha para Melhor Curta Metragem"/>
        <s v="2nd Prize - Animation Cartoon"/>
        <s v="2º Prémio na categoria de Curtas"/>
        <s v="Best Animation Short Film"/>
        <s v="Prémio do Público - Melhor Filme Açoreano"/>
        <s v="Melhor Curta Portuguesa"/>
        <s v="1º Prémio Naval VideoSub"/>
        <s v="Mejor Documental Transfrontera"/>
        <s v="Bester Professioneller Film"/>
        <s v="Prix Amadis du Meilleur Montage"/>
        <s v="Prémio Andorinha Curta para Melhor Ficção"/>
        <s v="Grand Prix Amadis du Jury ex aequo"/>
        <s v="Barrilete de Oro - Mejor Programa TV Animación"/>
        <s v="Melhor Filme na categoria &quot;Films for Children&quot;"/>
        <s v="Menção Especial"/>
        <s v="Melhor Curtíssima"/>
        <s v="Premio CURT"/>
        <s v="Melhor Actriz: Beatriz Batarda"/>
        <s v="Menzione speciale della giuria"/>
        <s v="Grande Prémio Cidade de Lisboa para melhor média ou longa metragem"/>
        <s v="Prémio TAP para Melhor Doc. de Longa Metragem Português"/>
        <s v="Prémio Canon"/>
        <s v="Menção Especial "/>
        <s v="Prémio Melhor Actor Secundário: Ângelo Torres,  Melhor Mùsica Original: The Lengendary Tigerman e Rita Redshoes"/>
        <s v="Delphic Art Movie Award"/>
        <s v="Melhor Actor: Cláudio Silva"/>
        <s v="Melhor Filme "/>
        <s v="Prémio  Especial do Júri"/>
        <s v="Prémio do Público - Melhor Filme"/>
        <s v="Melhor Direcção, Melhor Filme Finalizado em Vídeo e Melhor Filme Estrangeiro"/>
        <s v="Melhor Filme Experimental"/>
        <s v="Melhor Vídeo Documentário"/>
        <s v="Mehor Vídeo Animação"/>
        <s v="Prémio Novo Talento FNAC"/>
        <s v="Prémio Revelação"/>
        <s v="Prémio do Cinema Português"/>
        <s v="Melhor Longa Metragem"/>
        <s v="Prix Format Court attribué à um OVNI"/>
        <s v="Prémio D. Quijote (FICC)"/>
        <s v="Prémio RESTART para Melhor Realizador Português de CM (ex-aequo)"/>
        <s v="Melhor Realizador Português: Franklin Pinho"/>
        <s v="Melhor Filme Documentário"/>
        <s v="Premio Andorinha Longa para Melhor Documentário"/>
        <s v="Melhor Documentário e Júri FICC - Menção Honrosa"/>
        <s v="Melhor Curta de Estudantes Portuguesa - Júri Jovem"/>
        <s v="Premio &quot;Film und Video Untertitelung&quot;"/>
        <s v="Prémio CGD para Melhor LM Portuguesa"/>
        <s v="Melhor Filme Português"/>
        <s v="Melhor Filme Açoreano"/>
        <s v="Melhor curta-metragem portuguesa"/>
        <s v="Prix du Public Cocotte Minute"/>
        <s v="1st Principal Prize"/>
        <s v="Best Short Experimental Film Award"/>
        <s v="3º Prémio Naval VideoSub"/>
        <s v="Melhor Argumento"/>
        <s v="Melhor Actriz: Maria João Bastos"/>
        <s v="Melhor Actor: Adriano Luz"/>
        <s v="Premio Andorinha Longa para Melhor figurino (Isabel Branco)"/>
        <s v="Best Foreign-Language Film."/>
        <s v="Audience Award  "/>
        <s v="Melhor Vídeo-Clip"/>
        <s v="Premio Andorinha Longa para Melhor Filme"/>
        <s v="Prémio Camacho Costa para Melhor Filme da Competição Lusófona"/>
        <s v="Prémio Competição AVANCA e Menção Especial no Prémio Estreia Mundial"/>
        <s v="Melhor Animação"/>
        <s v="Prémio AIP para Melhor Fotografia"/>
        <s v="Public Award for Best Short Film"/>
        <s v="Best Short Film"/>
        <s v="Melhor Curta Metragem"/>
        <s v="Golden Oosikar Award for Best Short Film"/>
        <s v="Prémio Jovem Cineasta Português (-18 anos)"/>
        <s v="Prémio AIP Melhor Imagem para LM Portuguesa - Menção Honrosa a Luís Branquinho "/>
        <s v="Melhor Argumento Adaptado, Melhor Fotografia: Luís Branquinho, Melhor Caracterização: Jorge Bragada, Melhor Montagem: Tiago Antunes"/>
        <s v="Melhor Filme Escolas"/>
        <s v="Prémio RTP2 - Onda Curta: Menção Especial"/>
        <s v="Melhor Actriz Secundária: São José Correia"/>
        <s v="Prémio TV Brasil de Melhor Longa Metragem"/>
        <s v="Prémio BPI e Prémio Pixel Bunker para Melhor Filme"/>
        <s v="Prémio TAP para Melhor LM Portuguesa de Ficção"/>
        <s v="Mellor Animación Compostelae"/>
        <s v="Prémio António Gaio: Menção Honrosa"/>
        <s v="Prémio Universidades"/>
        <s v="Melhor Curta Metragen"/>
        <s v="Menção Honrosa - Categoria Escolar"/>
        <s v="Menção Honrosa - Prémio SIGNIS Árvore da Vida"/>
        <s v="Mención Especial del Jurado"/>
        <s v="Lucas-Preis Bester Animierter Kurzfilm"/>
        <s v="Prémio Andorinha Curta para Melhor Curta Metragem"/>
        <s v="Premio Città di Bolzano - Genciana d'Oro al miglior film di esplorazione o avventura. "/>
        <s v="Grande Prémio Vídeo  - Ibertelco/Sony , Melhor Vídeo Documentário e Prémio do Publico de Vídeo - Centro de Criatividade Digital"/>
        <s v="Ensaios Visuais: Menção Honrosa"/>
        <s v="Premio Doclisboa e ISCTE-IUL para Melhor Curta-Metragem"/>
        <s v="Prémio Sony Escolas HD"/>
        <s v="IPJ Augusta Award para Melhor Filme Português"/>
        <s v="Melhor Direcção Artística: João Nunes e Paulo Gomes,  Melhor Guarda-Roupa: Paulo Gomes e Prémio Revista C"/>
        <s v="Menção Honrosa na Categoria de Curtas"/>
        <s v="Melhor Vídeo Musical"/>
        <s v="Premio RTP - Onda Curta"/>
        <s v="2º Prémio na categoria de Documentários"/>
        <s v="Premio TVE Otra Mirada 2011 - Mención Especial del Jurado e Premio FIPRESCI"/>
        <s v="Melhor Filme e Prémio D. Quixote: Menção Honrosa pela Realização  - FICC"/>
        <s v="Grande Prémio do Festival, Melhor Actriz: Rita Blanco, Melhor Realizador, Melhor Argumento Original"/>
        <s v="Pyrénée du Meilleur Film"/>
        <s v="Prémio António Gaio"/>
        <s v="Prémio do Público "/>
        <s v="Mention Spéciale du Jury"/>
        <s v="Prix Visions du Réel à la meilleure réalisation d'un court-métrage"/>
        <s v="Premio Honorífico del jurado"/>
        <s v="Premio Andorinha Longa para Melhor atriz coadjuvante (Catarina Wallenstein)"/>
        <s v="Silver Dragon for the Director of the Best Documentary  e Don Quixote Award"/>
        <s v="Prémio Andorinha Curta para Melhor Animação"/>
        <s v="Prémio do Público Melhor Curta Metragem Nacional"/>
        <s v="3rd Prize"/>
        <s v="Best Short Length Documentary"/>
        <s v="Prémio do Público  e Prémio D. Quixote - FICC"/>
        <s v="Melhor Longa  Metragem e Melhor Actriz Secundária: Isabel Ruth"/>
        <s v="Grande Prémio"/>
        <s v="Melhor Curta do Ano e Melhor Realizador: Nuno Rocha"/>
        <s v="Best Editing, Most Experimental Film, Best Ensemble, Best Supporting Actor (Luc Francis) e Best Script (Nuno Rocha e Adam Morgan)"/>
        <s v="Mención Especial"/>
        <s v="Mejor Corto Metraje Internacional - Caballito de Soria (Premio del Jurado Joven) e Mejor Corto Metraje Internacional - Caballito de Oro (Premio del Jurado de Sombra)"/>
        <s v="Melhor Curta de Ficção e Prémio Realizador Revelação: Nuno Rocha"/>
        <s v="Arara de Bronze"/>
        <s v="Prémio AIP Melhor Imagem para CM Portuguesa a Takashi Sugimoto"/>
        <s v="Prémio Doclisboa para a Melhor Média ou Longa Metragem, Prémio Restart para a Melhor Média ou Longa Metragem da Competição Portuguesa"/>
        <s v="Melhor Filme, Prémio Revelação e Prémio da Crítica"/>
        <s v="Prémio NAU"/>
        <s v="Best of 24h"/>
        <s v="2º Lugar"/>
        <s v="Melhor ator (ex-aequo) - Júri Técnico: João Marçal e Ricardo Azevedo"/>
        <s v="Creative Award"/>
        <s v="The Special Prize of the Jury for Best Conceptualisation"/>
        <s v="Prémio do Pùblico Melhor Filme Regional/meo"/>
        <s v="Melhor Curta Regional Ficção e Prémio do Público"/>
        <s v="Menção Honrosa - 5º Lugar"/>
        <s v="Melhor Ficção e Melhor Filme Vista Curta 2012"/>
        <s v="Prémio Especial do Júri: Melhor Curta-metragem portuguesa"/>
        <s v="Melhor Realização"/>
        <s v="Prémio Canon FRAME 1"/>
        <s v="Prémio Melhor Curta.Metragem - Publicidade e Informação"/>
        <s v="Melhor Diretor: João Vilares, Melhor Atriz: Diana Coelho e Melhor Argumento"/>
        <s v="Prémio Porto7 Ficção Nacional"/>
        <s v="Prémio Especial do Júri"/>
        <s v="Prémio Melhor Actor Secundário: Dinarte Branco"/>
        <s v="Premio FIPRESCI  Mejor Película Iberoamaricana"/>
        <s v="Prémio Canon para Melhor Curta Metragem da Competição Portuguesa - Menção Especial"/>
        <s v="Mention Spéciale du Prix Joris Ivens"/>
        <s v="Premio Honorífico del jurado, largometraje de creación"/>
        <s v="Extra Muros Award for Best Documentary Debut"/>
        <s v="Grande Prémio do Festival, Melhor Realizador e Prémio Dom Quijote (Júri FICC/IFSS)"/>
        <s v="Melhor Argumento e Melhor Actor: José Pinto"/>
        <s v="1st Prize shorts until 5'"/>
        <s v="Prémio Olhares e Enquadramentos"/>
        <s v="Special Mention"/>
        <s v="Premio de la Crítica Largometraje Internacional"/>
        <s v="Melhor Montagem: Raphaël Lefèvre"/>
        <s v="Best Film"/>
        <s v="Melhor Filme e Melhor Actor: João Rui Guerra da Mata"/>
        <s v="Best Narrative Short"/>
        <s v="Melhor Longa  Metragem de Ficção"/>
        <s v="Melhor Direcção Artística: Pedro Sá, Melhor Fotografia: Acácio de Almeida, Melhor Guarda-Roupa: Produções TCC"/>
        <s v="Prémio TAP para Melhot Documentário Português"/>
        <s v="Melhor Curta Regional Documentário"/>
        <s v="Premio Honorífico del jurado, cortometraje internacional"/>
        <s v="Melhor Curíssima Portuguesa - Prémio Carl Zeiss"/>
        <s v="Prémio Primeiro Olhar/Cineclubes"/>
        <s v="Amadis du Meilleur Montage"/>
        <s v="Golden Rooster in Rural Tourism"/>
        <s v="Prémio Liscont para Melhor Longa Metragem da Competição Portuguesa - Menção Especial"/>
        <s v="Prémio Melhor Filme Nacional/Direcção Regional dos Açores"/>
        <s v="Best Film by a  Portuguese Director"/>
        <s v="Obra vencedora na categoria MOVIMENTO"/>
        <s v="Curta vencedora do mês de Junho"/>
        <s v="Curta vencedora do mês de Abril"/>
        <s v="Curta vencedora do mês de Maio"/>
        <s v="Prémio Universidade"/>
        <s v="Curta vencedora de Dezembro"/>
        <s v="Best European Short Film"/>
        <s v="Best Cinematography Award"/>
        <s v="Prémio Melhor Actriz Secundária: Margarida Carpinteiro e Melhor Banda Sonora Original: André Joaquim"/>
        <s v="Melhor Filme, Melhor Fotografia: Bruno Nacarato e Melhor Ator: Tiago Correia"/>
        <s v="Prémio Canon para Melhor Curta Metragem da Competição Portuguesa"/>
        <s v="Prémio Pixel Bunker de Melhor Curta-Metragem Nacional"/>
        <s v="Super Fotografia e Super Direção de Arte"/>
        <s v="Best Ibero-American Film"/>
        <s v="Knight Foundation Grand Jury Prize e The Jordan Alexander Ressler Screenwriting Award"/>
        <s v="Melhor Direcção de Arte: Joana Linda"/>
        <s v="Prémio Jovem Cineasta Português &gt;18"/>
        <s v="Melhor Realizador, Melhor Atriz Principal: Custódia Gallego e Melhor Fotografia"/>
        <s v="Melhor Filme de Estudantes Português  (Júri Júnior)"/>
        <s v="Silver Rooster in Taste and Flavours"/>
        <s v="Melhor Documentário (ex-aequo)"/>
        <s v="1º Mención"/>
        <s v="Melhor Actor: Miguel Borges"/>
        <s v="Curta vencedora do mês de Fevereiro"/>
        <s v="Prémio CPLP - Prémio para a Melhor Longa Metragem dos Países de Língua Portuguesa"/>
        <s v="Melhor Fotografia: André Santos"/>
        <s v="Buzz Award"/>
        <s v="Prémio OBVIOSOM/GRIPMAN/RESTART para Melhor Realizador Português de CM: João Salaviza"/>
        <s v="Melhor Currta-Metragem"/>
        <s v="Melhor Filme Escolar"/>
        <s v="Melhor Documentário e Menção Honrosa (Júri FICC/IFSS)"/>
        <s v="Melhor Filme de Estudantes Português  - Prémio Meo"/>
        <s v="2nd Best Animation"/>
        <s v="Pokal des Bürgermeisters für den Innovativsten Film"/>
        <s v="Mehor Curta-Metrgem"/>
        <s v="Best of Fest Award"/>
        <s v="Silver Award for Best Film"/>
        <s v="Melhor Ator Secundário: Joaquim Nicolau, Melhor Argumento Adaptado e Melhor Guarda-Roupa"/>
        <s v="Menção Especial Documentário"/>
        <s v="Obra vencedora na categoria LIVRE e Prémio da XIV Semana Cultural da Universidade de Coimbra"/>
        <s v="Melhor Curta Shortcutz Lisboa, Melhor Realizador e Melhor Montagem: Artur Serra Araújo"/>
        <s v="Curta vencedora do mês de Março"/>
        <s v="Prix du Meilleur Court-Métrage Jeune Public"/>
        <s v="Melhor Série de TV e Melhor Filme para a Infância e Juventude"/>
        <s v="Main Prize"/>
        <s v="Prémio Junta de Freguesia de Canelas"/>
        <s v="Prémios Sophia de Carreira: Isabel Ruth, António de Macedo e António da Cunha Telles"/>
        <s v="Prémio do Pùblico para Melhor Longa Metragem"/>
        <s v="Golden Gate Award"/>
        <s v="Primer Premio, largometraje de creación"/>
        <s v="Prémio do Público  Melhor Filme Nacional/meo"/>
        <s v="Menção Honrosa Categoria Animação"/>
        <s v="1º Lugar  Categoria Ficção"/>
        <s v="Melhor Mùsica Original: PAUS"/>
        <s v="Prémio Primeiro Olhar/Oficial - Menção Honrosa"/>
        <s v="Prémio de Melhor Realizador: Ricardo Salgado"/>
        <s v="Melhor Banda Sonora"/>
        <s v="Prémio Melhor Aluno do Agrupamento e Melhor Actriz: Márcia Almeida"/>
        <s v="Menção Honrosa - 6º Lugar"/>
        <s v="Gewinner Freie Kategorie"/>
        <s v="The Ecumenical Jury Award: Special Mention"/>
        <s v="Premio EUROPA"/>
        <s v="Prémio RTP 2: Onda Curta"/>
        <s v="3º Prémio "/>
        <s v="Prémio Camacho Costa/Lusofonia e Menção Honrosa - Júri da Juventude"/>
        <s v="3º Prémio e Melhor Argumento"/>
        <s v="Menção Honrosa na Competição Eu no Meio dos Outros"/>
        <s v="Melhor Longa Metragem, Prémio Melhor Actriz: Dalila Carmo, Melhor Caracterização: Abigail Machado e Melhor Som: Jaime Barros e Elsa Ferreira"/>
        <s v="Prémio do Público - Primeiro Melhor Filme"/>
        <s v="Melhor Edição (ex-aequo) - Júri Técnico: Victor Santos"/>
        <s v="Melhor Produção Nacional"/>
        <s v="Curta metragem vencedora"/>
        <s v="Menção Honrosa - Prémio Onda Curta"/>
        <s v="Silver Rooster in Hotels and Resorts"/>
        <s v="Melhor Filme Português 2011 - Prémio do Público"/>
        <s v="Prémio para Melhor Longa Metragem Portuguesa"/>
        <s v="Prémio Sub-21"/>
        <s v="The Special Festival Award 2012: Pedro Costa"/>
        <s v="Prémio RTP 2/Onda Curta e Menção Honrosa - Prémio PIXEL BUNKER"/>
        <s v="Prémio Canal+ (Espanha)"/>
        <s v="Hiroshima Prize"/>
        <s v="Special Prize of the Jury: Best Animation"/>
        <s v="1st Prize - Animated Short Film"/>
        <s v="Prémio Melhor Banda Sonora Original e Menção Especial do Júri da Competição Internacional"/>
        <s v="Prémio Escolas/Jornal Açoriano Oriental"/>
        <s v="Curta vencedora de Outubro"/>
        <s v="Prémio Primeiro Olhar/Oficial"/>
        <s v="Menção Honrosa do Júri: Sofia Dinger"/>
        <s v="Prémio Árvore da Vida para Melhor Filme Português"/>
        <s v="Menção Honrosa - 4º Lugar"/>
        <s v="Melhor Curta Europeia"/>
        <s v="Melhor Imagem"/>
        <s v="Curta vencedora do mês de Janeiro"/>
        <s v="Melhor Argumento: Pedro Resende"/>
        <s v="Prix du Jury"/>
        <s v="Prémio Fundação INATEL"/>
        <s v="Meilleure série française"/>
        <s v="Meilleure DVD récent"/>
        <s v="Prêmio Melhor Ficção"/>
        <s v="Best Director"/>
        <s v="Prix des Enfants"/>
        <s v="Second Prize"/>
        <s v="Prémio Lusofonia/Panorama Regional"/>
        <s v="Silver Rooster in Rural Tourism"/>
        <s v="Prix Premier: Mention Spéciale"/>
        <s v="Grande Prémio MIFEC"/>
        <s v="Filme vencedor"/>
        <s v="Curta vencedora de Novembro"/>
        <s v="Diploma"/>
        <s v="Menção Honrosa  - Prémio Árvore da Vida"/>
        <s v="Prémio de Melhor Actor: Welket Bungué"/>
        <s v="Prémio de Cinema Português - Melhor Filme"/>
        <s v="Melhor Curta Nacional pelo Público"/>
        <s v="Melhor Curta Nacional pelo Júri"/>
        <s v=" Audience Choice Award for Best Heartfelt Short Film "/>
        <s v="Prémio Competição AVANCA"/>
        <s v="Prémio RTP 2/Onda Curta"/>
        <s v="Melhor Actor: Nuno Melo"/>
        <s v="Melhor Realizador Português: Marco Barbosa"/>
        <s v="Menção do Júri"/>
        <s v="“Nueva Mirada” a la Mejor Obra de Animación Realizada por Niños y Jóvenes (ex-aequo)"/>
        <s v="Prémio do Público - Chama Amarela"/>
        <s v="Mención de honor del jurado"/>
        <s v="Prémio dos Cineclubes e Prémio do Público"/>
        <s v="Special Jury Award"/>
        <s v="Curta vencedora de Maio"/>
        <s v="The Kenneth and Harle Montgomery Prize - Best Child-Produced Film"/>
        <s v="Connecticut College 2012 Prize"/>
        <s v="Prémio Melhor Actor: Cristóvão Campos"/>
        <s v="Melhor Montagem"/>
        <s v="Silver Frame 2012 World Global Films "/>
        <s v="Melhor Filme Português 2011 - Prémio SPA Vasco Granja"/>
        <s v="Melhor banda sonora: Daniel Carvalho, David Doutel e Vasco Sá"/>
        <s v="Premio Jinete Ibérico e Mención Especial del Jurado de la Juventud"/>
        <s v="Prémio do Júri"/>
        <s v="Golden Rooster in Cultural Tourism"/>
        <s v="Prémio Eu no Meio dos Outros"/>
        <s v="Prix Illy du Court Métrage - Mention Spéciale"/>
        <s v="Melhor Filme da Competição Nacional e Prémio RTP-2 Onda Curta"/>
        <s v="Schweizer Preis"/>
        <s v="Silver Rooster in Human Life"/>
        <s v="Prémio Jovem Realizador"/>
        <s v="Menção Especial Ficção"/>
        <s v="Prémio Melhor FIlme dos Açores/Câmara Municipal de Ponta Delgada e Prémio &quot;Novo Talento Regional/Restart"/>
        <s v="1º Prémio, Melhor Edição e Melhor Actor: Agostinho Magalhães"/>
        <s v="Melhor Curta-Metragem, Melhor Argumento Original, Melhor Ator Principal: António Pereira e Melhor Montagem"/>
        <s v="Winner of The NY Portuguese Short Film Festival 2012"/>
        <s v="Prémio Melhor Filme de Escola"/>
        <s v="Prémio TAP para Melhor Longa Metragem Portuguesa de Ficção"/>
        <s v="Narrative Award for Best Narrative Feature"/>
        <s v="Prix de l'interprétation féminine: Ciomara Morais"/>
        <s v="Golden Rooster im Memorable Experiences e Best Advertising Film"/>
        <s v="Special Jury Mention for Documentary Short"/>
        <s v="Golden Bear for the Best Short Film"/>
        <s v="The Uppsala Award in Memory of Ingmar Bergman"/>
        <s v="Melhor Som"/>
        <s v="Prémio Património Imaterial"/>
        <s v="Menção Honrosa: Categoria Aninmação"/>
        <s v="Melhor Curta Experimental"/>
        <s v="Menção Especial Competição AVANCA"/>
        <s v="Melhor Filme, Melhor Argumento: João Canijo, e Melhor Actriz: Rita Blanco"/>
        <s v="Grand Jury Discretionary Prize (ex-aequo)"/>
        <s v="New Vision Award"/>
        <s v="Premio del Público"/>
        <s v="Melhor Filme e Melhor Actriz: Rita Blanco"/>
        <s v="Melhor Filme - Prémio Olhar"/>
        <s v="Prémio Primeiro Olhar/Ibertelco"/>
        <s v="Vencedor do Prémio Sony Escolas HD"/>
        <s v="Prémio Jovem Cineasta Português &lt;18"/>
        <s v="Prémio Revista C"/>
        <s v="Melhor Curta de Animação"/>
        <s v="Loup Argenté présenté par TFO: Meilleur Court Mètrage de la Sélection Internationale"/>
        <s v="Melhor Produtor: Carla Fonseca, Melhor Actriz: Rita Martins, Mehores Efeitos Especiais/Visuais: Bikini, Pós Produção e Melhor Som: Índigo"/>
        <s v="1º Lugar Categoria Animação"/>
        <s v="Alfred Bauer Prize and FIPRESCI Prize Winner Competition 2012"/>
        <s v="Lady Harimaguada de Plata e Premio del Público 2012"/>
        <s v="Coup de Coeur du Jury e Prix du Jury des blogueurs et du web"/>
        <s v="Best Director: Miguel Gomes"/>
        <s v="Grand Prix for Best Film"/>
        <s v="Grand Prix "/>
        <s v="Mejor Película"/>
        <s v="Filme Português do Ano"/>
        <s v="AnimaWeb Contest Award"/>
        <s v="Prémio Liscont para Melhor Longa Metragem da Competição Portuguesa, Prémio Jameson para Melhor 1ª Obra (primeira ou segunda longa metragem) da Competição Portuguesa , Prémio Escolas - Prémio Restart para Melhor Longa Metragem da Competição Portuguesa e Prémio do Público - Prémio Universidade Lusófona de Humanidades e Tecnologias para Melhor Longa Metragem Portuguesa"/>
        <s v="Vencedor Competição Nacional"/>
        <s v="Menção Honrosa  - Melhor Filme de Escolas"/>
        <s v="1º Lugar"/>
        <s v="Menção Honrosa - Júri da Lusofonia"/>
        <s v="1º Lugar Categoria Documentário"/>
        <s v="Mention Spéciale du Jury étudiants et apprentis"/>
        <s v="Mejor cortometraje de ficción"/>
        <s v="Melhor Filme Português da Competição Internacional e Melhor Filme Internacional - Pémio do Público"/>
        <s v="Prémio Macaronésia/Sata"/>
        <s v="Golden Taiga for the Best Debut Film"/>
        <s v="Premio &quot;Rellumes&quot;"/>
        <s v="Prémio Memórias, Gestos e Espaços"/>
        <s v="3º Lugar"/>
        <s v="Prix du meilleur second rôle féminin: Iva Mugalela"/>
        <s v="Prix du Public long métrage e Prix SIGNIS - Mention Spéciale"/>
        <s v="Menção Especial Curta Metragem"/>
        <s v="Prémio &quot;Novo Talento Nacional&quot;/Restart e Menção Especial do Júri"/>
        <s v="Prémio Novos Talentos"/>
        <s v="Melhor Curta-Metragem Documental  Nacional"/>
        <s v="Prémio Primeiro Olhar Oficial Ibertelco"/>
        <s v="Silver Frame &quot;Festival of Festivals&quot; e Silver Frame &quot;World Global Films&quot;"/>
        <s v="Melhor Ficção Nacional"/>
        <s v="Prémio do Público - Segundo Melhor Filme"/>
        <s v="Best First Feature Award - Special Mention of the Jury"/>
        <s v="Prémio O Ganho do Som para Melhor Primeira ou Segunda Longa-Metragem da Competição Portuguesa - Menção Honrosa e Prémio Escolas"/>
        <s v="Melhor Curta-Metragem Nacional - Documentário"/>
        <s v="Melhores Efeitos Visuais: Paulo Valente"/>
        <s v="Menção Honrosa -  Documentário"/>
        <s v="Prémio Liscont - Prémio para Melhor Longa-Metragem da Competição Portuguesa"/>
        <s v="Melhor Filme Estrangeiro - Curta-metragem Animação"/>
        <s v="Prémio Novo Talento Regional"/>
        <s v="Prémio Augusta Joaquim de Almeida para Melhor Ator: António Capelo"/>
        <s v="Curta vencedora de Fevereiro"/>
        <s v="Menção Honrosa -  Animação"/>
        <s v="Melhor Actriz: Rita Durão"/>
        <s v="Prémio Melhor Filme dos Açores"/>
        <s v="Melhor Realizador Leiriense: Pedro Neves"/>
        <s v="Menção Especial do Júri da Competição Nacional"/>
        <s v="2º Prémio -  Documentário"/>
        <s v="Menção Honrosa - Lusofonia"/>
        <s v="Melhor Produção: Fernando Ribeiro e Mafalda Castelo Branco"/>
        <s v="3º Prémio - Videoclip"/>
        <s v="2º Prémio - Videoclip"/>
        <s v="Mejor cortometraje competencia internacional"/>
        <s v="Prémio Estreia Mundial - Curta-metragem"/>
        <s v="Grande Prémio &quot;Cidade Vila do Conde&quot; para Melhor Filme em Competição"/>
        <s v="Melhor Filme e Prémio do Público"/>
        <s v="Prémio Competição AVANCA - Ficção"/>
        <s v="Melhor Atriz: Vitória Guerra"/>
        <s v="1º Lugar - Ficção Nacional"/>
        <s v="Doc  Alliance Selection Award 2013"/>
        <s v="Prémio Novo Olhar"/>
        <s v="Premio Transfrontera"/>
        <s v="Prémio de Melhor Curta Nacional"/>
        <s v="Melhor Curta-Metragem de Ficção"/>
        <s v="1º Prémio - Videoclip"/>
        <s v="Menção Honrosa - Prémio Primeiro Olhar Ibertelco"/>
        <s v="Curta vencedora de Março"/>
        <s v="2º Lugar "/>
        <s v="Prémio de Melhor Curta-Metragem de Escola"/>
        <s v="Prémio de Melhor Longa Nacional e Melhor Filme do Público"/>
        <s v="Best World Short"/>
        <s v="Premio speciale della giuria, Special Mention - Premio FIPRESCI, Secondo Premio miglior regista - Premio Giuria dei giovani_x000a__x000a__x000a_"/>
        <s v="Ganador"/>
        <s v="Mejor Pelicula Largometraje Internacional"/>
        <s v="Grande Prémio Cidade de Lisboa para Melhor Longa-Metragem da Competição Internacional, Prémio Universidades e Prémio C.P.L.P. para Melhor Longa Metragem dos Países de Língua Portuguesa das Secções Competitivas"/>
        <s v="Grand Prix de la compétition internationale longs métrages"/>
        <s v="Prémio Especial do Júri, Prémio da Crítica, Prémio dos Cineclubes e Prémio do Público"/>
        <s v="Melhor Documentário de Longa-Metragem"/>
        <s v="Prémio TAP para Longa-metragem Portuguesa de Ficção"/>
        <s v="Melhor Curta de Estudantes Portuguesa . Prémio FNAC"/>
        <s v="Melhor Videoclip Nacional"/>
        <s v="Melhor Videclip"/>
        <s v="Prémio Melhor Ator Secundário: Ângelo Torres"/>
        <s v="Melhor Música: The Legendary Tigerman e Rita Redshoes"/>
        <s v="Curta vencedora de Janeiro"/>
        <s v="Melhor Videoclip Nacional Hiphop"/>
        <s v="3º Lugar - Ficção Nacional"/>
        <s v="Melhor Trilha Sonora: Gustavo Fioravante e O Grivo"/>
        <s v="Prémio Competição AVANCA - Documentário"/>
        <s v="Prémio de Melhor Atriz Principal: Dalila Carmo"/>
        <s v="Melhor Atriz Principal: Dalila Carmo, Melhor Realizador: Vicente Alves do Ó, Melhor Atriz Secundária, Anabela Teixeira, Melhor Fotografia: Luís Branquinho, Melhor Som: Jaime Barros, Tiago Matos e Elsa Ferreira e Melhor Guarda Roupa: Sílvia Grabowski"/>
        <s v="Círculo Precolombino de Oro a la mejor Película e Circulo Precolombino de Oro a Mejor Director: Vicente Alves do Ó"/>
        <s v="Prémio Público Vídeo CP Combois de Portugal"/>
        <s v="2º Prémio -  Animação"/>
        <s v="Best Original Music: Sigur Ros"/>
        <s v="Winner &quot;Sharpie&quot; Best Film e Best Score Film or Animation"/>
        <s v="Santa Lucia al mejor Videoclip"/>
        <s v="Prix Illy du Court Métrage "/>
        <s v="Menção Honrosa - Competição Curtinhas M9"/>
        <s v="Grand prix du court métrage de l’Agglomération de Montpellier"/>
        <s v="Prémio dos Cineclubes"/>
        <s v="Melhor Documentário Regional"/>
        <s v="Prémio PIXEL BUNKER para Melhor Curta Metragem Portuguesa"/>
        <s v="Menção Honrosa - Videoclip"/>
        <s v="Prix du Jury Jeunes"/>
        <s v="Menção Honrosa - Lusofonia Júri da Juventude"/>
        <s v="Prémio Regional do Pùblico"/>
        <s v="Prix du Court-Métrage d'Animation - Programme 7/11 ans  - Jury scolaire Cycle 3"/>
        <s v="Special Jury Recognition"/>
        <s v="Golden Gate Award For Best Animated Short"/>
        <s v="Mención Especial del Jurado e Onofre a la Mejor Banda Sonora: The Young Gods M83"/>
        <s v="Prémio DIGIMASTER para Melhor Longa Metragem Portuguesa e Prémio Árvore da Vida para Filme Português "/>
        <s v="Prémio Augusta IPJ para Melhor Filme Português"/>
        <s v="Melhor Argumento: Carlos Saboga"/>
        <s v="Melhor Ator Secundário: Albano Jerónimo, Melhor Argumento Original: Carlos Saboga, Melhor Direção Artística: Isabel Branco e Melhor Caracterização: Íris Peleira"/>
        <s v="Prémio do Pùblico &quot;Mateus Rosé Sparkling&quot;"/>
        <s v="Premio al Mejor Guión de Cortometraje e Premio Especial del Jurado"/>
        <s v="Menção Honrosa do Júri"/>
        <s v="Curta vencedora de Abril"/>
        <s v="Curta vencedora de Julho"/>
        <s v="Prémio Novo Talento FNAC e Menção Honrosa - Prémio PIXEL BUNKER"/>
        <s v="Premio GAC al Mejor Guión de Cortometraje"/>
        <s v="Mikeldi de Plata de Ficción"/>
        <s v="Prémio Camacho Costa"/>
        <s v="Prémio Cinema Português FANTASPORTO 2013"/>
        <s v="1º Prémio -  Documentário"/>
        <s v="Melhor Direcção de Arte: Júlio Alves e Pedro Rocha"/>
        <s v="Prémio Novo Talento Nacional/RESTART"/>
        <s v="Melhor Filme VistaCurta 2013"/>
        <s v="Ó Bhéal Poetry Film Award"/>
        <s v="Menção Honrosa - Ficção"/>
        <s v="Melhor Filme Estrangeiro - Média Metragem"/>
        <s v="Prémio SARDINHA EM LATA - Clapkids"/>
        <s v="Prémio Yorn MOTELx para Melhor Curta de Terror Portuguesa"/>
        <s v="Venus de Badalona a la mejor música original"/>
        <s v="Melhor Ator: Lázaro Ramos"/>
        <s v="Melhor Curta do Ano, Melhor Curta da Network Shortcutz, Melhor Realizador, Melhor Argumento: João Leitão, Melhor Montagem: Mário Melo Costa, Melhor Música Original: Marco Franco, Melhor Fotografia: Mário Melo Costa e Melhor Ator: José Pinto"/>
        <s v="Prémio Carnide - Melhor Filme, Prémio RESTART - Melhor Fotografia, Prémio NEXTART - Melhor Argumento e Melhor Actor: Daniel Viana"/>
        <s v="Prix du Film d'Animation"/>
        <s v="Melhor Realizador Nacional: Paulo Castilho, Melhor Curta-Metragem Nacional"/>
        <s v="Grande Prémio Nacional"/>
        <s v="Prémio do Júri e Prémio do Público"/>
        <s v="2º Lugar - Ficção Nacional"/>
        <s v="Curta vencedora de Setembro"/>
        <s v="Melhor Actor: Carlos Santos"/>
        <s v="Melhor Ator Principal: Carlos Santos e Melhor Argumento Adaptado: Bruno de Almeida, Frederico Delgado Rosa e John Frey"/>
        <s v="Competição Portuguesa Longa-Metragem - Menção Honrosa"/>
        <s v="Prémio O Ganho do Som para Melhor Primeira ou Segunda Longa-Metragem da Competição Portuguesa"/>
        <s v="NexT Trophy"/>
        <s v="Silber Lenzing Award"/>
        <s v="Premio MAX CUT per il miglior montaggio"/>
        <s v="Prémio Novíssimos"/>
        <s v="Mikeldi de Oro de  Animación"/>
        <s v="Melhor Curta-Metragem Nacional - Ficção"/>
        <s v="Melhor Curta-Metragem Leiriense"/>
        <s v="Prémio de Melhor Curta-Metragem Portuguesa"/>
        <s v="3º Prémio - Ficção"/>
        <s v="Prémio Primeiro Olhar.Cineclubes"/>
        <s v="Prémio Melhor Curta Nacional e Prémio do Público"/>
        <s v="Prémio Melhor Curta-Metragem MEO"/>
        <s v=" Prémio Património Imaterial"/>
        <s v="1º Lugar - Documentário Nacional"/>
        <s v="Melhor Curta de Estudantes Portuguesa - Júri Junior"/>
        <s v="Premio a Mejor Corto Internacional"/>
        <s v="Prémio da Audiência"/>
        <s v="Prémio BPI e Prémio Pixel Bunker para Melhor Filme da Competição Nacional, Prémio Canal+ (França)"/>
        <s v="Menção Honrosa - Prémio Árvore da Vida"/>
        <s v="Melhor Curta-metragem Escolar"/>
        <s v="Cinema Mundi Prize 2013"/>
        <s v="Mención e Mención del Jurado ACCU/Fipresci"/>
        <s v="Prémio SATA/Macaronésia"/>
        <s v="Melhor Documentário de Longa-Metragem e Prémio do Público"/>
        <s v="Prémio do Público e Melhor Actriz: Sara Barros Leitão"/>
        <s v="Prix Spécial du Jury"/>
        <s v="Premio Speziale della Giuria"/>
        <s v="Prix du Meilleur Court-Métrage "/>
        <s v="DAAD Short Film Award"/>
        <s v="Prémio Culturgest para Melhor Curta-Metragem da Competição Portuguesa"/>
        <s v="Best Original Screenplay"/>
        <s v="Mejor Pelicula: Premio Cinecolombia"/>
        <s v="Melhor Filme, Melhor Montagem: Telmo Churro e Miguel Gomes"/>
        <s v="Orquidea al Mejor Director: Miguel Gomes"/>
        <s v="Melhor Som: Jorge Pacheco e Améba"/>
        <s v="Curta vencedora de Agosto"/>
        <s v="Prémio TAP para Documentário Português"/>
        <s v="Prémio Panorama Regional e Menção Honrosa - Panorama Regional Júri da Juventude"/>
        <s v="Prémio Escolas - Menção Honrosa"/>
        <s v="Melhor Documental Universitário"/>
        <s v="Menção Honrosa do Prémio Curtas Metragens MEO para Melhor Ensaio Cinematográfico"/>
        <s v="Melhor Ficção e Prémio do Público"/>
        <s v="Prémio da Crítica"/>
        <s v="Menção Honrosa - Prémio Primeiro Olhar. Cineclubes"/>
        <s v="Meilleur Long-Métrage e Meilleure Actrice: Iva Mugalela"/>
        <s v="Jury Special Prize for Outstanding Film"/>
        <s v="Prix du Public: Catégorie &quot;Fictions&quot;"/>
        <s v="Melhor Curta Nacional - Experimental"/>
        <s v="Prémio Meo Curtas da Casa"/>
        <s v="Mejor Largometraje Documental"/>
        <s v="Melhor Longa-Metragem Estrangeiro"/>
      </sharedItems>
    </cacheField>
    <cacheField name="Categoria" numFmtId="0">
      <sharedItems containsBlank="1" count="5">
        <s v="Festival"/>
        <s v="Mostra/Ciclo"/>
        <s v="Cerimónia"/>
        <s v="Extensão Fest"/>
        <m/>
      </sharedItems>
    </cacheField>
    <cacheField name="Observações" numFmtId="0">
      <sharedItems containsBlank="1"/>
    </cacheField>
    <cacheField name="C/S Premio" numFmtId="0">
      <sharedItems count="2">
        <s v="S/ Prémio"/>
        <s v="C/ Prémio"/>
      </sharedItems>
    </cacheField>
    <cacheField name="TIPO | TYPE" numFmtId="0">
      <sharedItems count="18">
        <s v="CURTAS DE FICÇÃO_x000a_FICTION SHORT FILMS"/>
        <s v="LONGAS DE DOCUMENTÁRIO_x000a_DOCUMENTARY FEATURE FILMS"/>
        <s v="CURTAS DE DOCUMENTÁRIO_x000a_DOCUMENTARY SHORT FILMS"/>
        <s v="SÉRIES DE DOCUMENTÁRIO_x000a_DOCUMENTARY SERIES"/>
        <s v="CURTAS DE ANIMAÇÃO_x000a_ANIMATION SHORT FILMS"/>
        <s v="LONGAS DE FICÇÃO_x000a_FICTION FEATURE FILMS"/>
        <s v="CURTAS EXPERIMENTAIS_x000a_EXPERIMENTAL SHORT FILMS"/>
        <s v=""/>
        <s v="CURTAS_x000a_SHORT FILMS"/>
        <s v="SÉRIES DE ANIMAÇÃO_x000a_ANIMATION SERIES"/>
        <s v="LONGAS DE ANIMAÇÃO_x000a_ANIMATION FEATURE FILMS"/>
        <s v="DOCUMENTÁRIOS_x000a_DOCUMENTARIES"/>
        <s v="SÉRIES EXPERIMENTAIS_x000a_EXPERIMENTAL SERIES"/>
        <s v="LONGAS METRAGENS_x000a_FEATURE FILMS"/>
        <s v="ANIMAÇÃO_x000a_ANIMATION"/>
        <s v="VIDEO CLIPS"/>
        <s v="SÉRIES DE FICÇÃO_x000a_FICTION SERIES"/>
        <s v="LONGAS  EXPERIMENTAIS_x000a_EXPERIMENTAL FEATURE FILMS"/>
      </sharedItems>
    </cacheField>
    <cacheField name="FILME |TITLE_x000a_REALIZADOR | DIRECTOR" numFmtId="0">
      <sharedItems count="2162">
        <s v="31_x000a_Miguel Gomes"/>
        <s v="48_x000a_Susana de Sousa Dias"/>
        <s v="1111_x000a_M.F. Costa e Silva"/>
        <s v="(O meu) Outro Mundo_x000a_André Agostinho"/>
        <s v="1 Minuto de Astronomia_x000a_Vanessa Fernandes"/>
        <s v="10 Dias sem Bater_x000a_Luís Assis"/>
        <s v="1971-1974 (Estou em Moçambique)_x000a_Andreia Sobreira"/>
        <s v="2034 Communications and Arts_x000a_Teresa Cortez"/>
        <s v="30.000 Anos_x000a_Maya Rosa"/>
        <s v="3x3_x000a_Nuno Rocha"/>
        <s v="4 Copas_x000a_Manuel Mozos"/>
        <s v="42.195 Km_x000a_Júlio Alves"/>
        <s v="4M_x000a_Nelson de Castro, Wilson Pereira"/>
        <s v="6:00h_x000a_Pedro bg"/>
        <s v="6=0 Homeoestética_x000a_Bruno de Almeida"/>
        <s v="A Almadabra Atuneira_x000a_António Campos"/>
        <s v="A Arca do Éden_x000a_Marcelo Félix"/>
        <s v="A Audição_x000a_Francisco Campos, Henrique Bagulho"/>
        <s v="A Bela e o Paparazzo_x000a_António-Pedro Vasconcelos"/>
        <s v="A Cabra_x000a_Carlos Pedro Santana"/>
        <s v="A Caça_x000a_Manoel de Oliveira"/>
        <s v="A Caixa Negra_x000a_Nuno Amorim"/>
        <s v="A Canção de Lisboa_x000a_José Cottinelli Telmo"/>
        <s v="A Casa ao Lado_x000a_Maria João Ferreira"/>
        <s v="A Casa Esquecida_x000a_Teresa Garcia"/>
        <s v="A Cidade dos Mortos_x000a_Sérgio Tréfaut"/>
        <s v="A Confederação - O Povo é que faz a História_x000a_Luís Galvão Teles"/>
        <s v="A Cor Negra_x000a_Silvino Fernandes, Paulo Sousa"/>
        <s v="A Corrida_x000a_Rui Madruga, Carolina Carrola"/>
        <s v="A Corte do Norte_x000a_João Botelho"/>
        <s v="A Costa dos Murmúrios_x000a_Margarida Cardoso"/>
        <s v="A Costura de Clemente_x000a_João Bordeira"/>
        <s v="A Cova_x000a_Luís Alves"/>
        <s v="A Dama da Lapa_x000a_Joana Toste"/>
        <s v="A Dança de Sísifo_x000a_André Lourenço, Paulo Valente"/>
        <s v="A Day at the Riding School_x000a_Paulo Furtado"/>
        <s v="A Divina Comédia_x000a_Manoel de Oliveira"/>
        <s v="A Divisão Social do Trabalho segundo Adam Smith_x000a_Fátima Ribeiro"/>
        <s v="A Dupla Viagem_x000a_Teresa Garcia"/>
        <s v="A Embaixada_x000a_Filipa César"/>
        <s v="A Espada e a Rosa_x000a_João Nicolau"/>
        <s v="A Esperança está onde menos se espera_x000a_Joaquim Leitão"/>
        <s v="A Favor da Claridade_x000a_Teresa Villaverde"/>
        <s v="A Felicidade_x000a_Jorge Silva Melo"/>
        <s v="A Festa dos Rapazes_x000a_Pierre Primetens"/>
        <s v="A Flor, a Formiga e a Borboleta Ameaçada_x000a_Bruno Cabral, Ivânia West, Patrícia Garcia-Pereira"/>
        <s v="A Fotografia Rasgada_x000a_José Vieira"/>
        <s v="A History of Mutual Respect_x000a_Gabriel Abrantes, Daniel Schmidt"/>
        <s v="A Idade Maior_x000a_Teresa Villaverde"/>
        <s v="A Imagem B&amp;W Sedúz-Nús_x000a_Nelson Camacho"/>
        <s v="A Janela (Maryalva Mix)_x000a_Edgar Pêra"/>
        <s v="A Jangada de Pedra_x000a_George Sluizer"/>
        <s v="À la Minuta_x000a_Vítor Moreira"/>
        <s v="A Lei da Terra_x000a_Alberto Seixas Santos, Solveig Nordlund"/>
        <s v="A Máquina_x000a_Miguel Guimarães Correia, Daniel P. Sousa"/>
        <s v="A meio da noite_x000a_Fernando José Saraiva"/>
        <s v="A Menina da Rádio_x000a_Arthur Duarte"/>
        <s v="A minha rua também brinca!_x000a_Ana Joana Amorim"/>
        <s v="A Morte de Carlos Gardel_x000a_Solveig Nordlund"/>
        <s v="A Mudança_x000a_Francisco Lobo"/>
        <s v="A Musa_x000a_Diana Cardoso"/>
        <s v="A New Page_x000a_Mónica Ferreira, João Luz"/>
        <s v="A Noiva do Gigante_x000a_Nuno Amorim"/>
        <s v="A Nossa Casa_x000a_João Rodrigues"/>
        <s v="A nossa Forma de Vida_x000a_Pedro Filipe Marques"/>
        <s v="A outra Guerra_x000a_Elsa Sertório, Ansgar Schäfer"/>
        <s v="A Parideira_x000a_José Miguel Moreira"/>
        <s v="A Pele que há em mim_x000a_Teresa Cortez"/>
        <s v="A Pousada das Chagas_x000a_Paulo Rocha"/>
        <s v="A Prenda_x000a_Bruno Nobre"/>
        <s v="A Primeira Ceia_x000a_Luís Monge, Sofia Pimentão"/>
        <s v="A primeira vez que descobri para que servia o meu rabo_x000a_Bruno Silva"/>
        <s v="A Religiosa Portuguesa_x000a_Eugène Green"/>
        <s v="A Ria, a Água e o Homem…_x000a_Manuel Matos Barbosa"/>
        <s v="A Sarda_x000a_Miguel Soares, António Fernandes"/>
        <s v="A Selva_x000a_Leonel Vieira"/>
        <s v="A Senhora da Floresta_x000a_Renato Guerra Ferreira, Paulo César Fajardo"/>
        <s v="A Song for a Prostitute_x000a_Fernando Madeira, Moisés Rodrigues, Paulo d'Alva"/>
        <s v="A Street Car named Twenty Eight_x000a_Paulo Furtado"/>
        <s v="A Suspeita_x000a_José Miguel Ribeiro"/>
        <s v="A Tela_x000a_João Botelho"/>
        <s v="A Torre_x000a_Nuno Lisboa"/>
        <s v="A tua última Morada_x000a_Joel Rodrigues, André Agostinho"/>
        <s v="A última Tela_x000a_Cyril Santos, João Farinha"/>
        <s v="A única Vez_x000a_Nuno Amorim"/>
        <s v="A Utopia do Padre Himalaya_x000a_Jorge António"/>
        <s v="A Viagem_x000a_Simão Cayatte"/>
        <s v="A Vingança de uma Mulher_x000a_Rita Azevedo Gomes"/>
        <s v="A Zona_x000a_Sandro Aguilar"/>
        <s v="Abraço do Vento_x000a_José Miguel Ribeiro"/>
        <s v="Acto da Primavera_x000a_Manoel de Oliveira"/>
        <s v="Adeus, Pai_x000a_Luís Filipe Rocha"/>
        <s v="Afonso Henriques, o Primeiro Rei_x000a_Pedro Lino"/>
        <s v="Agora Tu_x000a_Jeanne Waltz"/>
        <s v="Agreste_x000a_Filipe Magalhães"/>
        <s v="Água e Sal_x000a_Teresa Villaverde"/>
        <s v="Água Fria_x000a_Pedro Neves"/>
        <s v="Aguarde, por favor!_x000a_Tiago Cravidão"/>
        <s v="Águas MIl_x000a_Ivo M. Ferreira"/>
        <s v="Águas Turvas_x000a_Colectivo de Crianças da Escola EB1 do Pego"/>
        <s v="Agur_x000a_João Costa Menezes"/>
        <s v="Ainda há pastores?_x000a_Jorge Pelicano"/>
        <s v="Ainda, o Natal_x000a_Liliana Cunha"/>
        <s v="Ainda, o Natal_x000a_Cláudio Sá"/>
        <s v="Airport Tunnel_x000a_Vítor Hugo"/>
        <s v="Akasha_x000a_João Costa Menezes"/>
        <s v="Akirema_x000a_Vítor Ribeiro, Jonas Andrade"/>
        <s v="Alberto Carneiro: 3_x000a_Rogério Taveira"/>
        <s v="Aldo e o Natal_x000a_David Acates"/>
        <s v="Alegoria dos Sentidos_x000a_Nelson de Castro, Wilson Pereira"/>
        <s v="Alfama_x000a_João Viana"/>
        <s v="Alferes_x000a_Júlio Alves"/>
        <s v="Algarve 73_x000a_Adriano Mendes"/>
        <s v="Algo de Bom_x000a_Rui Vieira"/>
        <s v="Algo Importante_x000a_João Fazenda"/>
        <s v="Alguma coisa tinha de acontecer_x000a_Mónica Ferreira"/>
        <s v="Alheava_filme_x000a_Manuel Santos Maia"/>
        <s v="Alice_x000a_Marco Martins"/>
        <s v="All Stars_x000a_Aurélie de Sousa"/>
        <s v="Almada Negreiros Vivo Hoje_x000a_António de Macedo"/>
        <s v="Alvorada Vermelha_x000a_João Pedro Rodrigues, João Rui Guerra da Mata"/>
        <s v="Amália - O Filme_x000a_Carlos Coelho da Silva"/>
        <s v="América_x000a_João Nuno Pinto"/>
        <s v="Amigo do Peito_x000a_Colectivo de Crianças do 4º ano da Escola EB 1 /JI de Real, Vilar do Pinheiro, Vila do Conde"/>
        <s v="Amigos de Peniche_x000a_Clara Games"/>
        <s v="Amor de Perdição_x000a_Manoel de Oliveira"/>
        <s v="Ana_x000a_António Reis, Margarida Cordeiro"/>
        <s v="Ana Vieira… e o que não é visto_x000a_Jorge Silva Melo"/>
        <s v="Anacronia_x000a_Bernardo Antero, Tiago Namorado Gil"/>
        <s v="And they went_x000a_Sandro Aguilar"/>
        <s v="Angelitos_x000a_Humberto Santana"/>
        <s v="Angst_x000a_Graça Castanheira"/>
        <s v="Aniki-Bóbó_x000a_Manoel de Oliveira"/>
        <s v="Anos Lusos_x000a_José Coimbra, Tiago Guimarães, Ari Carvalho"/>
        <s v="Antes de Amanhã_x000a_Gonçalo Galvão Teles"/>
        <s v="Ao Vivo (desenhos de Palco) (Live Music)_x000a_Gil Maddalena"/>
        <s v="Apple Beach_x000a_Paulo Furtado"/>
        <s v="Aqua_x000a_Leonardo António"/>
        <s v="Aquele Querido Mês de Agosto_x000a_Miguel Gomes"/>
        <s v="Aqui na Terra_x000a_João Botelho"/>
        <s v="Are you?_x000a_Raquel Vidal"/>
        <s v="Arena_x000a_João Salaviza"/>
        <s v="Arouca_x000a_Avelino Vieira, Fábio Morrison"/>
        <s v="Arouca_x000a_Avelino Vieira"/>
        <s v="Arouca Face Film_x000a_Ângela Loreiro, Ricardo Martinho, Ângelo Oliveira"/>
        <s v="Arquivo_x000a_Sandro Aguilar"/>
        <s v="Arrábida Anno Domini_x000a_Alberto Pereira, João Paulo Amaral"/>
        <s v="Arte de Roubar_x000a_Leonel Vieira"/>
        <s v="Arte Repíblica - 10 para 100_x000a_Fernando Galrito"/>
        <s v="Arte Xávega: O Chamamento do Mar_x000a_Paulo César Fajardo"/>
        <s v="Artur_x000a_Flávio Pires"/>
        <s v="Árvores no Jardim_x000a_João Paulo Oliveira"/>
        <s v="As Coisas Lá de Casa - O Balde e a Esfregona_x000a_José Miguel Ribeiro"/>
        <s v="As Operações SAAL_x000a_João Dias"/>
        <s v="As Terças da Bailarina Gorda_x000a_Jeanne Waltz"/>
        <s v="Assalto ao Santa Maria_x000a_Francisco Manso"/>
        <s v="Assembly Line_x000a_Tiago Ferreira"/>
        <s v="Assim, Assim_x000a_Sérgio Graciano"/>
        <s v="Até ao fim do dia_x000a_Luís Campos Brás"/>
        <s v="Até ao Tecto do Mundo_x000a_Vítor Lopes, Carlos Silva, António Costa Valente"/>
        <s v="Atelier_x000a_Susana Nascimento Duarte"/>
        <s v="Atrás das Nuvens_x000a_Jorge Queiroga"/>
        <s v="Augusto Canedo_x000a_João Paulo Ferreira"/>
        <s v="Ausstieg_x000a_Jorge Quintela"/>
        <s v="Auto do Cordeiro_x000a_Pedro Rocha Nogueira"/>
        <s v="Autografia_x000a_Miguel Gonçalves Mendes"/>
        <s v="Autumn_x000a_Ivo Costa"/>
        <s v="Avant la Corrida_x000a_Edgar Pêra"/>
        <s v="Aventuras do Homem Invisível_x000a_Maria de Medeiros"/>
        <s v="Avô (Muidumbe)_x000a_Raquel Schefer"/>
        <s v="Azoreños_x000a_Tiago Melo Bento"/>
        <s v="Azul Subaquático_x000a_Pedro Vasconcelos"/>
        <s v="Baby Back Costa Rica_x000a_Gabriel Abrantes"/>
        <s v="Bad Days_x000a_Nicole Tsangaris Mota"/>
        <s v="Bad Jingle_x000a_Ricardo Coutinho Costa"/>
        <s v="Badoca Safari Park_x000a_José Farinha"/>
        <s v="Banana Motherfucker_x000a_Fernando Alle, Pedro Florêncio"/>
        <s v="Barba_x000a_Paulo Abreu"/>
        <s v="Bartolomeu Cid dos Santos - Por Terras Devastadas_x000a_Jorge Silva Melo"/>
        <s v="Basement 8_x000a_Luís Miranda"/>
        <s v="Bats in the Belfry_x000a_João Alves"/>
        <s v="Battle Galaxi_x000a_Nuno Filipe Rocha"/>
        <s v="Batuque - A Alma de um Povo_x000a_Júlio Silvão Tavares"/>
        <s v="Beija-me depressa_x000a_José Ricardo Lopes"/>
        <s v="Beijos ternos são difíceis de encontrar_x000a_Inês Ponte"/>
        <s v="Belarmino_x000a_Fernando Lopes"/>
        <s v="Benilde ou A Virgem Mãe_x000a_Manoel de Oliveira"/>
        <s v="Bissau d'Isabel_x000a_Sana Nha N'Hada"/>
        <s v="Bitú_x000a_Leão Lopes"/>
        <s v="Bom Dia Benjamim_x000a_Nuno Amorim"/>
        <s v="Bom Dia Mãe_x000a_Ricardo Almeida, Emanuel Nevado"/>
        <s v="Bom Povo Português_x000a_Rui Simões"/>
        <s v="Bonsai_x000a_Cristián Jiménez"/>
        <s v="Boudoir_x000a_Joana Linda"/>
        <s v="Brandos Costumes_x000a_Alberto Seixas Santos"/>
        <s v="Brecht - Livre Acesso_x000a_Rui Pedro Tendinha"/>
        <s v="Brincarolas_x000a_Graça Gomes"/>
        <s v="Broa Caseira_x000a_Clube de Cinema da Escola Secundária de Arouca"/>
        <s v="Broken Clouds_x000a_Yuri Alves"/>
        <s v="Bruxas_x000a_Francisco Lança"/>
        <s v="Cabidela de Galinha_x000a_João Lopes, André Moura, Rita Pires"/>
        <s v="Cada Mulher é um Filme de Amor_x000a_Henrique Bento"/>
        <s v="Cães Marinheiros_x000a_Joana Toste"/>
        <s v="Café_x000a_João Fazenda, Alex Gozblau"/>
        <s v="Caldeirada_x000a_João Abecasis Fernandes, Luís Margalhau"/>
        <s v="Call Girl_x000a_António-Pedro Vasconcelos"/>
        <s v="Camera Obscura_x000a_Marta Maia"/>
        <s v="Canção de Amor e Saúde_x000a_João Nicolau"/>
        <s v="Cândido_x000a_Zepe"/>
        <s v="Cântico das Criaturas_x000a_Miguel Gomes"/>
        <s v="Caos_x000a_Maria Rodrigues"/>
        <s v="Capitães de Abril_x000a_Maria de Medeiros"/>
        <s v="Carne_x000a_Carlos Conceição"/>
        <s v="Carta para o futuro_x000a_Renato Martins"/>
        <s v="Cartas a uma Ditadura_x000a_Inês de Medeiros"/>
        <s v="Cartas de Angola_x000a_Dulce Fernandes"/>
        <s v="Casa_x000a_André Gil Mata"/>
        <s v="Casa com Piscina_x000a_Vasco Monteiro, Pedro Mendonça"/>
        <s v="Castelos no Ar_x000a_Vicente Alves do Ó"/>
        <s v="Catarina e Os Outros_x000a_André Badalo"/>
        <s v="Cavalos Selvagens_x000a_André Santos, Marco Leão"/>
        <s v="Cerro Negro_x000a_João Salaviza"/>
        <s v="Chamo-me António da Cunha Telles_x000a_Álvaro Romão"/>
        <s v="Change your habits today_x000a_Eduardo Morais"/>
        <s v="Chefe Bitoke_x000a_Rik Goddard"/>
        <s v="Chicken Giblets_x000a_João Lopes"/>
        <s v="China, China_x000a_João Pedro Rodrigues, João Rui Guerra da Mata"/>
        <s v="Chocolatando_x000a_Colectivo de Alunos do 8º Ano da Escola EB2,3 Dr. Carlos Pinto Ferreira, Junqueira, Vila do Conde"/>
        <s v="Christmas Imagination_x000a_Angélica Antunes, Cláudia Matosa, Francisca Melo"/>
        <s v="Cidade de Ouro_x000a_Andrei Romachov"/>
        <s v="Cinco Dias, Cinco Noites_x000a_José Fonseca e Costa"/>
        <s v="Cinema de Bairro_x000a_vários"/>
        <s v="CinemaAmor_x000a_Jacinto Lucas Pires"/>
        <s v="Cisne_x000a_Teresa Villaverde"/>
        <s v="Climbing_x000a_Joaquim Fontes"/>
        <s v="Côa, O Rio das Mil Gravuras_x000a_Jean-Luc Bouvret"/>
        <s v="Comando_x000a_Patrício Faísca, Sonat Duyar"/>
        <s v="Combat d'amour en songe_x000a_Raúl Ruiz"/>
        <s v="Comboio_x000a_Isabel Dias Martins"/>
        <s v="Como as serras crescem_x000a_Maria João Soares"/>
        <s v="Como Desenhar um Círculo Perfeito_x000a_Marco Martins"/>
        <s v="Como fazer pranchas de Surf_x000a_Marco Ribeiro"/>
        <s v="Complexo - Universo Paralelo_x000a_Mário Patrocínio"/>
        <s v="Concept Adidas Shoe_x000a_Tiago Simões"/>
        <s v="Conferência_x000a_César Pedro, Miguel Ramos"/>
        <s v="Conquistador Descobre_x000a_Ana Reis, Cláudio Sá, Tatiana Duarte"/>
        <s v="Consequências_x000a_Luís Ismael"/>
        <s v="Conservar_x000a_Colectivo de Jovens de Portimão e Colectivo Fotograma 24"/>
        <s v="Constança_x000a_José de Castro"/>
        <s v="Contextualizar - António Jardim_x000a_João Abreu, Pedro Gonçalves"/>
        <s v="Continuar a Viver ou Os Índios da Meia-Praia_x000a_António da Cunha Telles"/>
        <s v="Conto do Vento_x000a_Cláudio Jordão, Nelson Martins"/>
        <s v="Contraluz_x000a_Fernando Fragata"/>
        <s v="Conversa Acabada_x000a_João Botelho"/>
        <s v="Copo de Leite_x000a_Tiago Ribeiro"/>
        <s v="Coração no Escuro_x000a_Maria Joana Figueiredo"/>
        <s v="Corpo e Meio_x000a_Sandro Aguilar"/>
        <s v="Corre, Emanuel, Corre_x000a_Emanuel Macedo, Bruno Correia"/>
        <s v="Cosí Fan Tutte - Assim Fazem Todas_x000a_Joaquim Fontes, Joana Moreira, João Pedro Ferreira"/>
        <s v="Cosmix_x000a_Agostinho Marques"/>
        <s v="Cozido à Portuguesa_x000a_Natália Andrade"/>
        <s v="Crime, Abismo Azul Remorso Físico_x000a_Edgar Pêra"/>
        <s v="Cruzeiro Seixas - O Vício da Liberdade_x000a_Ricardo Espírito Santo"/>
        <s v="Cubolution_x000a_Paulo Lopes"/>
        <s v="Da minha zona lixeira… eu entro na queimada, dou pela estrada e subo o cotelo_x000a_Miguel Moreira"/>
        <s v="Daiman_x000a_Alexandre Cebrian Valente"/>
        <s v="Dans la Ville Blanche (A Cidade Branca)_x000a_Alain Tanner"/>
        <s v="Das 9 às 5_x000a_Rita Alcaire, Rodrigo Lacerda"/>
        <s v="De castigo_x000a_Pierre-Marie Jézéquel"/>
        <s v="Deeper (re)start_x000a_Ana Zilhão"/>
        <s v="Déjà vu city_x000a_Fábio Cunha"/>
        <s v="Demora_x000a_Ricardo Martins"/>
        <s v="Dente de Leão_x000a_Tiago Ribeiro"/>
        <s v="Depois do Choro_x000a_Luís Bicudo"/>
        <s v="Desassossego_x000a_Lorenzo Degli Innocenti"/>
        <s v="Descalço_x000a_Tomás Baltazar"/>
        <s v="Desertas Aquática_x000a_Gonçalo Gomes"/>
        <s v="Design atrás das Grades_x000a_Margarida Leitão"/>
        <s v="Desobediência_x000a_Licínio Azevedo"/>
        <s v="Despedida_x000a_Andrea Fernández"/>
        <s v="Desta água…_x000a_Luís Diogo"/>
        <s v="Deste Lado da Ressurreição_x000a_Joaquim Sapinho"/>
        <s v="Deus não quis_x000a_António Ferreira"/>
        <s v="Deus sabe o que faz_x000a_Alexandre Martins"/>
        <s v="Dharma Guns_x000a_F.J. Ossang"/>
        <s v="Dia de Visita_x000a_Luís Vieira Campos"/>
        <s v="Dia Triunfal_x000a_Rita Nunes"/>
        <s v="Diário_x000a_Mónica Baptista"/>
        <s v="Directo_x000a_Luís Alvarães, Luís Mário Lopes"/>
        <s v="Do Visível ao Invisível_x000a_Manoel de Oliveira"/>
        <s v="Doc Film_x000a_Cristóvão Peças"/>
        <s v="Dodu - O Rapaz de Cartão: Balão-Lua_x000a_José Miguel Ribeiro"/>
        <s v="Dois Diários e Um Azulejo_x000a_Afonso Cruz, Jorge Margarido, Luis Alvoeiro"/>
        <s v="Dois Irmãos_x000a_Ana Eliseu"/>
        <s v="Domesticada_x000a_Rodrigo Areias, Paulo Furtado"/>
        <s v="Douro, Faina Fluvial_x000a_Manoel de Oliveira"/>
        <s v="Down Here_x000a_Diogo Costa Amarante"/>
        <s v="Doze_x000a_Francisco Moura Relvas"/>
        <s v="Drawing (Myself) by Numbers_x000a_Patrícia Guerreiro"/>
        <s v="Dream Factory_x000a_Pedro Pinto"/>
        <s v="Drink!_x000a_Tiago Inácio"/>
        <s v="Duas Aranhas_x000a_Carlos Conceição"/>
        <s v="Duas Mulheres_x000a_João Mário Grilo"/>
        <s v="Dundo, Memória Colonial_x000a_Diana Andringa"/>
        <s v="Durante o Fim_x000a_João Trabulo"/>
        <s v="É na terra não é na lua_x000a_Gonçalo Tocha"/>
        <s v="E o Tempo Passa_x000a_Alberto Seixas Santos"/>
        <s v="E se…_x000a_Sandra Santos"/>
        <s v="Eden_x000a_Daniel Blaufuks"/>
        <s v="Edgar_x000a_João Palhares"/>
        <s v="Educar com Arte_x000a_Eduardo Costa"/>
        <s v="Electrodoc_x000a_Fábio Mota"/>
        <s v="Em Terra Frágil_x000a_Bruno Carnide"/>
        <s v="Em Trânsito - José Pedro Croft_x000a_Solveig Nordlund"/>
        <s v="Ema &amp; Gui_x000a_Nuno Beato"/>
        <s v="Ema &amp; Gui - Um Desenho_x000a_Nuno Beato"/>
        <s v="Embargado_x000a_Leandro Silva"/>
        <s v="Embargo_x000a_António Ferreira"/>
        <s v="Encadeados_x000a_Ana Delgado Martins"/>
        <s v="Encontro_x000a_Mariana Castro"/>
        <s v="Encontros_x000a_Pierre-Marie Goulet"/>
        <s v="Endless Title_x000a_Pedro Maia"/>
        <s v="Engine_x000a_Miguel Ildefonso"/>
        <s v="Ensinamentos para a Vida Adulta_x000a_Ernesto Bacalhau"/>
        <s v="Entre Línguas_x000a_Vanessa Vilaverde, João Aveledo, Eduardo Maragoto"/>
        <s v="Entre Muros_x000a_João Ribeiro, José Filipe Costa"/>
        <s v="Entre Nós_x000a_vários"/>
        <s v="Entremundos_x000a_Martin Dale"/>
        <s v="Entretanto_x000a_Miguel Gomes"/>
        <s v="Escadas_x000a_Ricardo Salgado"/>
        <s v="Escolhi_x000a_Sílvia Santos"/>
        <s v="Esquece tudo o que te disse_x000a_António Ferreira"/>
        <s v="Esquecimento_x000a_João Luz"/>
        <s v="Este país não é para super heróis_x000a_Tiago Marques, Vicenzo Notardo"/>
        <s v="Estória do Gato e da Lua_x000a_Pedro Serrazina"/>
        <s v="Estrada de Palha_x000a_Rodrigo Areias"/>
        <s v="Exercício nº 3_x000a_Isabel d'Escragnolle-Taunay"/>
        <s v="Exótica_x000a_Sérgio Cruz"/>
        <s v="Fado_x000a_João Costa Menezes"/>
        <s v="Fado Tonight_x000a_Henrique Barroso"/>
        <s v="Fado Vadio_x000a_Pedro Abib"/>
        <s v="Fado, História de uma Cantadeira_x000a_Perdigão Queiroga"/>
        <s v="Falamos de António Campos_x000a_Catarina Alves Costa"/>
        <s v="Falamos de Rio de Onor_x000a_António Campos"/>
        <s v="Fantasia Lusitana_x000a_João Canijo"/>
        <s v="Fascínio_x000a_José Fonseca e Costa"/>
        <s v="Feliz Aniversário_x000a_Jorge Cramez"/>
        <s v="Feliz Natal_x000a_Tatiana Duarte"/>
        <s v="Femina Series (9CM)_x000a_Paulo Furtado"/>
        <s v="Festival of the Boys_x000a_Pierre Primetens"/>
        <s v="Filme do Desassossego_x000a_João Botelho"/>
        <s v="Filomena_x000a_Júlio Lopes"/>
        <s v="Fim-de-semana_x000a_Cláudia Varejão"/>
        <s v="Fleurette_x000a_Sérgio Tréfaut"/>
        <s v="Foi na cidade do Sado_x000a_João Pires"/>
        <s v="For Plus X_x000a_Paulo Abreu"/>
        <s v="Fora da Lei_x000a_Leonor Areal"/>
        <s v="Força_x000a_Mário Monteiro"/>
        <s v="Forças Invisíveis_x000a_Pedro Sena Nunes"/>
        <s v="Fotograma 23_x000a_Victor Santos"/>
        <s v="Fox_x000a_Ricardo Marques"/>
        <s v="Foxy &amp; Meg_x000a_André Letria"/>
        <s v="Foxy &amp; Meg: Os Opostos_x000a_André Letria"/>
        <s v="Foxy &amp; Meg: Os Transportes_x000a_André Letria"/>
        <s v="Fragment der Lagune_x000a_André Medeiros Costa"/>
        <s v="Francesco Bronze_x000a_Quintinho Basto"/>
        <s v="Francisca_x000a_Manoel de Oliveira"/>
        <s v="Francisco Cappelle - como sempre fui_x000a_João Costa Menezes"/>
        <s v="Fratelli_x000a_Gabriel Abrantes, Alexandre Melo"/>
        <s v="Fresh Currency!_x000a_Luís Loureiro"/>
        <s v="Fuera de Cuadro_x000a_Mário Laranjeira"/>
        <s v="Fundamentações de Abril_x000a_Eduardo Pinto"/>
        <s v="Gabriel Abrantes: Retrato de Artista enquanto Jovem_x000a_Abílio Leitão"/>
        <s v="Ganhar a Vida_x000a_João Canijo"/>
        <s v="Gateiras_x000a_Ana Salvado, Tiago Matos"/>
        <s v="Gente da Praia da Vieira_x000a_António Campos"/>
        <s v="Gente de Fajãs_x000a_António José Saraiva"/>
        <s v="Gentes do Mar_x000a_Dânia Lucas"/>
        <s v="Gesto_x000a_António Borges Correia"/>
        <s v="Ginjas_x000a_Zepe, Humberto Santana"/>
        <s v="Ginjas - A Fotografia (Ep.14)_x000a_Zepe, Humberto Santana"/>
        <s v="Ginjas - Linha Curva (Ep.3)_x000a_Zepe, Humberto Santana"/>
        <s v="Ginjas - Submarino (Ep. 27)_x000a_Zepe, Humberto Santana"/>
        <s v="God is Everythere_x000a_Paulo Furtado"/>
        <s v="Golden Dawn_x000a_Salomé Lamas"/>
        <s v="Golias_x000a_Rodrigo Areias"/>
        <s v="Goodbye Alaska_x000a_Gonçalo Nascimento"/>
        <s v="Goodnight Irene_x000a_Paolo Marinou-Blanco"/>
        <s v="Grounded_x000a_Pierre-Marie Jézéquel"/>
        <s v="Guerra Civil_x000a_Pedro Caldas"/>
        <s v="Guisado de Galinha_x000a_Joana Toste"/>
        <s v="Guitarra com Gente lá Dentro_x000a_Edgar Pêra"/>
        <s v="Há Tourada na Aldeia_x000a_Pedro Sena Nunes"/>
        <s v="Hai Kai Diamante_x000a_André da Conceição Francioli"/>
        <s v="Hannah_x000a_Sérgio Cruz"/>
        <s v="Happy Day_x000a_Leandro Bento"/>
        <s v="Hepicat_x000a_Nuno Portugal"/>
        <s v="Herói e Vilão_x000a_Gustavo da Luz"/>
        <s v="HH &amp; the Makumba_x000a_André Cepeda"/>
        <s v="Hidden Portraits_x000a_Miguel Clara Vasconcelos"/>
        <s v="História de um Caramelo_x000a_Pedro Mota Teixeira"/>
        <s v="História Trágica com Final Feliz_x000a_Regina Pessoa"/>
        <s v="Histórias Selvagens_x000a_António Campos"/>
        <s v="Hoje, o Natal_x000a_Ricardo Marques"/>
        <s v="Holy Sin_x000a_André Mendes, João Pereira"/>
        <s v="Homenagem a quem não tem onde cair morto_x000a_Patrick Mendes"/>
        <s v="Hookit_x000a_Rik Goddard, Raquel Ruiz"/>
        <s v="Hope_x000a_Pedro Sena Nunes"/>
        <s v="Horror no Bairo Vermelho (Prólogo Documental)_x000a_Edgar Pêra"/>
        <s v="Hortas di Pobreza_x000a_Sara de Sousa"/>
        <s v="Humanos - A Vida em Variações_x000a_António Ferreira"/>
        <s v="Humilhados e Ofendidos_x000a_Dany Horiuchi, Salvador Palma"/>
        <s v="I just wanna know_x000a_Paulo Furtado"/>
        <s v="I know you can hear me_x000a_Miguel Fonseca"/>
        <s v="Iberiana_x000a_Filipe Araújo"/>
        <s v="Igualdade de Género_x000a_EPI"/>
        <s v="Il Serpentone_x000a_Paulo Furtado"/>
        <s v="Ilha_x000a_Mauro Amaral, Carlos Fraga"/>
        <s v="Ilha da Cova da Moura_x000a_Rui Simões"/>
        <s v="Imergir_x000a_Tito Fernandes"/>
        <s v="Impending Doom_x000a_Edgar Pêra"/>
        <s v="Incêndio_x000a_Miguel Seabra Lopes, Karen Akerman"/>
        <s v="Independência de Espírito_x000a_Marta Monteiro"/>
        <s v="Induction Day_x000a_Luís Loureiro"/>
        <s v="Infinito_x000a_André Santos, Marco Leão"/>
        <s v="Insert_x000a_Filipa César, Marco Martins"/>
        <s v="Inventário de Natal_x000a_Miguel Gomes"/>
        <s v="It's Moving_x000a_André Ruivo"/>
        <s v="J.A.C.E._x000a_Menelaos Karamaghiolis"/>
        <s v="Jaime_x000a_António Reis"/>
        <s v="Jantar em Lisboa_x000a_André Carrilho"/>
        <s v="Januário e a Guerra_x000a_André Ruivo"/>
        <s v="Jaula Humana_x000a_Franklin Pinho"/>
        <s v="Jibberland_x000a_Inês Machado"/>
        <s v="Jóias Negras do Império_x000a_Anabela Saint-Maurice"/>
        <s v="Jorge Salavisa - Keep Going_x000a_Marco Martins"/>
        <s v="José Carlos Schwartz - A Voz do Povo_x000a_Adulai Jamanca"/>
        <s v="José e Pilar_x000a_Miguel Gonçalves Mendes"/>
        <s v="Journey to the Sunflower Fields_x000a_Alexandre Siqueira"/>
        <s v="Julgamento_x000a_Leonel Vieira"/>
        <s v="Justino_x000a_Carlos Amaral"/>
        <s v="Juventude em Marcha_x000a_Pedro Costa"/>
        <s v="Kakuma_x000a_EDP"/>
        <s v="Kalimba_x000a_Guilherme Carvalho, Ismael Afonso"/>
        <s v="Kalkitos_x000a_Miguel Gomes"/>
        <s v="Keep on Dancing (Director's Cut)-X-Wife_x000a_André Tentúgal"/>
        <s v="Khoreia_x000a_Manuel Guerra"/>
        <s v="Kilas, o Mau da Fita_x000a_José Fonseca e Costa"/>
        <s v="Kino-Diaries and Cine-Portraits (Cork-Mix)_x000a_Edgar Pêra"/>
        <s v="Kinotel_x000a_Christine Reeh"/>
        <s v="Kiss Me_x000a_António da Cunha Telles"/>
        <s v="Kolá San Jon é Festa di Kau Berdi_x000a_Rui Simões"/>
        <s v="Kunta_x000a_Ângelo Torres"/>
        <s v="La ilusión te queda_x000a_Márcio Laranjeira, Francisco Lezama"/>
        <s v="Labirinto_x000a_Pedro Sena Nunes"/>
        <s v="Leid Fatal e o Cotão_x000a_Ana Rita Correia"/>
        <s v="Li Ké Terra_x000a_Filipa Reis, João Miller Guerra, Nuno Baptista"/>
        <s v="Liberdade_x000a_Gabriel Abrantes, Benjamin Crotty"/>
        <s v="Licínio de Azevedo - Crónicas de Moçambique_x000a_Margarida Cardoso"/>
        <s v="Life ain't enough for you_x000a_Paulo Furtado"/>
        <s v="Linha Vermelha_x000a_José Filipe Costa"/>
        <s v="Linhas de Sangue_x000a_Manuel Pureza, Sérgio Graciano"/>
        <s v="Lisboa Dentro_x000a_Muriel Jaquerod, Eduardo Saraiva Pereira"/>
        <s v="Lisboa Domiciliária_x000a_Marta Pessoa"/>
        <s v="Lisboa-Província_x000a_Susana Nobre"/>
        <s v="Lisboetas_x000a_Sérgio Tréfaut"/>
        <s v="Living in the Trees_x000a_Vitor Lopes"/>
        <s v="Longe de Mim_x000a_Nuno Matos"/>
        <s v="Longe no Tempo_x000a_Beatriz Tomaz"/>
        <s v="Loucura_x000a_João Costa Menezes"/>
        <s v="Lucifer_x000a_Agnelo Jesus"/>
        <s v="Lucy_x000a_Nuno Costa, Cristiano Van Zeller"/>
        <s v="Lumen_x000a_Nelson Camacho"/>
        <s v="Luta do Povo: A Alfabetização em Santa Catarina_x000a_Grupo Zero"/>
        <s v="Luz Teimosa_x000a_Luís Alves de Matos"/>
        <s v="Luzes, Câmara, Assalto_x000a_Fábio Veríssimo"/>
        <s v="Luzes, Câmara… Tortura!_x000a_Marco Barbosa, Ricardo Salgado"/>
        <s v="M.I.R.I.A.M._x000a_Orelha Negra, Alexandre Farto"/>
        <s v="Ma Femme Chamada Bicho_x000a_José Álvaro Morais"/>
        <s v="Mãe Fátima_x000a_Christine Reeh"/>
        <s v="Magiae Naturalis_x000a_Tiago Cravidão"/>
        <s v="Magic Art_x000a_Vítor Hugo Gouveia Freitas"/>
        <s v="Maiores de 65_x000a_Luís Margalhau, Daniela Migalho"/>
        <s v="Mal Nascida_x000a_João Canijo"/>
        <s v="Manhã Submersa_x000a_Lauro António"/>
        <s v="Manual de Evasão Lx 94_x000a_Edgar Pêra"/>
        <s v="Manuel na Ilha das Maravilhas_x000a_Raúl Ruiz"/>
        <s v="Margem Atlântica_x000a_Ariel de Bigault"/>
        <s v="Margem Neutra_x000a_Marco Amaral"/>
        <s v="Marginais_x000a_Hugo Diogo"/>
        <s v="Maria do Mar_x000a_Leitão de Barros"/>
        <s v="Maria Lucília Moita - Imenso Mundo de Dentro_x000a_Mariana Castro, Sílvio Santana"/>
        <s v="Mariana_x000a_Maria João Carvalho"/>
        <s v="Marie Laveau_x000a_João Costa"/>
        <s v="Mary_x000a_Pedro Maia"/>
        <s v="Máscara de Aço contra Abismo Azul_x000a_Paulo Rocha"/>
        <s v="Matança_x000a_André Laranjinha"/>
        <s v="Matar o Tempo_x000a_Margarida Leitão"/>
        <s v="Mates_x000a_António da Silva"/>
        <s v="Mátria do Vinho_x000a_Ken Payton"/>
        <s v="Maybe…_x000a_Pedro Resende"/>
        <s v="Meio Metro de Pedra_x000a_Eduardo Morais"/>
        <s v="Memória de Cão_x000a_João Morais Ribeiro"/>
        <s v="Memórias de Fogo_x000a_Frederico Miranda"/>
        <s v="Menos 9_x000a_Rita Nunes"/>
        <s v="Mercúrio_x000a_Sandro Aguilar"/>
        <s v="Mergulhos Madeira_x000a_Alzírio Henriques"/>
        <s v="Meu Deus, quando o Natal acaba?_x000a_André Lopes, Manuela Rúbia"/>
        <s v="Mi Vida en Tus Manos_x000a_Nuno Beato"/>
        <s v="Mia Couto_x000a_Joana Toste"/>
        <s v="Mia Mia Sudan Tamam Tamam_x000a_Luís Moya"/>
        <s v="Milho_x000a_José Barahona"/>
        <s v="Minas da Borralha_x000a_Fábio Oliveira, Luís Brandão, Teresa Pinto, Tiago Afonso"/>
        <s v="Minas de São Domingos_x000a_João Abecasis Fernandes"/>
        <s v="Mionga Ki ôbo - Mar e Selva_x000a_Ângelo Torres"/>
        <s v="Miss Mishima_x000a_Pedro Rocha"/>
        <s v="Mistérios de Lisboa_x000a_Raúl Ruiz"/>
        <s v="Moleiro_x000a_Rodrigo Lopo"/>
        <s v="Momentos_x000a_Nuno Rocha"/>
        <s v="Mondego_x000a_Daniel Pinheiro"/>
        <s v="Money can't buy Christmas_x000a_Angélica Antunes, Cláudia Matosa, Francisca Melo"/>
        <s v="Money comes to you_x000a_Patrício Faísca, Ruben Botelho"/>
        <s v="Morrer como um Homem_x000a_João Pedro Rodrigues"/>
        <s v="Mortinho por Chegar a Casa_x000a_Carlos da Silva, George Sluizer"/>
        <s v="Movimentos pendulares_x000a_Luís Aniceto"/>
        <s v="Movimentos Perpétuos - Cine-tributo a Carlos Paredes_x000a_Edgar Pêra"/>
        <s v="Mr. Cat_x000a_Estrela Lourenço, Tatiana Serôdio"/>
        <s v="Mudar de Vida_x000a_Paulo Rocha"/>
        <s v="Muito Além_x000a_Mário Gomes"/>
        <s v="Muitos dias tem o mês_x000a_Margarida Leitão"/>
        <s v="Mulher Sombra_x000a_Joana Imaginário"/>
        <s v="Mulheres da Raia_x000a_Diana Gonçalves"/>
        <s v="Mulheres, bah!_x000a_João Costa Menezes"/>
        <s v="Musicbox Clubdocs: Dead Combo, Diabo na Cruz, Dj Ride, Linda Martini, Pop dell'Arte_x000a_Paulo Prazeres"/>
        <s v="Mutter_x000a_Tony Costa, Rafael Martins"/>
        <s v="Muvart_x000a_José Augusto Nhantumbo"/>
        <s v="Muzar_x000a_Pedro Pinto"/>
        <s v="My Music_x000a_Tiago Albuquerque, João Braz"/>
        <s v="My Stomach_x000a_Rodrigo Areias"/>
        <s v="Na escola_x000a_Jorge Cramez"/>
        <s v="Na esteira de Egas Moniz_x000a_Rui Pinto de Almeida"/>
        <s v="Na Teia do Polvo_x000a_José Meireles"/>
        <s v="Natália, A Diva Tragicómica_x000a_João Gomes"/>
        <s v="Natural Intervenção_x000a_Tiago Cerqueira"/>
        <s v="Natureza Morta_x000a_Susana de Sousa Dias"/>
        <s v="Naufrágio_x000a_Flávio Pires"/>
        <s v="Nêgo_x000a_Marcelo Coutinho"/>
        <s v="Never meant to be_x000a_João Garcia Costa"/>
        <s v="Nha Fala_x000a_Flora Gomes"/>
        <s v="Ninguém_x000a_Pedro Peralta"/>
        <s v="No dia em que…morreu Sá Carneiro_x000a_José Carlos de Oliveira"/>
        <s v="No jardim do Mundo_x000a_Maya Rosa"/>
        <s v="No Way to Leave in a Sunday Night_x000a_Paulo Furtado"/>
        <s v="Noall &amp; Curios_x000a_Rik Goddard"/>
        <s v="Nocturno_x000a_João Nisa"/>
        <s v="Nocturnos_x000a_Aya Koretzky, Rodrigo Barros"/>
        <s v="Noiserv - Sessão Dupla_x000a_Paulo Dias"/>
        <s v="Noite Escura_x000a_João Canijo"/>
        <s v="Noite Fria em Castelo Branco_x000a_Luís Diogo"/>
        <s v="Noite Gélida em Castelo Branco_x000a_Luís Diogo"/>
        <s v="Noites Perfeitas_x000a_Irina Calado"/>
        <s v="North Atlantic_x000a_Bernardo Nascimento"/>
        <s v="Nôs terra_x000a_Ana Tica, Nuno Pedro, Toni Polo"/>
        <s v="Novelo de Lã_x000a_Mónica Ferreira"/>
        <s v="Nshajo (O Jogo)_x000a_Raquel Schefer"/>
        <s v="Nuvem_x000a_Basil da Cunha"/>
        <s v="O Acidente_x000a_André Marques"/>
        <s v="O Amor acontece_x000a_João Manso"/>
        <s v="O Amor é a solução para a falta de argumento_x000a_Jorge Quintela"/>
        <s v="O Anjo da Guarda_x000a_Margarida GIl"/>
        <s v="O Ás de Espadas_x000a_Bruno António Fonseca Rosa"/>
        <s v="O Banquete_x000a_Albano Fernandes, Tiago Silva, Victor Carvalho"/>
        <s v="O Barão_x000a_Edgar Pêra"/>
        <s v="O Belo Adormecido_x000a_Colectivo de Jovens do 12º Ano AV1 e AV2 da Escola Secundária/3 José Régio, Vila do Conde "/>
        <s v="O Bobo_x000a_José Álvaro Morais"/>
        <s v="O Caminho de Salomão_x000a_Miguel Gonçalves Mendes"/>
        <s v="O Caminho Perdido_x000a_Teresa Garcia"/>
        <s v="O Cerco_x000a_António da Cunha Telles"/>
        <s v="O Circo_x000a_Colectivo de Crianças da Escola EB 2,3 Professor Doutor Egas Moniz, Avanca"/>
        <s v="O Concurso_x000a_Helena Duarte, Ângela Antunes"/>
        <s v="O Cônsul de Bordéus_x000a_Francisco Manso, João Corrêa"/>
        <s v="O Convento_x000a_Manoel de Oliveira"/>
        <s v="O Costa do Castelo_x000a_Arthur Duarte"/>
        <s v="O Despertar da Primavera_x000a_Paulo César Fajardo"/>
        <s v="O Dia do Desassossego_x000a_Ricardo Feio"/>
        <s v="O Estrangeiro_x000a_Ivo M. Ferreira"/>
        <s v="O Estranho Caso de Angélica_x000a_Manoel de Oliveira"/>
        <s v="O Fantasma_x000a_João Pedro Rodrigues"/>
        <s v="O Fatalista_x000a_João Botelho"/>
        <s v="O Gato_x000a_Bernardo Ferreira, João Teixeira"/>
        <s v="O Gotejar da Luz_x000a_Fernando Vendrell"/>
        <s v="O Grande Elias_x000a_Arthur Duarte"/>
        <s v="O Guardador de Rebanhos_x000a_Edgar Feldman"/>
        <s v="O Herói_x000a_ZéZé Gamboa"/>
        <s v="O Homem da Cabeça de Papelão_x000a_Luís da Matta Almeida, Pedro Lino"/>
        <s v="O Inferno_x000a_Carlos Conceição"/>
        <s v="O Inimigo sem Rosto_x000a_José Farinha"/>
        <s v="O Jardim do Outro Homem_x000a_Sol de Carvalho"/>
        <s v="O Jogo_x000a_Júlio Alves"/>
        <s v="O Lápis_x000a_Danilo Nascimento"/>
        <s v="O Leão da Estrela_x000a_Arthur Duarte"/>
        <s v="O Manuscrito Perdido_x000a_José Barahona"/>
        <s v="O Meu Alien (Segmento 1)_x000a_Carlos Conceição"/>
        <s v="O Meu Alien (Segmento 2)_x000a_Carlos Conceição"/>
        <s v="O meu amigo Mike ao Trabalho_x000a_Fernando Lopes"/>
        <s v="O meu café contigo_x000a_George Felner, Liliana Brandão"/>
        <s v="O Milagre_x000a_Amadeu Pena da Silva"/>
        <s v="O Mistério da Estrada de Sintra_x000a_Jorge Paixão da Costa"/>
        <s v="O Movimento das Coisas_x000a_Manuela Serra"/>
        <s v="O Nosso Homem_x000a_Pedro Costa"/>
        <s v="O Pai Natal_x000a_José Oliveira"/>
        <s v="O Passado e o Pesente_x000a_Manoel de Oliveira"/>
        <s v="O Pátio das Cantigas_x000a_Francisco Lopes Ribeiro"/>
        <s v="O Pessoal do Pico toma conta disso_x000a_Rodrigo Lacerda, Rita Alcaire"/>
        <s v="O que há de novo no amor?_x000a_vários"/>
        <s v="O Rei das Berlengas_x000a_Artur Semedo"/>
        <s v="O Rei sem Coroa - Fernando Maurício_x000a_Diogo Varela Silva"/>
        <s v="O Relógio de Tomás_x000a_Cláudio Sá"/>
        <s v="O Rio do Ouro_x000a_Paulo Rocha"/>
        <s v="O Risco_x000a_José Pedro Lopes"/>
        <s v="O Sapateiro_x000a_David Doutel, Vasco Sá"/>
        <s v="O Senhor Valéry_x000a_Rui António"/>
        <s v="O Serial Killer_x000a_João Costa Menezes"/>
        <s v="O Sítio dos Outros_x000a_Filipe Martins"/>
        <s v="O Tenente_x000a_Rafael A. Martins"/>
        <s v="O teu sapato_x000a_João Seiça"/>
        <s v="O Toque da Gaita de Foles_x000a_Luís Margalhau"/>
        <s v="O Último Mergulho_x000a_João César Monteiro"/>
        <s v="O último vôo do flamingo_x000a_João Ribeiro"/>
        <s v="O Vento que passa_x000a_Diogo Costa Amarante"/>
        <s v="O Verão_x000a_João Dias"/>
        <s v="O Vôo da Papoila_x000a_Nuno Portugal"/>
        <s v="Ode Difícil_x000a_Pedro Mota Tavares"/>
        <s v="Off Balance_x000a_Edgar Santinhos, João Biscaia"/>
        <s v="Oh, Lisboa, meu lar_x000a_João Botelho"/>
        <s v="Olha para mim_x000a_Paulo Alexandre Mota"/>
        <s v="Olívia_x000a_Eduarda Pinto"/>
        <s v="Olympia I e II_x000a_Gabriel Abrantes, Kati Widloski"/>
        <s v="On 4 Wheels_x000a_Bruno Cabral"/>
        <s v="On the Road to Femina_x000a_Jorge Quintela"/>
        <s v="Ordena que te ame_x000a_Carlos Conceição"/>
        <s v="Ordo_x000a_Laurence Ferreira Barbosa"/>
        <s v="Orlando Ribeiro, Itinerância de um Geógrafo_x000a_António João Saraiva, Manuel Carvalho Gomes"/>
        <s v="Os Esquecidos_x000a_Pedro Neves"/>
        <s v="Os Imortais_x000a_António-Pedro Vasconcelos"/>
        <s v="Os Lobos_x000a_Rino Lupo"/>
        <s v="Os Milionários_x000a_Mário Gajo de Carvalho"/>
        <s v="Os Mutantes_x000a_Teresa Villaverde"/>
        <s v="Os Olhos do Farol_x000a_Pedro Serrazina"/>
        <s v="Os Túneis da Realidade_x000a_Edgar Pêra"/>
        <s v="Os Últimos Dias_x000a_Francisco Manuel Sousa"/>
        <s v="Os Verdes Anos_x000a_Paulo Rocha"/>
        <s v="Ossudo_x000a_Júlio Alves"/>
        <s v="Où gît votre sourire enfoui?_x000a_Pedro Costa"/>
        <s v="Outras Frases_x000a_Jorge António"/>
        <s v="Outro País: Memórias, Sonhos, Ilusões... Portugal 1974/1975_x000a_Sérgio Tréfaut"/>
        <s v="Outside_x000a_Sérgio Cruz"/>
        <s v="Padre Motard_x000a_Nani Glock"/>
        <s v="Painéis de São Vicente de Fora, Visão Poética_x000a_Manoel de Oliveira"/>
        <s v="Palácios de Pena_x000a_Gabriel Abrantes, Daniel Schmidt"/>
        <s v="Palavras Prenhas Animadas-Um Olhar Livres sobre a Polírica_x000a_António Galrinho"/>
        <s v="Para Mover o Domingo_x000a_Júnio Ratts"/>
        <s v="Pare, Escute e Olhe_x000a_Jorge Pelicano"/>
        <s v="Parte de Mim_x000a_Margarida Leitão"/>
        <s v="Parto_x000a_António Borges Correia"/>
        <s v="Part-time Queen_x000a_Ricardo Braga Silva, Fábio Guerreiro"/>
        <s v="Passara_x000a_Grégoire Fabvre"/>
        <s v="Pássaro Exótico_x000a_Inês Portugal"/>
        <s v="Pássaros_x000a_Filipe Abranches"/>
        <s v="Passeio de Domingo_x000a_José Miguel Ribeiro"/>
        <s v="Patinhos: Os Bichos_x000a_Rui Cardoso"/>
        <s v="Pedido de Emprego_x000a_Pedro Caldas"/>
        <s v="Peixe Azul_x000a_Tiago Rosa-Rosso"/>
        <s v="Peixe-Lua_x000a_José Álvaro Morais"/>
        <s v="Pelas Sombras_x000a_Catarina Mourão"/>
        <s v="Pele_x000a_Fernando Vendrell"/>
        <s v="Perdido e Achado_x000a_Victor Santos"/>
        <s v="Photomaton - Retrato de João dos Santos_x000a_Sofia Ponte, Tiago Pereira"/>
        <s v="Photophobia_x000a_Paulo Abreu"/>
        <s v="Pickpocket_x000a_João Figueiras"/>
        <s v="Píton_x000a_André Guiomar"/>
        <s v="Planeta Adormecido_x000a_José Manuel Abrantes, Lígia Ribeiro, Luciano Ottani"/>
        <s v="Poeticamente Exausto, Verticalmente Só_x000a_Luísa Marinho"/>
        <s v="Poligrad_x000a_Rui Silveira"/>
        <s v="Por aqui tudo bem_x000a_Pocas Pascoal"/>
        <s v="Porque já passava das 20_x000a_Bernardo Antero"/>
        <s v="Porto, 1975_x000a_Filipa César"/>
        <s v="Post it_x000a_Regina Gonçalves"/>
        <s v="Praxis_x000a_Bruno Cabral"/>
        <s v="Presente_x000a_Teresa Magalhães, Luísa Alvão"/>
        <s v="Primeiro Passo_x000a_Dulcelina Moreno"/>
        <s v="Princess_x000a_Fábio Alexandre Gonçalves Carvalho"/>
        <s v="Projecto Eiffel_x000a_João Pedro Borrego Caleira"/>
        <s v="Promenade of South First St._x000a_Paulo Furtado"/>
        <s v="Promo Discoteca Vespas_x000a_Ana Gomes"/>
        <s v="Promo Restart_x000a_Ana Gomes"/>
        <s v="Promo Restart 2010_x000a_Tiago Simões"/>
        <s v="Punk is not Daddy_x000a_Edgar Pêra"/>
        <s v="Purgatório_x000a_Miguel Rafael"/>
        <s v="Purgatório_x000a_João Filipe Silva, Pedo Miguel Silva"/>
        <s v="Putos_x000a_Renata Barretto"/>
        <s v="Quando os Monstros se vão embora_x000a_Bernardo Gramaxo"/>
        <s v="Quando Troveja_x000a_Manuel Mozos"/>
        <s v="Quaresma_x000a_José Álvaro Morais"/>
        <s v="Que desejas este Natal?_x000a_Liliana Cunha"/>
        <s v="Que farei eu com esta espada?_x000a_João César Monteiro"/>
        <s v="Quem é este chapéu?_x000a_Joana Toste"/>
        <s v="Quem vai à guerra_x000a_Marta Pessoa"/>
        <s v="Quero ser uma Estrela_x000a_José Carlos de Oliveira"/>
        <s v="Quinze Pontos na Alma_x000a_Vicente Alves do Ó"/>
        <s v="Quote Story_x000a_Raquel Martins"/>
        <s v="Rapace_x000a_João Nicolau"/>
        <s v="Rapariga eléctrica - tens de sair_x000a_João Costa Menezes"/>
        <s v="Rasganço_x000a_Raquel Freire"/>
        <s v="Rebebéu, Pardais ao Ninho_x000a_Vanessa Namora Caeiro"/>
        <s v="Recordações da Casa Amarela_x000a_João César Monteiro"/>
        <s v="Remains_x000a_Sandro Aguilar"/>
        <s v="Remember my Dream_x000a_João Costa Menezes"/>
        <s v="Rememorações_x000a_José Coimbra, Tiago Guimarães"/>
        <s v="Respirar Debaixo d'Água_x000a_António Ferreira"/>
        <s v="Restart_x000a_José Piteira"/>
        <s v="Retornos_x000a_Luis Avilés Baquero"/>
        <s v="Retrato_x000a_Rita Matos, Nuno Costa"/>
        <s v="Retratos: Portugal e os Portugueses vistos pelos Imigrantes_x000a_Luísa Homem"/>
        <s v="Revolução_x000a_Ana Hatherly"/>
        <s v="Ricardo Rangel - Ferro em Brasa_x000a_Licínio Azevedo"/>
        <s v="Rio Turvo_x000a_Edgar Pêra"/>
        <s v="Rio Vermelho_x000a_Raquel Freire"/>
        <s v="Roncos do Diabo_x000a_Tiago Soares"/>
        <s v="Rosa de Areia_x000a_António Reis, Margarida Cordeiro"/>
        <s v="Royal Cabaret_x000a_Bruno de Almeida"/>
        <s v="Ruas da Amargura_x000a_Rui Simões"/>
        <s v="Ruínas_x000a_Manuel Mozos"/>
        <s v="R-XYZ_x000a_Joana Toste"/>
        <s v="S/ Título_x000a_João Onofre"/>
        <s v="S9 - David Grachat_x000a_Felippe Gonçalves"/>
        <s v="Sala Escura_x000a_António Guedes, Marco Carvalho"/>
        <s v="Salazar- A Vida Privada_x000a_Jorge Queiroga"/>
        <s v="Saltinho a Madrid_x000a_Luís da Matta Almeida, Pedro Lino"/>
        <s v="Samurai_x000a_Marta Silva"/>
        <s v="Sangue do Meu Sangue_x000a_João Canijo"/>
        <s v="Santos da Casa_x000a_Maio Afonso, Tiago Afonso"/>
        <s v="Schogetten_x000a_André Marques"/>
        <s v="Selo ou não Sê-lo_x000a_Isabel Aboim Inglez"/>
        <s v="Sem Companhia_x000a_João Trabulo"/>
        <s v="Sem Dúvida, Amanhã_x000a_Pedro Brito"/>
        <s v="Sem Ela_x000a_Anna da Palma"/>
        <s v="Sem Movimento_x000a_Sandro Aguilar"/>
        <s v="Sem querer_x000a_João Fazenda"/>
        <s v="Sem Título _x000a_Nelson Camacho"/>
        <s v="Semente do Ouro Negro_x000a_Carlos Barreto"/>
        <s v="Sem-Título 3_x000a_Vincent Lefort"/>
        <s v="Send a message to yourself in 2011 and 2020_x000a_vários"/>
        <s v="Senhor X_x000a_Gonçalo Galvão Teles"/>
        <s v="Setúbal, Cidade Verde_x000a_Helena de Sousa Freitas"/>
        <s v="Setúbal, uma Galinha que não Canta_x000a_António Aleixo, Fábio Vicente"/>
        <s v="Shoot Me_x000a_André Badalo"/>
        <s v="Should the Wife Confess?_x000a_Bernardo Camisão"/>
        <s v="Significado - A Música Portuguesa se gostasse dela própria_x000a_Tiago Pereira"/>
        <s v="Sinfonia dos Loucos_x000a_Vasco Mendes"/>
        <s v="Sinfonia Imaterial_x000a_Tiago Pereira"/>
        <s v="Singularidades de uma Rapariga Loira_x000a_Manoel de Oliveira"/>
        <s v="Skynet_x000a_Ricardo Marques"/>
        <s v="Smolik_x000a_Cristiano Mourato"/>
        <s v="Snack-bar Aquário_x000a_Sérgio da Costa"/>
        <s v="Sobre Vivência_x000a_João Azevedo, Luís Lobo"/>
        <s v="Soldier playing with Dead Lizard_x000a_Daniel Barroca"/>
        <s v="Sombras_x000a_Nuno Dias"/>
        <s v="Sonhando a Cores_x000a_Gil Gelpi"/>
        <s v="Sonho de Verão_x000a_Paulo César Fajardo"/>
        <s v="Sou porque sonho_x000a_Ricardo Sousa"/>
        <s v="Space Cat_x000a_Cindy de Sousa"/>
        <s v="Strokkur_x000a_João Salaviza"/>
        <s v="Stuart_x000a_Zepe"/>
        <s v="Submersa_x000a_Alexia Fernandes"/>
        <s v="Suicídio Encomendado_x000a_Artur Serra Araújo"/>
        <s v="Sunglasses after Dark_x000a_Paulo Furtado"/>
        <s v="Survivalismo_x000a_José Pedro Lopes"/>
        <s v="Swagatam_x000a_Catarina Alves Costa"/>
        <s v="Swans_x000a_Hugo Vieira da Silva"/>
        <s v="Tanque L R_x000a_Fernando Jorge Correia Lalanda Sebastião"/>
        <s v="Tarde Demais_x000a_José Nascimento"/>
        <s v="Tarik_x000a_Emanuel Lopes"/>
        <s v="Tarrafal - Memórias do campo da morte lenta_x000a_Diana Andringa"/>
        <s v="Teatro de Sonhos_x000a_Rui Simões"/>
        <s v="Teimosia_x000a_Mónica Ferreira"/>
        <s v="Tejo_x000a_Henrique Pina"/>
        <s v="Temperar a Gosto_x000a_Susana Neves"/>
        <s v="Tempos Difíceis_x000a_João Botelho"/>
        <s v="Terapia do Bandido_x000a_Bruno Miguel Resende, Fátima Vale"/>
        <s v="Terra Estrangeira_x000a_Walter Salles"/>
        <s v="Terra Longe_x000a_Daniel Thorbeke"/>
        <s v="Terra Sonâmbula_x000a_Teresa Prata"/>
        <s v="Terrakota no Topo do Mundo - Diário de uma Viagem aos Himalaias_x000a_Pedro Coquenão"/>
        <s v="Terramoto de 1980 - Evacuação da Fajã da Caldeira de Santo Cristo_x000a_Paulo Henrique Silva"/>
        <s v="Territórios_x000a_Mónica Baptista"/>
        <s v="The Castle is Closed for Repair_x000a_Paulo Furtado"/>
        <s v="The Christmas Tree_x000a_Tatiana Ferreira, Miguel Geraldes"/>
        <s v="The Entrance_x000a_Pedro Lucas Freire"/>
        <s v="The Footstep_x000a_André Silva, Hugo A. Lobo"/>
        <s v="The Lovebirds_x000a_Bruno de Almeida"/>
        <s v="The Sound of Silence_x000a_Gonçalo Almeida"/>
        <s v="They Shoot Crows… don't they?_x000a_Joana Filipa Sá"/>
        <s v="Tiger Trip_x000a_Jorge Quintela"/>
        <s v="Time is on my Side_x000a_Vítor Lopes"/>
        <s v="Timor: Unfinished Journeys_x000a_Rui Nunes"/>
        <s v="Tio Rui_x000a_Mário Macedo"/>
        <s v="Todos os Gajos têm um Tio Maluco_x000a_Afonso Cruz"/>
        <s v="Todos os Passos_x000a_Nuno Amorim"/>
        <s v="Tony_x000a_Bruno Lourenço"/>
        <s v="Torre Bela_x000a_Thomas Harlan"/>
        <s v="Trabalho de Actriz, Trabalho de Actor_x000a_João Canijo"/>
        <s v="Trabalho do Corpo_x000a_Nuno Amorim"/>
        <s v="Traces of a Diary_x000a_André Príncipe, Marco Martins"/>
        <s v="Transe_x000a_Teresa Villaverde"/>
        <s v="Trash TV_x000a_Rodolfo Rodrigues"/>
        <s v="Trás-os-Montes_x000a_António Reis, Margarida Cordeiro"/>
        <s v="Três Irmãos_x000a_Teresa Villaverde"/>
        <s v="Três Palmeiras_x000a_João Botelho"/>
        <s v="Tua - ver o que se passa_x000a_Carlos Bartilotti"/>
        <s v="Turno da Noite - Último Assalto_x000a_Carlos Fernandes"/>
        <s v="Um Adeus Português_x000a_João Botelho"/>
        <s v="Um Amor de Perdição_x000a_Mário Barroso"/>
        <s v="Um Bando de Passarinhos_x000a_Carlos Fernandes"/>
        <s v="Um Conto de Natal_x000a_Sérgio Oliveira"/>
        <s v="Um Dia como os outros_x000a_Pedro Almeida"/>
        <s v="Um Dia Frio_x000a_Cláudia Varejão"/>
        <s v="Um Dia Longo_x000a_Sérgio Graciano"/>
        <s v="Um Filme Extraordinário_x000a_Edgar Pêra"/>
        <s v="Um Filme Falado_x000a_Manoel de Oliveira"/>
        <s v="Um Filme Português_x000a_vários"/>
        <s v="Um Funeral à Chuva_x000a_Telmo Martins"/>
        <s v="Um Gato sem Nome_x000a_Carlos Cruz (Charlie Blue)"/>
        <s v="Um Gesto de Amor_x000a_Diogo Andrade"/>
        <s v="Um Natal Especial_x000a_João Azevedo, Rafael A. Martins"/>
        <s v="Um Passo, outro Passo e Depois…_x000a_Manuel Mozos"/>
        <s v="Um Roupão Vermelho Sangue_x000a_Pedro Caldas"/>
        <s v="Um Ser Literário_x000a_Levi Martins"/>
        <s v="Um Tesoiro_x000a_António Campos"/>
        <s v="Uma Abelha na Chuva_x000a_Fernando Lopes"/>
        <s v="Uma na Bravo outra na Ditadura_x000a_André Valentim Almeida"/>
        <s v="Uma Noite Ao Acaso_x000a_Vítor Candeias"/>
        <s v="Universo de Mya_x000a_Miguel Clara Vasconcelos"/>
        <s v="Ursas Menores_x000a_Regina Guimarães"/>
        <s v="Vacas_x000a_Isabel Aboim Inglez"/>
        <s v="Vai e Vem_x000a_João César Monteiro"/>
        <s v="Vai tudo de cana_x000a_Crianças das Oficinas da ANILUPA"/>
        <s v="Vale Abraão_x000a_Manoel de Oliveira"/>
        <s v="Vamos cantar_x000a_Vitor Lopes, Carlos Cruz (Charlie Blue)"/>
        <s v="Vendedor de Sonhos_x000a_António Lopes"/>
        <s v="Verão 77_x000a_Adriano Mendes"/>
        <s v="Veredas_x000a_João César Monteiro"/>
        <s v="Verónica_x000a_António Gonçalves, Ricardo Oliveira"/>
        <s v="Via de Acesso_x000a_Nathalie Mansoux"/>
        <s v="Viagem a Cabo Verde_x000a_José Miguel Ribeiro"/>
        <s v="Viagem a Portugal_x000a_Sérgio Tréfaut"/>
        <s v="Viagem ao Coração do Douro, a terra onde nasci_x000a_João Botelho"/>
        <s v="Viagem ao Princípio do Mundo_x000a_Manoel de Oliveira"/>
        <s v="Viagem até Casa_x000a_Bárbara Veiga"/>
        <s v="Vibratum Vitae_x000a_Pedro Barão"/>
        <s v="Vicky &amp; Sam_x000a_Nuno Rocha"/>
        <s v="Vilarinho das Furnas_x000a_António Campos"/>
        <s v="Vinho 8_x000a_Cristina Amaro"/>
        <s v="Vintage_x000a_José Azevedo"/>
        <s v="Visionary Iraq_x000a_Gabriel Abrantes, Benjamin Crotty"/>
        <s v="Visualizing Empires Decline_x000a_Pedro Miguel Cruz"/>
        <s v="Voodoo_x000a_Sandro Aguilar"/>
        <s v="Voragem_x000a_Rui Cardoso"/>
        <s v="Vou dar-te aquilo que queres_x000a_Afonso Cruz"/>
        <s v="Vozes desde Moçambique_x000a_Susana Guardiola, Françoise Polo"/>
        <s v="Wakasa_x000a_José Manuel Fernandes"/>
        <s v="Weakest Part_x000a_Bernardo Gomes de Almeida"/>
        <s v="Welcome_x000a_Francisco Lobo"/>
        <s v="Wild Brunch_x000a_Paulo Furtado"/>
        <s v="Women don't play trumpet_x000a_Ângelo Gonzalez"/>
        <s v="Xavier_x000a_Manuel Mozos"/>
        <s v="Yama No Anata - Para além das Montanhas_x000a_Aya Koretzky"/>
        <s v="Zé da Guiné: Crónica dum Africano em Lisboa_x000a_José Manuel S. Lopes"/>
        <s v="Zé e o Pinguim_x000a_Francisco Lança"/>
        <s v="Zé Pimpão, o Acelera_x000a_André Letria"/>
        <s v="Zéfiro_x000a_José Álvaro Morais"/>
        <s v="Zero_x000a_João Costa Menezes"/>
        <s v="Zoo_x000a_Margarida Leitão"/>
        <s v="Zuca_x000a_Afonso Cruz"/>
        <s v="18_x000a_João Pereira"/>
        <s v="240_x000a_André Jesus"/>
        <s v="1/1_x000a_Sara Graça, Mariya Nesvyetaylo"/>
        <s v="#3 Rotten_x000a_Pedro Ferreira"/>
        <s v="&amp; ETC_x000a_Cláudia Clemente"/>
        <s v="(In)sanidade_x000a_Isabel Pina"/>
        <s v="(ir)real_x000a_Sara Pereira"/>
        <s v="[REC]_x000a_Sara Brysch"/>
        <s v="1 Rosa, 4 Espinhos_x000a_João Garcia"/>
        <s v="1+3 Histórias_x000a_Rui António"/>
        <s v="11 Burros Caem no Estômago Vazio_x000a_Tiago Pereira"/>
        <s v="13 Fragmentogramas_x000a_Mário Ventura"/>
        <s v="15 Bilhões de Fatias de (-t)+ Deus_x000a_Cláudio Jordão"/>
        <s v="1ª vez 16mm_x000a_Rui Goulart"/>
        <s v="20X3=0_x000a_Andrea Gomez, Didac Gilabert, Teresa Santos"/>
        <s v="2P2R_x000a_Filipe Afonso"/>
        <s v="30 Days without Surfing_x000a_The Driftwood Collective"/>
        <s v="4 Estações sobre o Monsanto_x000a_Sérgio Guerreiro"/>
        <s v="50 Pesos Argentinos_x000a_Manuel Bernardo Cabral"/>
        <s v="60 Anos do Cinema São Jorge_x000a_Ana Zilhão"/>
        <s v="98 Octanas_x000a_Fernando Lopes"/>
        <s v="A Açorda de Alho_x000a_Gonçalo Pôla"/>
        <s v="A Balada do Mocho_x000a_Francisco Baptista, jovens da Quinta do Mocho"/>
        <s v="A Bruxa de Arroios_x000a_Manuel Pureza"/>
        <s v="A Cabine_x000a_Paulo Neves"/>
        <s v="A Caixa_x000a_Manoel de Oliveira"/>
        <s v="A Can of Worms_x000a_Vitor Lopes"/>
        <s v="A Cara que mereces_x000a_Miguel Gomes"/>
        <s v="A Carta_x000a_Jacinta Barreto"/>
        <s v="A Casa_x000a_Júlio Alves"/>
        <s v="A Casa Azul_x000a_Cláudia Clemente"/>
        <s v="A Casa do Lado_x000a_Luís Urbano"/>
        <s v="A Casa que Eu Quero_x000a_Raquel Marques , Joana Frazão"/>
        <s v="A Cidade e o Sol_x000a_Leonor Noivo"/>
        <s v="A Cidade onde Moro_x000a_Pedro Ferreira, Samanta Correia"/>
        <s v="A Cidade Respira_x000a_Gonçalo Cardeira"/>
        <s v="A Clockwork Orange_x000a_Bruno Duarte"/>
        <s v="A Colecção_x000a_Ana Luísa Santos, Maria João Neves, Sofia Miranda"/>
        <s v="A Comédia de Deus_x000a_João César Monteiro"/>
        <s v="A Comunidade_x000a_Salomé Lamas"/>
        <s v="A Corda do Relógio_x000a_Alexandre Carreira, Pedro Carvalho, Tânia Prates"/>
        <s v="A Dança das Pétalas_x000a_Diogo Alexandre"/>
        <s v="A Dança dos Flamingos_x000a_Luís Albuquerque"/>
        <s v="A Decisão_x000a_Eduardo Teixeira"/>
        <s v="A Demanda_x000a_Gustavo Fonseca, Hugo Gonçalves, Juca Lordello, Maurício Teixeira, Pedro Polónio"/>
        <s v="A Dream of Passion_x000a_André Miranda"/>
        <s v="A Energia na Terra chega para Todos. Basta partilhá-la!_x000a_José Miguel Ribeiro"/>
        <s v="A Escolha_x000a_Vários"/>
        <s v="A Espiral da Morte dos Operários-Formiga_x000a_Francisco Marvão, Ana Cabaça"/>
        <s v="A Estrada para Mazgani_x000a_Rui Tendinha"/>
        <s v="A Estrela Mais Brilhante_x000a_André Matos, Joana Santos"/>
        <s v="A Ferida_x000a_Margarida Leitão"/>
        <s v="A Fuga_x000a_Henrique Prudêncio"/>
        <s v="A Garrafa_x000a_André Rosado"/>
        <s v="A Grande Inundação_x000a_Pedro de Sousa Pereira"/>
        <s v="A Ilha da Boa Vida_x000a_Mercês Tomaz Gomes"/>
        <s v="A Luz da Terra Antiga_x000a_Luís Oliveira Santos"/>
        <s v="A Menina que tinha medo do escuro_x000a_Marta Andrade"/>
        <s v="A Mesa Ferida_x000a_Marcos Barbosa"/>
        <s v="A Minha Banda e Eu_x000a_Inês Gonçalves, Kiluanje Liberdade"/>
        <s v="A Minha Rua_x000a_Diogo Varela Silva"/>
        <s v="A Moral Conjugal_x000a_Artur Serra Araújo"/>
        <s v="A Morte de Tchaikovsky_x000a_Nuno Félix"/>
        <s v="A Nau Catrineta_x000a_Artur Correia"/>
        <s v="A New Page_x000a_Francisco Neffe"/>
        <s v="A Noite_x000a_Regina Pessoa"/>
        <s v="A Noite saíu à Rua_x000a_Abi Feijó"/>
        <s v="A Noiva_x000a_Ana Almeida"/>
        <s v="A Olhar para Cima_x000a_João Figueiras"/>
        <s v="A Praia_x000a_Paulo Couto"/>
        <s v="A Prece_x000a_Raphael Amaral, Cátia Pereira, Susana Palmerston"/>
        <s v="A Quinta Essência_x000a_vários - Escola Antero de Quental"/>
        <s v="A Raia_x000a_Iván Castiñeiras Gallego"/>
        <s v="A Rapariga da Máquina de Filmar_x000a_André Vieira"/>
        <s v="A Rapariga de Cabelo Vermelho_x000a_Catherine Boutaud"/>
        <s v="A Rebelião das Tílias_x000a_Pedro Pais Correia"/>
        <s v="A Rua da Estrada_x000a_Graça Castanheira"/>
        <s v="A Teia de Gelo_x000a_Nicolau Breyner"/>
        <s v="A Tempestade_x000a_Teresa Garcia"/>
        <s v="A tua Sorte está no Papo_x000a_Vários"/>
        <s v="A última sessão_x000a_Diego Ramalho, Gonçalo Costa"/>
        <s v="A última vez que vi Macau_x000a_João Pedro Rodrigues, João Rui Guerra da Mata"/>
        <s v="A Valsa_x000a_João Botelho"/>
        <s v="A Vontade do Senhor_x000a_Nuno Matos, Rodrigo Lopo"/>
        <s v="A vossa Casa_x000a_João Mário Grilo"/>
        <s v="A Winterlap_x000a_Gustavo Imigrante"/>
        <s v="Abautres in Europe_x000a_Carlos Muriongo"/>
        <s v="About Pigs_x000a_Carlos Silva"/>
        <s v="Abusoverbal_x000a_Rui António"/>
        <s v="Aconteceu no Interior_x000a_Ricardo Machado"/>
        <s v="Acordar_x000a_Tiago Guedes, Frederico Serra"/>
        <s v="Ad Esquizo_x000a_Andreia Carvalho"/>
        <s v="Adormecido_x000a_Paulo Abreu"/>
        <s v="Adriana_x000a_Margarida GIl"/>
        <s v="Ahh!_x000a_Luís Almeida"/>
        <s v="Aldeia do Mito_x000a_André Tadeu, Sandra Fernandes, Sara Mendes"/>
        <s v="Aldina Duarte: Princesa Prometida_x000a_Manuel Mozos"/>
        <s v="Além de ti_x000a_João Marco"/>
        <s v="Alfama, a velha Lisboa_x000a_João Almeida"/>
        <s v="Algún Lugar_x000a_David Vallinas"/>
        <s v="Alquimia_x000a_Diogo Sequeira"/>
        <s v="Alto do Minho_x000a_Miguel Filgueiras"/>
        <s v="Amanhã à mesma hora_x000a_Luísa Soares, Pedro Sousa Raposo"/>
        <s v="Amanhecer a Andar_x000a_Sílvia Firmino"/>
        <s v="Amélia &amp; Duarte_x000a_Mónica Santos"/>
        <s v="Análise_x000a_Mohammad Reza Hajipour"/>
        <s v="Ângelo de Sousa: Tudo o que sou capaz_x000a_Jorge Silva Melo"/>
        <s v="Angola - Da Costa à Contracosta_x000a_Álvaro Romão"/>
        <s v="Antero_x000a_José Alberto Pinto"/>
        <s v="António, um Rapaz de Lisboa_x000a_Jorge Silva Melo"/>
        <s v="Aparelho Voador a Baixa Altitude_x000a_Solveig Nordlund"/>
        <s v="Apenas a lua_x000a_Pedro Vaz"/>
        <s v="Aqui _x000a_Bruno Soares"/>
        <s v="Aqui D'El-Rei!_x000a_António-Pedro Vasconcelos"/>
        <s v="Aqui e Agora_x000a_Carla Fonseca"/>
        <s v="Aqui jaz a minha casa_x000a_Rui Pilão"/>
        <s v="Aqui para vocês_x000a_Pedro Claúdio"/>
        <s v="Arca d'Água_x000a_André Gil Mata"/>
        <s v="Arrependimento no Tempo_x000a_João Garcia, João Rodrigues, David Ferreira, Ruben Frutuoso"/>
        <s v="Artigo 45º_x000a_Rui Luís"/>
        <s v="As Bodas_x000a_Carlos Lima"/>
        <s v="As Duas Faces da Guerra_x000a_Diana Andringa, Flora Gomes"/>
        <s v="As Extraordinárias Aventuras de Dog Mendonça e Pizza Boy II (Trailer)_x000a_João Alves"/>
        <s v="As Horas de Maria_x000a_António de Macedo"/>
        <s v="As Horas do Douro_x000a_Joana Pontes, António Barreto"/>
        <s v="As Mãos da Terra_x000a_Susana Costa, João Garrinhas"/>
        <s v="As Máquinas de Maria_x000a_Marta Madureira, Pedro Mota Teixeira"/>
        <s v="As Ondas_x000a_Miguel Fonseca"/>
        <s v="As Pedras e o Tempo_x000a_Fernando Lopes"/>
        <s v="Assembleia_x000a_Leonor Noivo"/>
        <s v="At the Dance_x000a_Xavier Almeida"/>
        <s v="Até Amanhã_x000a_Vários"/>
        <s v="Até ao Mar_x000a_João Nuno Brochado"/>
        <s v="Até quando_x000a_Jorge Cramez"/>
        <s v="Atracados_x000a_Filipe Afonso"/>
        <s v="Auguste_x000a_Amadeu Pena da Silva, Pedro Santasmarinas"/>
        <s v="Aurum_x000a_Rúben Amado"/>
        <s v="Aux Bains de la Reine_x000a_Maya Kosa, Sérgio da Costa"/>
        <s v="Bafatá Film Clube_x000a_Sila Tiny"/>
        <s v="Balaou_x000a_Gonçalo Tocha"/>
        <s v="Balas e Bolinhos - O Último Capítulo_x000a_Luís Ismael"/>
        <s v="Ballerinas in a quiet place_x000a_Ana Barroso"/>
        <s v="Bankers_x000a_António da Silva"/>
        <s v="Be_x000a_Creative Artistic"/>
        <s v="Bebé_x000a_Mohammad Reza Hajipour"/>
        <s v="Bela Vista_x000a_Filipa Reis, João Miller Guerra"/>
        <s v="Belle Toujours_x000a_Manoel de Oliveira"/>
        <s v="Benches_x000a_Miguel de Oliveira"/>
        <s v="Berlenga - A Ilha do Farol_x000a_Paulo César Fajardo"/>
        <s v="Bipolar_x000a_Tiago Costa"/>
        <s v="Birds/Ornithes_x000a_Gabriel Abrantes"/>
        <s v="Branco_x000a_Raquel Felgueiras"/>
        <s v="Brigitte's Dream_x000a_Joana Peralta"/>
        <s v="Brinca com o Fogo_x000a_Rui Esperança"/>
        <s v="Bunker_x000a_José Eduardo"/>
        <s v="Business Man_x000a_Pedro Firmino"/>
        <s v="C.S.I. 8 minutos_x000a_João Almeida"/>
        <s v="Cacheu_x000a_Filipa César"/>
        <s v="Café Utopia_x000a_Sara Pinto"/>
        <s v="Calor &amp; Moscas_x000a_Bernardo Rão, Afonso Cortez"/>
        <s v="Cama de Gato_x000a_Filipa Reis, João Miller Guerra"/>
        <s v="Caminhos da Liberdade_x000a_Cinequipa"/>
        <s v="Canção do Desterro_x000a_Margarida Correia"/>
        <s v="Canto da Terra d'Água_x000a_Francesco Giarrusso, Adriano Smaldone"/>
        <s v="Cantores do Submundo_x000a_Fernando Miguel Moreira"/>
        <s v="Capitães da Areia_x000a_Cecília Amado"/>
        <s v="Carcavelos Wine_x000a_Jorge Pinho"/>
        <s v="Casa da Bôxa_x000a_Adolfo Estrada Vargas"/>
        <s v="Casa de Lava_x000a_Pedro Costa"/>
        <s v="Casa na Comporta_x000a_João Salaviza"/>
        <s v="Casas da Rua_x000a_Ana Luísa Oliveira, Rui Oliveira "/>
        <s v="Catembe - 7 Dias em Lourenço Marques_x000a_Manuel Faria de Almeida"/>
        <s v="Cativeiro_x000a_André Gil Mata"/>
        <s v="Cavalinho, o Mundo Mágico_x000a_Cláudio Sá"/>
        <s v="Celeste_x000a_José-Maria Norton"/>
        <s v="Cenas de uma Comunidade Política_x000a_Ângela Melo, Diogo Allen, Sofia Aguiar"/>
        <s v="Centro Histórico_x000a_Aki Kaurismäki, Pedro Costa, Victor Erice, Manoel de Oliveira"/>
        <s v="Chama do Conhecimento_x000a_Gustavo Costa"/>
        <s v="Ciclos, biciclos e triciclos_x000a_Joana Castro, Marlene Soares"/>
        <s v="Cidade Colorida_x000a_Guilherme Afonso"/>
        <s v="Cine Castelo Rodrigo_x000a_Colectivo de Jovens do 10ºA da Escola Secundária de Figueira de Castelo Rodrigo"/>
        <s v="Cinema_x000a_Fernando Lopes"/>
        <s v="Cinema Português…?_x000a_Manuel Mozos"/>
        <s v="Cinzas, Ensaio sobre o Fogo_x000a_Pedro Flores"/>
        <s v="Clandestino_x000a_Abi Feijó"/>
        <s v="Cocó, Ranheta e Facada_x000a_Solange Santos"/>
        <s v="Cof Cof_x000a_Zepe"/>
        <s v="Coisas de Gaiatos_x000a_Carlos Lima"/>
        <s v="Coisas Implausíveis #1_x000a_Rita Macedo"/>
        <s v="Com amor. Sara_x000a_Guilherme Machado Comando"/>
        <s v="Com que voz_x000a_Nicholas Oulman"/>
        <s v="Como eu te via_x000a_Colectivo de Jovens do 12º O da Escola Secundária Alves Martins"/>
        <s v="Compositio III_x000a_Vários"/>
        <s v="Compramos e Vendemos Sentimentos_x000a_Francisco Sousa, Vitor Pedrosa"/>
        <s v="Confiança Cega_x000a_Ricardo Pinto"/>
        <s v="Conflito_x000a_Ana Isabel Lopes Mateus"/>
        <s v="Conflitos_x000a_Flávio Costa"/>
        <s v="Cool_x000a_Francisco Sousa, João Rodrigues, João Garcia"/>
        <s v="Cor_x000a_Linnea Lidegran"/>
        <s v="Corrente_x000a_Rodrigo Areias"/>
        <s v="Corte de Cabelo_x000a_Joaquim Sapinho"/>
        <s v="Cosmopolis_x000a_David Cronenberg"/>
        <s v="Cossé, 16h_x000a_Gil Ramos"/>
        <s v="Crescendo_x000a_Susana Rola"/>
        <s v="Criação_x000a_João Miguel Cunha, José Maria Cunha"/>
        <s v="Cromlech_x000a_Julião Sarmento"/>
        <s v="Crónica Parisiense_x000a_Luís Miguel Correia"/>
        <s v="Cronofóbico_x000a_Edgar Ferreira"/>
        <s v="Crossing Walls_x000a_Ana Borba"/>
        <s v="Crumpling_x000a_Joaquim Fontes"/>
        <s v="Crytal Shipsss - Smile_x000a_Raul Domingues"/>
        <s v="Da Natureza das Coisas_x000a_Luís Miguel Correia"/>
        <s v="Dá-me Luz_x000a_Sérgio Nogueira"/>
        <s v="De Dentro_x000a_Pedro Magano"/>
        <s v="Deixa vir o de Amanhã_x000a_David de Mira"/>
        <s v="Demain?_x000a_Christine Laurent"/>
        <s v="Demónio Interior_x000a_Emanuel Loureiro"/>
        <s v="Depois de Abril_x000a_José Alberto Pinheiro"/>
        <s v="Deportado_x000a_Nathalie Mansoux"/>
        <s v="Depressure_x000a_David Mourato"/>
        <s v="Der Rosenkönig_x000a_Werner Schroeter"/>
        <s v="Des(Censurado)_x000a_Bárbara Silva"/>
        <s v="Desavergonhadamente Real_x000a_Artur Serra Araújo"/>
        <s v="Desliga_x000a_Andreia Pereira"/>
        <s v="Deux_x000a_Werner Schroeter"/>
        <s v="Devastação_x000a_João Trabulo"/>
        <s v="Devoção_x000a_Daniela Rodrigues"/>
        <s v="Devolvendo Isabel_x000a_Alexandre Braga"/>
        <s v="Diagnóstico_x000a_Alexandra de Matos"/>
        <s v="Diário de uma Inspectora do Livro de Recordes_x000a_Tiago Albuquerque"/>
        <s v="Diários da Bósnia_x000a_Joaquim Sapinho"/>
        <s v="Do Céu e da Terra_x000a_Isabel Aboim Inglez"/>
        <s v="Do Mundo_x000a_Manuel Guerra"/>
        <s v="Do not Stop_x000a_Bruno Carnide"/>
        <s v="Dois dias e uma noite_x000a_João Teles, Paulo Duarte"/>
        <s v="Dois Pares e Meio de Asas_x000a_Raquel Figueiredo"/>
        <s v="Domingo à Tarde_x000a_António de Macedo"/>
        <s v="Dona Poupança e o Jardim dos Valores_x000a_Colectivo de Alunos da Escola EB1 nº1 de Abrantes (Escola dos Quinchosos)"/>
        <s v="Donos de Portugal_x000a_Jorge Costa"/>
        <s v="DOT.COM_x000a_Luís Galvão Teles"/>
        <s v="Doze_x000a_Maria Eça, Miguel Bretiano, Vasco Crespo"/>
        <s v="Dualidade_x000a_Patrícia Gomes"/>
        <s v="Duas Pessoas_x000a_João Salaviza"/>
        <s v="E Amanhã…_x000a_Bruno Cativo"/>
        <s v="E assim_x000a_António Pinhão Botelho"/>
        <s v="É triste, N é?_x000a_Ana Mateus"/>
        <s v="Éden_x000a_Cristina Silva, Gonçalo Miller, Patrícia Bogas, Luís Rodrigues"/>
        <s v="Édouard glissant, um monde en rélation_x000a_Manthia Diwara"/>
        <s v="Efeito Velcro_x000a_Margarida Sá Coutinho"/>
        <s v="Efeitos Secundários_x000a_Paulo Rebelo"/>
        <s v="Ekaterina_x000a_Miguel Cravo"/>
        <s v="El Castigo_x000a_Nelson Fernandes"/>
        <s v="El Despertar de Jaume_x000a_João Filipe Silva"/>
        <s v="Em Câmara Lenta_x000a_Fernando Lopes"/>
        <s v="Em Segunda Mão_x000a_Catarina Ruivo"/>
        <s v="Emboscada por dez lados_x000a_Vítor Jorge Alves"/>
        <s v="Encontro com São João da Cruz_x000a_Daniel Ribeiro Duarte"/>
        <s v="Encounters with Landscape (3x)_x000a_Salomé Lamas"/>
        <s v="Encruzilhada_x000a_Luís Batista"/>
        <s v="Encurralada nos Rochedos_x000a_Filipe Afonso"/>
        <s v="Entre a Arte e o Engenho - O Montado_x000a_Francisco Manso"/>
        <s v="Entre Música e Educação_x000a_Lígia Anjos"/>
        <s v="Entre o Céu e a Serra - Os Trabalhos de Manuel Palheiro_x000a_Dânia Lucas"/>
        <s v="Entrecampos_x000a_João Rosas"/>
        <s v="Entrevista com Almiro Vilar da Costa_x000a_Sérgio da Costa"/>
        <s v="Era assim a Vida naquele Tempo_x000a_Alberto Pereira, João Paulo Amaral"/>
        <s v="Es.Col.A da Fontinha - Espaço Colectivo Autogestionado_x000a_Viva Filmes"/>
        <s v="Escama de Peixe_x000a_David Ferreira"/>
        <s v="Escolhas_x000a_Rodrigo Cardoso"/>
        <s v="Espelho_x000a_Tiago Vilaça, Carolina Figueiras, Pedro Costa"/>
        <s v="Espelho Meu_x000a_Mónica Ferreira"/>
        <s v="Esperança_x000a_Miguel Canastro, Márcia Almeida"/>
        <s v="Esquecidos_x000a_Pedro Almeida, Gabriel Macedo"/>
        <s v="Esta é a minha Casa_x000a_João Pedro Rodrigues"/>
        <s v="Esta Televisão é sua_x000a_Mariana Otero"/>
        <s v="Estado Líquido_x000a_Lino de Oliveira"/>
        <s v="Estátua_x000a_António Costa Valente, Carlos Silva"/>
        <s v="Estou para aqui assim…_x000a_Diogo Pessoa de Andrade"/>
        <s v="Eu Quero a Lua_x000a_Artur Correia"/>
        <s v="Eu, Martim_x000a_Luciano Sazo"/>
        <s v="Eufonia_x000a_João de Goes, Mariana Bicho"/>
        <s v="Évora Encantadora_x000a_J. César de Sá"/>
        <s v="Excursão_x000a_Leonor Noivo"/>
        <s v="Exit through the Wall_x000a_Rui Esperança"/>
        <s v="Exposição Raul Lino_x000a_António Campos"/>
        <s v="Ex-Votos Portugueses_x000a_António Campos"/>
        <s v="Fado Canibal_x000a_Timóteo Azevedo"/>
        <s v="Fado do Homem Crescido_x000a_Pedro Brito"/>
        <s v="Fado Lusitano_x000a_Abi Feijó"/>
        <s v="Fado na Noite_x000a_Fernando Relvas"/>
        <s v="Fados_x000a_Carlos Saura"/>
        <s v="Faixa Negra_x000a_Cristóvão Peças"/>
        <s v="Falha do Sistema_x000a_José Miguel Moreira"/>
        <s v="Faminto_x000a_Hernâni Duarte Maria, Pedro Noel da Luz"/>
        <s v="Fárria_x000a_Lígia Parodi, Patrícia Nogueira, Pedro Monteiro"/>
        <s v="Fátima de A a Z_x000a_Margarida GIl"/>
        <s v="Fazedor de Nuvens_x000a_Paulo Carneiro"/>
        <s v="Fé nos Burros_x000a_João Pedro Marnoto"/>
        <s v="Feast_x000a_Sérgio Cruz"/>
        <s v="Fecha-se uma Porta, abre-se uma Janela_x000a_Rui Moreira"/>
        <s v="Feeling Good_x000a_Helena Moreira"/>
        <s v="Felicidade_x000a_Colectivo de Alunos da Escola Básica de Vilar de Andorinho"/>
        <s v="Fernando Lopes, Provavelmente_x000a_João Lopes"/>
        <s v="Filha da Mãe_x000a_João Canijo"/>
        <s v="Fio de Azeite_x000a_Filipe Carvalho"/>
        <s v="Florbela_x000a_Vicente Alves do Ó"/>
        <s v="Fly - Último Adeus_x000a_Tiago Martins"/>
        <s v="Fogo Cruzado_x000a_João Garcia"/>
        <s v="Folie à Deux_x000a_Emanuel Malveiro"/>
        <s v="For Sale_x000a_João Ferreira, Inês Lapa"/>
        <s v="For Those who Stay_x000a_Vasco Mendes"/>
        <s v="Fox_x000a_Eduardo Ramos"/>
        <s v="Foxy &amp; Meg: Na Estrada_x000a_André Letria"/>
        <s v="Foxy &amp; Meg: No Ar_x000a_André Letria"/>
        <s v="Frio_x000a_Miguel Leão"/>
        <s v="From New York with Love_x000a_André Valentim Almeida"/>
        <s v="Gasoline_x000a_Júlio Barreiros, Álvaro Teixeira"/>
        <s v="Gemina_x000a_Nuno Mota"/>
        <s v="Genesis Encore Cascais 75_x000a_João Dias"/>
        <s v="Gerações Curtas!'_x000a_José Vieira Mendes"/>
        <s v="Gesto de Amor_x000a_Diogo Pessoa de Andrade"/>
        <s v="Gestos e Fragmentos_x000a_Alberto Seixas Santos"/>
        <s v="Gina_x000a_Júlio Pereira"/>
        <s v="Ginjas (5 episódios)_x000a_Zepe, Humberto Santana"/>
        <s v="Glória_x000a_Manuela Viegas"/>
        <s v="Grande Hotel_x000a_Anabela Saint-Maurice"/>
        <s v="Guardar Silêncio_x000a_Pedro Palma"/>
        <s v="Guna X - DevirII_x000a_Dinis Santos, André Gil Mata, Miguel Marinheiro"/>
        <s v="Hair_x000a_João Seiça"/>
        <s v="Harmonia &amp; Improviso_x000a_Paulo César Fajardo"/>
        <s v="Helena Aquática v.3.0._x000a_Dunya Rodrigues"/>
        <s v="Hemisférios Opostos_x000a_A. Oliveira - Escola Domingos Rebelo"/>
        <s v="Herdade da Comporta_x000a_Fernando Mamede"/>
        <s v="Heterotopia_x000a_Tiago Siopa"/>
        <s v="Histórias do Fundo do Quintal_x000a_Tiago Afonso"/>
        <s v="Horizonte_x000a_Jorge Romariz, Tiago Siopa"/>
        <s v="Horses_x000a_Gustavo Imigrante"/>
        <s v="Hóspedes da Noite_x000a_Licínio Azevedo"/>
        <s v="Hot Coffee_x000a_Vasco Dinis"/>
        <s v="Hotel Müller_x000a_João Salaviza"/>
        <s v="HullaZulla_x000a_Raquel Ceriz"/>
        <s v="I Absurd You Obsess We Abstract_x000a_Rita Fevereiro"/>
        <s v="Imorredoira_x000a_Sílvia das Fadas"/>
        <s v="Impressões do Tempo_x000a_João Pedro Grisantes"/>
        <s v="Indefectible Blemish_x000a_vários"/>
        <s v="Indiana Bones vem jantar ao bairro_x000a_Maria de Lurdes Martins"/>
        <s v="Indústria Têxtil_x000a_Maria Luísa Abreu"/>
        <s v="Inquérito Privado_x000a_Henrique Bento"/>
        <s v="Insónia da Evolução_x000a_Turma 12º B da Escola Secundária Dr. Joaquim Ferreira Alves"/>
        <s v="Inspire Country_x000a_Nuno Santana"/>
        <s v="Inspire Country_x000a_Nuno Portimão"/>
        <s v="Interlúdio_x000a_Adriano Sodré"/>
        <s v="Jamie Grind - For You_x000a_Miguel Bidarra"/>
        <s v="Jardim_x000a_João Vladimiro"/>
        <s v="Jesus por um Dia_x000a_Helena Inverno, Verónica Castro"/>
        <s v="João Wilson - Human Aeroplane_x000a_Diogo Andrade"/>
        <s v="Johnson - O Reverso da Medalha_x000a_Nuno Cibrão"/>
        <s v="José Saramago - Plano B_x000a_António Castanheira"/>
        <s v="Julgamento_x000a_André Filipe Almeida, Joana Linhares, Jérémy Pouivet"/>
        <s v="Julian_x000a_António da Silva"/>
        <s v="Kali, o Pequeno Vampiro_x000a_Regina Pessoa"/>
        <s v="Killing Eletrónica - Forever Kids_x000a_Rui António"/>
        <s v="Kilombos_x000a_Paulo Nuno Vicente"/>
        <s v="Kizuna_x000a_Ricardino Almeida"/>
        <s v="Kuduro, Fogo no Museke_x000a_Jorge António"/>
        <s v="La chambre jaune_x000a_André Godinho"/>
        <s v="Lá Fora_x000a_Fernando Lopes"/>
        <s v="Laboratório #6 - Barro_x000a_Miguel Gaspar"/>
        <s v="Lacrimosa_x000a_Filipa Gomes"/>
        <s v="L'agriculteur qui a quitté l'agriculture_x000a_Vários - Escola Antero de Quental"/>
        <s v="Lágrimas de um Palhaço_x000a_Cláudio Sá"/>
        <s v="Land of my Dreams_x000a_Yann Gonzalez"/>
        <s v="Lavrofícios_x000a_Rui António"/>
        <s v="Lázaro_x000a_Miguel Pinho"/>
        <s v="Le Bassin de J.W._x000a_João César Monteiro"/>
        <s v="Le pain que le diable a pétri_x000a_José Vieira"/>
        <s v="Le passeur_x000a_Filipa César"/>
        <s v="Legados de José Afonso_x000a_César Atouguia, Filipe Carvalho, Marco Pereira"/>
        <s v="Leite_x000a_Gonçalo Robalo"/>
        <s v="Leito de Maldição_x000a_Paulo Teixeira Rebelo"/>
        <s v="Les Paysages_x000a_Jerónimo Rocha"/>
        <s v="Libhaketi_x000a_Ico Costa"/>
        <s v="Life is a Wave (A Vida é uma Onda)_x000a_Enrico Sariava"/>
        <s v="Life of Brian_x000a_Sandro Baptista"/>
        <s v="Língua - Vidas em Português_x000a_Victor Lopes"/>
        <s v="Linhas de Wellington_x000a_Valeria Sarmiento"/>
        <s v="Lisboa no Cinema, um Ponto de Vista_x000a_Manuel Mozos"/>
        <s v="Lisboa-Porto_x000a_Joana Toste"/>
        <s v="Lisbon Wave Dream_x000a_Hélio Valentim, Ricardo Ferreira"/>
        <s v="Little Maestro_x000a_Sandra Henriques"/>
        <s v="Livro de Ponto_x000a_Nuno Tudela"/>
        <s v="L'oeil de Dieu_x000a_Carlos Faustino"/>
        <s v="Loly Pop Star_x000a_Ana Carneiro"/>
        <s v="Longtemps je me suis couché de bonne heure_x000a_Andrea Fernández"/>
        <s v="Lovely Lies_x000a_Eduardo Castro Fonseca"/>
        <s v="Lugar do Tempo_x000a_Manuel Guerra"/>
        <s v="Lullaby_x000a_André Lage"/>
        <s v="Luz da Manhã_x000a_Cláudia Varejão"/>
        <s v="Macadam Tribu_x000a_Zeka Laplaine"/>
        <s v="Made from Ox Gut_x000a_Inês Cristina"/>
        <s v="Mãe há só Uma_x000a_João Canijo"/>
        <s v="Mais Alma_x000a_Catarina Alves Costa"/>
        <s v="Mais um Dia à procura_x000a_Maria Simões"/>
        <s v="Mamadu &amp; Binta_x000a_Cátia Aguiam, Joana Aguiam, João V.F."/>
        <s v="Manducare_x000a_Pedro Serra"/>
        <s v="Manhã de Santo António_x000a_João Pedro Rodrigues"/>
        <s v="Manuel Hermínio Monteiro - MHM_x000a_André Godinho"/>
        <s v="Mareantes_x000a_Sónia Faria Lopes, Rui João Rodrigues, Gonçalo Loureiro"/>
        <s v="Marguerite Duras_x000a_Solveig Nordlund"/>
        <s v="Maria Vs Realidade_x000a_Maria Neves"/>
        <s v="Marraquexe_x000a_Tiago Costa"/>
        <s v="Mazagão - A Água que volta_x000a_Ricardo Leite"/>
        <s v="Meio Caminho Andado_x000a_Bárbara Gouveia, Gisela Pissarra, Miguel Ribeiro Fernandes, Paulo Cunha Fernandes"/>
        <s v="Melomeno Rítmica_x000a_Filipe Cabeçadas"/>
        <s v="Memórias em (Des)construção_x000a_André Agostinho"/>
        <s v="Mercados de Lisboa_x000a_Miguel Sargento"/>
        <s v="Metástese I_x000a_Joana Rodrigues"/>
        <s v="Metástese I_x000a_Mariana Seiça"/>
        <s v="Meu caro amigo Chico_x000a_Joana Barra Vaz"/>
        <s v="Mix Pensão Internacional_x000a_Rui Goulart"/>
        <s v="MK Spitfire_x000a_Filipa GC Ruiz"/>
        <s v="Mombasa, o Forte de Jesus_x000a_António Escudeiro"/>
        <s v="Momentos de Vida_x000a_Vítor Hugo Costa"/>
        <s v="Montalegre… uma Ideia da Natureza_x000a_Ecomuseu do Barroso"/>
        <s v="Montar a Tenda_x000a_Montserrat Ciges"/>
        <s v="Montemor_x000a_Ignasi Duarte"/>
        <s v="Morangos com Açúcar - O Filme_x000a_Hugo de Sousa"/>
        <s v="MPB_x000a_Pierre Ardenne"/>
        <s v="Mulher Mar_x000a_Pedro Pinto, Filipe Pinto"/>
        <s v="Mulheres na Pesca_x000a_Maria Simões"/>
        <s v="Müller-Brockmann (P3)_x000a_Pedro Ribeiro"/>
        <s v="Mupepy Munatim_x000a_Pedro Peralta"/>
        <s v="Murmúrio do Amanhecer_x000a_João Barriga"/>
        <s v="My Design is_x000a_Sérgio Almeida"/>
        <s v="Na cidade_x000a_Delia Hess"/>
        <s v="Na Cidade Vazia_x000a_Maria João Ganga"/>
        <s v="Nada Fazi_x000a_Filipa Reis, João Miller Guerra"/>
        <s v="Nadir Afonso - O Tempo não Existe_x000a_Jorge Campos"/>
        <s v="Não há Rosa sem Espinhos_x000a_Fernando Matos Silva"/>
        <s v="Não há Vacas no Céu_x000a_Óscar Faria, Rui Costa, Rui Lima, Carlos Passos, José Pedro Lopes"/>
        <s v="Não me importava morrer se houvesse guitarras no céu_x000a_Tiago Pereira"/>
        <s v="Não sei quantos segundos_x000a_Turma 12º B1 da ESSR"/>
        <s v="Nas tuas palavras_x000a_Miguel Munhá"/>
        <s v="Nascimento de uma Garrafa_x000a_Pedro Horta, Filipa Gouveia"/>
        <s v="Nau Caxineta_x000a_Colectivo de Alunos do 4º Ano da Escola EB1/JI das Caxinas, Vila do Conde"/>
        <s v="Nazaré, Praia de Pescadores_x000a_Leitão de Barros"/>
        <s v="Ne change rien_x000a_Pedro Costa"/>
        <s v="No Fio da Navalha_x000a_André Gouveia"/>
        <s v="No Mundo da Lua_x000a_Departamento de Animação da DIALECTUS"/>
        <s v="No quarto da Vanda_x000a_Pedro Costa"/>
        <s v="Noall &amp; Curios in TorchDog_x000a_Rik Goddard"/>
        <s v="Noite_x000a_Flávio Pires"/>
        <s v="Noite de Festa_x000a_Tiago P. Carvalho"/>
        <s v="Nós na Rua_x000a_Luís Margalhau"/>
        <s v="Nossa Terra_x000a_Tiago Curado de Almeida, Henrique Patrício"/>
        <s v="Nutri Ventures_x000a_Vários"/>
        <s v="O 21 da Rua da Esperança_x000a_Luís Batista"/>
        <s v="O Acto da Primavera_x000a_Manoel de Oliveira"/>
        <s v="O Alívio dos Apertos_x000a_Catarina Neves"/>
        <s v="O Arquitecto e a Cidade Velha_x000a_Catarina Alves Costa"/>
        <s v="O Beijo_x000a_Pedro Baptista"/>
        <s v="O Bravo Som dos Tambores_x000a_João Botelho"/>
        <s v="O Cágado_x000a_Luís da Matta Almeida, Pedro Lino"/>
        <s v="O Canto do Rocha_x000a_Helvécio Marins Jr."/>
        <s v="O Canto dos Cisnes_x000a_Marco Barbosa"/>
        <s v="O Capacete Dourado_x000a_Jorge Cramez"/>
        <s v="O Carteiro_x000a_Cláudia Alves"/>
        <s v="O Céu que nos une nos dias de solidão_x000a_Luís Ferreira, Afonso Nunes"/>
        <s v="O Coelhinho Branco_x000a_Turma dos Amiguinhos (Escola EB1/JI de Anta 1, Espinho)"/>
        <s v="O Construtor de Anjos_x000a_Luís Noronha da Costa"/>
        <s v="O Contrabaixo_x000a_Fernando Pimenta"/>
        <s v="O Coveiro_x000a_André Gil Mata"/>
        <s v="O Crime de Aldeia Velha_x000a_Manuel Guimarães"/>
        <s v="O Delfim_x000a_Fernando Lopes"/>
        <s v="O Dia do Desespero_x000a_Manoel de Oliveira"/>
        <s v="O Dia mais Feliz da Tua Vida_x000a_Adriano Luz"/>
        <s v="O Dilúvio_x000a_André Ruivo"/>
        <s v="O Direito à Infelicidade_x000a_Colectivo NEFASTO"/>
        <s v="O Dom das Lágrimas_x000a_João Nicolau"/>
        <s v="O Dormitório_x000a_Vanessa Fernandes"/>
        <s v="O Duque do Saldanha_x000a_Rui Santos"/>
        <s v="O Encoberto_x000a_Fernando Lopes"/>
        <s v="O Facínora_x000a_Paulo Abreu"/>
        <s v="O Fado da Bia_x000a_Diogo Varela Silva"/>
        <s v="O Fantasma do Novais_x000a_Margarida Gil"/>
        <s v="O Fim do Homem_x000a_Bruno Teléforo, Luís Lobo"/>
        <s v="O Fio do Horizonte_x000a_Fernando Lopes"/>
        <s v="O Frágil Som do Meu Motor_x000a_Leonardo António"/>
        <s v="O Frigorífico_x000a_Raul Domingues"/>
        <s v="O Gebo e a Sombra_x000a_Manoel de Oliveira"/>
        <s v="O Gigante_x000a_Luís da Matta Almeida, Júlio Vanzeler"/>
        <s v="O Grande Kilapy_x000a_ZéZé Gamboa"/>
        <s v="O Grande Monteleone_x000a_João Leitão"/>
        <s v="O Homem do Trator_x000a_Gonçalo Branco"/>
        <s v="O Ladrão_x000a_João Ferreira"/>
        <s v="O Lápis que não sabia escrever_x000a_Colectivo de Crianças da Escola EB1 de São Facundo, Abrantes"/>
        <s v="O Lenhador_x000a_Rúben Ferreira"/>
        <s v="O Lugar do Abandono_x000a_António Lopes, Ana Rodrigues"/>
        <s v="O Mal dos Outros_x000a_Miguel Clara Vasconcelos"/>
        <s v="Ó Marquês anda Cá Abaixo Outra Vez_x000a_João Viana"/>
        <s v="O Meu Outro Mundo_x000a_André Agostinho"/>
        <s v="O Milagre_x000a_Francisco Lança"/>
        <s v="O Milagre de Santo António_x000a_Sergei Loznitsa"/>
        <s v="O Minho_x000a_F. Evaristo"/>
        <s v="O Nylon da Minha Aldeia_x000a_Possidónio Cachapa"/>
        <s v="Ó Pai, o que é a Crise?_x000a_José Vieira Mendes"/>
        <s v="O Pão (II)_x000a_Manoel de Oliveira"/>
        <s v="O Pastor_x000a_João Pedro Rodrigues"/>
        <s v="O Planalto da Mourela_x000a_Martin Dale"/>
        <s v="O Princípio do Fim_x000a_Joel Rodrigues, André Agostinho"/>
        <s v="O Quadro_x000a_Helder Filipe, Luis Sergio"/>
        <s v="O Que Arde Cura_x000a_João Rui Guerra da Mata"/>
        <s v="O Rapaz que Ouvia Pássaros_x000a_Inês Rueff, João Seguro"/>
        <s v="O Refugiado_x000a_Rui Cardoso"/>
        <s v="O Regresso_x000a_Júlio Alves"/>
        <s v="O Reino_x000a_Paulo Castilho"/>
        <s v="O Sabor do Leite Creme_x000a_Hiroatsu Suzuki, Rossana Torres"/>
        <s v="O Sangue_x000a_Pedro Costa"/>
        <s v="O Som da Terra a Tremer_x000a_Rita Azevedo Gomes"/>
        <s v="O Sono e o Sonho_x000a_Catarina Gomes"/>
        <s v="O Tapete Voador_x000a_João Mário Grilo"/>
        <s v="O Tempo e as Bruxas_x000a_António Victorino d'Almeida"/>
        <s v="O Tesouro Algarvio_x000a_Ana Arsénio, José Miguel Fonseca, Miguel Velez"/>
        <s v="Odete_x000a_João Pedro Rodrigues"/>
        <s v="Oh Johny_x000a_Paulo Carneiro"/>
        <s v="Oh que calma!_x000a_Abi Feijó"/>
        <s v="Old Moon_x000a_Sofia Peixe, Sue Alves"/>
        <s v="Olhar/Ver - Gérard, Fotógrafo_x000a_Fernando Lopes"/>
        <s v="Olinda_x000a_Margarida Madeira, Aracely Kennedy"/>
        <s v="Olo_x000a_Bárbara Cruz, Paulo Fontes"/>
        <s v="Onde jaz o teu sorriso?_x000a_Pedro Costa"/>
        <s v="One Way or Another (Reflections of a Psykokiller)_x000a_Edgar Pêra"/>
        <s v="Operação Outono_x000a_Bruno de Almeida"/>
        <s v="Oportonity City_x000a_Luís Miguel Amaral de Araújo"/>
        <s v="Orquestra Geração_x000a_Filipa Reis, João Miller Guerra"/>
        <s v="Os Chapéus de Chuva de Chocolate_x000a_José Ricardo Lopes"/>
        <s v="Os Guarda-Rios_x000a_Alunos ATL - Palha de Abrantes"/>
        <s v="Os Mágicos Sonhadores_x000a_Crianças das Oficinas da ANILUPA"/>
        <s v="Os Monstros da Rita_x000a_Colectivo de Alunos da Escola EB 2,3 de Aguiar da Beira (Escola Pe. José Augusto da Fonseca)"/>
        <s v="Os Salteadores_x000a_Abi Feijó"/>
        <s v="Os Sorrisos do Destino_x000a_Fernando Lopes"/>
        <s v="Os Vivos também choram_x000a_Basil da Cunha"/>
        <s v="Ossos_x000a_Pedro Costa"/>
        <s v="Ossos do Ofício_x000a_André M. Santos"/>
        <s v="Ouroboros_x000a_Sérgio Torres"/>
        <s v="Outras Cartas ou O Amor Inventado_x000a_Leonor Noivo"/>
        <s v="Outro Homem Qualquer_x000a_Luís Soares"/>
        <s v="Ouvir Ver Macau_x000a_António Escudeiro"/>
        <s v="Oxalá cresçam Pitangas_x000a_Kiluanje Liberdade, Ondjaki"/>
        <s v="P.O.C._x000a_Mário Ventura"/>
        <s v="Paisagem_x000a_Renata Sancho"/>
        <s v="Paisagens de Papel_x000a_André Pisca, Pedro Almeida"/>
        <s v="Paixão_x000a_Margarida GIl"/>
        <s v="Palavra e Utopia_x000a_Manoel de Oliveira"/>
        <s v="Pão de Ul_x000a_Igor Martins, Rosário Costa, Sara Petiz"/>
        <s v="Pão Lêvedo_x000a_José João Sardinha"/>
        <s v="Papá Wrestling_x000a_Fernando Alle"/>
        <s v="Para o Palco quem não é do Palco_x000a_Artur Caiano, Júlio Filipe Cardoso, Tiago Leça"/>
        <s v="Para que as tradições não sejam esquecidas_x000a_Rancho Tradicional de Cinfães - Associação"/>
        <s v="Para ti, Leonor_x000a_João Duque"/>
        <s v="Parabéns!_x000a_João Pedro Rodrigues"/>
        <s v="Paralaxe_x000a_Vanessa Oliveira"/>
        <s v="Parque Mayer - O Documentário_x000a_Ana Luís Lourenço, Pedro Moreira, Pedro Caetano"/>
        <s v="Passaporte Emigrante_x000a_Emanuel Macedo"/>
        <s v="Passeio com Johnny Guitar_x000a_João César Monteiro"/>
        <s v="Passividade_x000a_Júlio Filipe Cardoso, Ricardo Salgado, Vítor Gomes"/>
        <s v="Pastoral_x000a_José Barahona"/>
        <s v="Paula Rego_x000a_Rogério Taveira"/>
        <s v="Paulo Neves - Cucujães, o Centro do meu Mundo_x000a_André Guiomar, Miguel da Santa, Vasco Pucarinho"/>
        <s v="PDL-LIS_x000a_Diogo Lima"/>
        <s v="Pedro Calapez - Trabalhos do Olhar_x000a_Luís Miguel Correia"/>
        <s v="Perdida Mente_x000a_Margarida GIl"/>
        <s v="Perdido por Cem_x000a_António-Pedro Vasconcelos"/>
        <s v="Perdoa-me_x000a_Joana Silva, André Dias"/>
        <s v="Perfume - Se me falas assim_x000a_Mónica Ferreira, Luís Queirós dos Santos, Henrique Moreira"/>
        <s v="Perseguido_x000a_António Carlos Castro"/>
        <s v="Pessoalmente_x000a_Ana Pio"/>
        <s v="Photo_x000a_Carlos Saboga"/>
        <s v="Pickills_x000a_Leonardo Dias, Pedro Neiva"/>
        <s v="Playday - Sonhar nas quatro linhas_x000a_Victor Santos"/>
        <s v="Polifonias - Paci è Saluta, Michel Giacometti_x000a_Pierre-Marie Goulet"/>
        <s v="Porque tu respiras_x000a_Pedro Almeida"/>
        <s v="Porquê?_x000a_Catarina Beatriz Silva"/>
        <s v="Porto, Cidade Oriental_x000a_Nelson Graf"/>
        <s v="Portugal - The Beauty of Simplicity_x000a_Rogério Boldt"/>
        <s v="Posfácio nas Confecções Canhão_x000a_António Ferreira"/>
        <s v="Postcards from Lisbon_x000a_Pedro Resende"/>
        <s v="Pots, Pans and other solutions_x000a_Miguel Marques"/>
        <s v="Pre Evolution Soccer’s One-Minute Dance After A Golden Goal in the Master League_x000a_Miguel Gomes"/>
        <s v="Prescrição_x000a_Marco Miranda"/>
        <s v="Preto &amp; Branco_x000a_João Rodrigues"/>
        <s v="Prisão Preventiva_x000a_Nelson Costa"/>
        <s v="Processo Crime 141/53 - Enfermeiras no Estado Novo_x000a_Susana de Sousa Dias"/>
        <s v="Procrastinação_x000a_Beatriz Andrade"/>
        <s v="Prosolhos_x000a_Rui António"/>
        <s v="Próxima Estação_x000a_Luís Candeias"/>
        <s v="PT.ES_x000a_Pedro Sena Nunes"/>
        <s v="Quadrado de Amor Bizarro_x000a_Luís Esperança"/>
        <s v="Quadro Branco_x000a_Tatiana Saavedra, Carolina Catrola"/>
        <s v="Quando o Anjo e o Diabo colaboram_x000a_Paula Soares"/>
        <s v="Quantas Vidas cabem numa República?_x000a_Vários"/>
        <s v="Quatro Horas Descalço_x000a_Ico Costa"/>
        <s v="R. Stevie Moore - Tape to Disc_x000a_Nuno Monteiro"/>
        <s v="Rafa_x000a_João Salaviza"/>
        <s v="Raiç D'Infainç_x000a_Gustavo Ribeiro"/>
        <s v="Rambi e os Perdidos_x000a_Alex Carvalho"/>
        <s v="Rapaz ou Rapariga?_x000a_André Santos"/>
        <s v="Raposo Manhoso_x000a_Mauro Viegas"/>
        <s v="Rasgos de Solidão_x000a_Susana Luciano"/>
        <s v="Raul Brandão era um grande escritor…_x000a_João Canijo"/>
        <s v="Reconversão_x000a_Thom Andersen"/>
        <s v="Repórter X_x000a_José Nascimento"/>
        <s v="Requiem_x000a_Alain Tanner"/>
        <s v="Respira_x000a_Philipp Rylatt, Telmo Vicente"/>
        <s v="Rhoma Acans_x000a_Leonor Teles"/>
        <s v="Riqueza Natural_x000a_Tiago Cerveira"/>
        <s v="Romaria_x000a_Cláudia Quaresma"/>
        <s v="Romeu e Julieta - O Musical_x000a_Zara Pinto"/>
        <s v="Rua da Cale - A última Fronteira_x000a_Colectivo de Alunos da Escola Secundária com 3º Ciclo do Fundão"/>
        <s v="Rua das Gaivotas, nº 175_x000a_Dulce Gonçalves"/>
        <s v="Ruga_x000a_Miguel Serra, Sofia Barata"/>
        <s v="S4phyr4_x000a_Melissa Guimarães"/>
        <s v="Sagittarius_x000a_Samuel Marques"/>
        <s v="Sailor Marc_x000a_Mariana Fernandes"/>
        <s v="Sanguetinta_x000a_Filipe Abranches"/>
        <s v="Santa Maria dos Olivais_x000a_Susanne Malorny"/>
        <s v="São Lázaro 94_x000a_Jérôme Lecat"/>
        <s v="Sapatos Pretos_x000a_João Canijo"/>
        <s v="Saudade_x000a_Bela Feldman-Bianco"/>
        <s v="Saudade Burra de Fernando Assis Pacheco_x000a_Margarida Moura Guedes, Paulo Galvão"/>
        <s v="Saudades de Portugal nº8_x000a_Edição: Adriano Ramos Pinto &amp; Irmão Lda"/>
        <s v="Save Paúl do Mar_x000a_Pedro Sousa , Nuno Rodrigues"/>
        <s v="Schlager (Carlos Bica+Matéria Prima)_x000a_Xavier Almeida"/>
        <s v="Seems So Long Ago, Nancy_x000a_Tatiana Macedo"/>
        <s v="Self Portrait_x000a_Joaquim Fontes"/>
        <s v="Sem Anos_x000a_Marta Tavares, Lino de Oliveira"/>
        <s v="Sem Papas na Língua_x000a_Crianças das Oficinas da ANILUPA"/>
        <s v="Sem Sombra de Pecado_x000a_José Fonseca e Costa"/>
        <s v="Sem título (SUN 2500)_x000a_João Onofre"/>
        <s v="Sibilância_x000a_Rui Oliveira Pires"/>
        <s v="Silêncio (тиша)_x000a_Hélio Valentim, Ricardo Ferreira"/>
        <s v="Silêncio de Dois Sons_x000a_Rita Figueiredo"/>
        <s v="Sinais de Serenidade por Coisas sem Sentido_x000a_Sandro Aguilar"/>
        <s v="Sizígia_x000a_Luís Urbano"/>
        <s v="Sob_x000a_Nuno Prudêncio"/>
        <s v="Sobre Viver_x000a_Cláudia Alves"/>
        <s v="Solo_x000a_Mariana Gaivão"/>
        <s v="Sonhos Roubados_x000a_vários"/>
        <s v="Sónia Cabrita - Espontâneo_x000a_Rui António"/>
        <s v="Sónia Cabrita - Little B's Poem_x000a_Rui António"/>
        <s v="Soundgarage_x000a_Xavier Gonçalves"/>
        <s v="Spectrum Optical Disorder_x000a_Dulce Gonçalves, Rodrigo Carvalho"/>
        <s v="Spray_x000a_Vico Ughetto"/>
        <s v="Standby_x000a_Alexandre Cardoso, Paula C. Lopes"/>
        <s v="Streets of Ealy Sorrow_x000a_Manuel Faria de Almeida"/>
        <s v="Stroke_x000a_Sofia de Botton"/>
        <s v="Summer One_x000a_Tito da Costa"/>
        <s v="Super Vodka_x000a_Leandro Silva"/>
        <s v="Supermercado_x000a_Tiago Ivo, Alberto Simões, Rui Durão"/>
        <s v="Tabu_x000a_Miguel Gomes"/>
        <s v="Talento de Rua_x000a_Ana Panêlo"/>
        <s v="Tão Forte que Somos_x000a_Diogo Costa Amarante"/>
        <s v="Tape Loading Error_x000a_Sandra Araújo"/>
        <s v="Teles_x000a_José Magro"/>
        <s v="Tempo Voa e nós temos pernas_x000a_Diogo Costa Amarante"/>
        <s v="Terra de Ninguém_x000a_Salomé Lamas"/>
        <s v="Terra do Fogo_x000a_Manuel Pureza"/>
        <s v="Terra dos Sonhos_x000a_Nuno Leocádio"/>
        <s v="Terra Quente - O Fim do MIlénio_x000a_Joana Morais"/>
        <s v="Terram - Terra e Mar_x000a_Carlos Silva, António Osório"/>
        <s v="The Fifth Step_x000a_Donna Mabey"/>
        <s v="The Headless Nun_x000a_Nuno Sá Pessoa"/>
        <s v="The King's Speech_x000a_Nuno Gervásio"/>
        <s v="The Night Shift_x000a_Jorge Barros"/>
        <s v="The Taylor's Kiss_x000a_Joana Bartolomeu"/>
        <s v="The Witer's Circle_x000a_Pedro Rilhó"/>
        <s v="Thirteen Coils_x000a_André Rodrigues"/>
        <s v="Through this Looking Glass_x000a_Daniel Neves"/>
        <s v="Timor Loro-Sae_x000a_Victor Santos"/>
        <s v="Tormenta_x000a_Francisco Carvalho"/>
        <s v="Totem_x000a_João Rodrigues de Sousa"/>
        <s v="Tráfico_x000a_João Botelho"/>
        <s v="Trampolim_x000a_David La Rua"/>
        <s v="Transeunte_x000a_Henrique Pina"/>
        <s v="Travessia - Viagem à Memória do Tempo_x000a_António Escudeiro"/>
        <s v="Três Menos Eu_x000a_João Canijo"/>
        <s v="Trilátero_x000a_Marco Amaral"/>
        <s v="Trust - Confiança_x000a_Patrícia Soares"/>
        <s v="Tu &amp; Eu_x000a_Edward Shieh"/>
        <s v="U Omãi qe dava Pulus_x000a_João Pinto Nogueira"/>
        <s v="Udju Azul di Yonta_x000a_Flora Gomes"/>
        <s v="Última Viagem_x000a_João Sousa"/>
        <s v="Um Caso de Vida_x000a_Ana Leite, Patrícia Silva, Melissa Oliveira, Sara Marinho"/>
        <s v="Um Dia como os outros_x000a_Paulo Pancadas"/>
        <s v="Um Dia como os outros_x000a_Jorge Nuno Cavadas da Costa"/>
        <s v="Um Dia de poucos_x000a_Humberto Caldas"/>
        <s v="Um Documentário Bestial_x000a_Nuno Costa"/>
        <s v="Um Homem à Varanda_x000a_Gonçalo Robalo"/>
        <s v="Um Passeio no Vazio_x000a_Gonçalo Cardeira, Rodrigues Lopes"/>
        <s v="Um Rio Chamado Ave_x000a_Luís Alves de Matos"/>
        <s v="Um Saltinho_x000a_Luís da Matta Almeida, Pedro Lino"/>
        <s v="Um Sorriso Entrelaçado_x000a_Tânia Sampaio, Hugo Leite"/>
        <s v="Um Último Olhar_x000a_Helder Faria, Luis Sergio, Michell Silva"/>
        <s v="Uma no Cravo e outra no Surf_x000a_Hélio Valentim"/>
        <s v="Uma Noite F*****_x000a_Bruno Ferreira, Rúben Ferreira"/>
        <s v="Uma Rapariga no Verão_x000a_Vítor Gonçalves"/>
        <s v="Uma Rosa no Deserto_x000a_Miguel Munhá"/>
        <s v="Uma Só Espera_x000a_L Praino Project"/>
        <s v="Uma Tarde num Espelho_x000a_Helena Santos"/>
        <s v="Underground_x000a_Nelson Leão"/>
        <s v="Unspoken Understanding_x000a_John Filipe"/>
        <s v="Utopia_x000a_Joana Maria Sousa"/>
        <s v="Vaffanculo_x000a_Nuno Filipe"/>
        <s v="Vamos ao Nimas_x000a_Lauro António"/>
        <s v="Vamos Tocar Todos Juntos  para Ouvirmos Melhor_x000a_Tiago Pereira"/>
        <s v="Vazante_x000a_Pedro Flores"/>
        <s v="Vende-se_x000a_Humberto Guedes"/>
        <s v="Ver é ter visto_x000a_João Clemente"/>
        <s v="VHS - Video Home System_x000a_Salomé Lamas"/>
        <s v="Viagem à Expo_x000a_João Pedro Rodrigues"/>
        <s v="Viagem a Lisboa (Lisbon Story)_x000a_Wim Wenders"/>
        <s v="Viana do Castelo_x000a_Alzer Barreto"/>
        <s v="Viana do Castelo, Festa do Traje e Cortejo do Trabalho_x000a_Francisco de Castro"/>
        <s v="Vidal e a História de Portugal_x000a_Nuno Matos"/>
        <s v="Vinte Ver_x000a_Filipe Lima Barbosa, André Gil Dinis, Pedro Mota, Gonçalo Loureiro, Fernando Machado"/>
        <s v="Virgem Margarida_x000a_Licínio Azevedo"/>
        <s v="Visita Guiada_x000a_Tiago Hespanha"/>
        <s v="Visite Oliveira do Hospital_x000a_Tiago Curado de Almeida, Henrique Patrício"/>
        <s v="Visões de Madredeus_x000a_Edgar Pêra"/>
        <s v="Vissaium Sonata VZ.23_x000a_Jorge Humberto, César Gomes"/>
        <s v="Vivências Passadas/Memórias Futuras: a Cultura do Linho, Pão e Vinho_x000a_"/>
        <s v="Vou para Casa_x000a_Manoel de Oliveira"/>
        <s v="Walkie-Talkie_x000a_João Lourenço"/>
        <s v="What's coming_x000a_Ramir Oliveira"/>
        <s v="Wish's Irony_x000a_Ana Francisca Bernardo"/>
        <s v="X &amp; Y_x000a_João Costa"/>
        <s v="X.TO_x000a_João Correia"/>
        <s v="You are the Blood_x000a_Rafael Morais"/>
        <s v="Zecca &amp; Zuzzie - O Baú dos Brinquedos_x000a_Vítor Estudante"/>
        <s v="Zulmiro de Carvalho_x000a_Gustavo Santos, José Magro"/>
        <s v="Zwazo_x000a_Gabriel Abrantes"/>
        <s v="20,13_x000a_Joaquim Leitão"/>
        <s v="1960_x000a_Rodrigo Areias"/>
        <s v="5040_x000a_Inês Teixeira"/>
        <s v="(Nada) Anda_x000a_Ana Seia de Matos"/>
        <s v="16.10.12._x000a_António Aleixo"/>
        <s v="255, Rua da Rosa_x000a_José Ricardo Lopes"/>
        <s v="29-A_x000a_Circo de Ideias"/>
        <s v="3 Horas para Amar_x000a_Patrícia Nogueira"/>
        <s v="3x3D_x000a_Peter Greenaway, Jean-Luc Godard, Edgar Pêra"/>
        <s v="8816 Versos_x000a_Sofia Marques"/>
        <s v="A Alquimia do Espírito_x000a_Paulo Prazeres"/>
        <s v="A Arte de Amália_x000a_Bruno de Almeida"/>
        <s v="A Bailarina_x000a_Fabrice Pinto, Cátia Garcia"/>
        <s v="A Batalha de Tabatô_x000a_João Viana"/>
        <s v="A Campanha do Creoula_x000a_André Valentim Almeida"/>
        <s v="A Ceia_x000a_Duarte Guedes"/>
        <s v="A Cena_x000a_Rafael Cardoso"/>
        <s v="À côté_x000a_Basil da Cunha"/>
        <s v="A cozinha do Livramento_x000a_João Melo"/>
        <s v="A Culpa não é minha_x000a_Bruno Lopes, Joana Pereira"/>
        <s v="A Dança_x000a_Henrique Somsen"/>
        <s v="A Dança dos Paroxismos_x000a_Jorge Brum do Canto"/>
        <s v="A Dupla Coincidência dos Desejos_x000a_Alexandre Melo, João Vieira Torres"/>
        <s v="A Encomenda_x000a_Manuel Graça Dias"/>
        <s v="A Esclerose e Eu_x000a_Guilherme de Sousa Delgado Goiana Mesquita"/>
        <s v="A Escolha_x000a_João Vilares"/>
        <s v="A evolução da cidade de Faro do comboio ao avião_x000a_Lena Campelo, Fábio Leria, Carla Santos, José Cabecinha"/>
        <s v="À Flor do Mar_x000a_João César Monteiro"/>
        <s v="A Formiga no Carreiro_x000a_Eurico Coelho"/>
        <s v="A Herdade dos Defuntos_x000a_Patrick Mendes"/>
        <s v="A Lenda da Cabicanca_x000a_Colectivo de Alunos da Escola EB 2,3 de Aguiar da Beira (Escola Pe. José Augusto da Fonseca)"/>
        <s v="A Limpeza_x000a_Manuel Graça Dias"/>
        <s v="A Linha_x000a_Adriana Martins da Silva, Pedro Martins, Sofia Nunes"/>
        <s v="A Lisbon Rendezvous_x000a_Pedro Mourão-Ferreira"/>
        <s v="A Lua dos Bebucanos_x000a_Luciano Cartaxo, Johel Almeida"/>
        <s v="A Luz escureceu nos teus Cabelos_x000a_Bruno Carnide"/>
        <s v="A Mãe - O Rico e o Pobre_x000a_João César Monteiro"/>
        <s v="A Mãe e o Mar_x000a_Gonçalo Tocha"/>
        <s v="A Máquina_x000a_Mafalda Marques"/>
        <s v="A Menina dos Olhos_x000a_Regina Guimarães"/>
        <s v="A Menina Jesus_x000a_Jerónimo Rocha, Joana Faria, Nico Guedes"/>
        <s v="A minha vizinha da frente_x000a_Hugo Silva"/>
        <s v="A Nau Portugal_x000a_Leitão de Barros"/>
        <s v="A Palestra_x000a_Bruno de Almeida"/>
        <s v="A Parede_x000a_Carlos Costa"/>
        <s v="A Piscina_x000a_Iana Ferreira, João Viana"/>
        <s v="A Quebra do Verniz_x000a_Leandra Gomes, Ricardo Grilo, Sara Duarte"/>
        <s v="A Severa_x000a_Leitão de Barros"/>
        <s v="A Subida_x000a_Afonso Sousa"/>
        <s v="A Triste Paixão_x000a_Rui Mendes"/>
        <s v="A última encenação de Joaquim Benite - Não basta dizer &quot;Não_x000a_Catarina Neves"/>
        <s v="A última Lavoura desta Terra_x000a_Andreia Carvalho"/>
        <s v="A Viagem_x000a_David Ferreira, Francisco Correia, João Santos, Margarida Pereira, Rui Silva"/>
        <s v="A Vida de Rafi_x000a_Daniela Leitão"/>
        <s v="A Vida Invisível_x000a_Vítor Gonçalves"/>
        <s v="Acoustic Robot 2013_x000a_Carlos Fraga"/>
        <s v="Adeus Sr. António_x000a_João Costa"/>
        <s v="Adolfo, o Rapaz Galinha_x000a_João Carrilho"/>
        <s v="Agora Nós_x000a_Pedro Raimundo"/>
        <s v="Águas em Conta_x000a_Carlos Viana"/>
        <s v="Ala-Arriba_x000a_Leitão de Barros"/>
        <s v="Alabote_x000a_João Garcia"/>
        <s v="Alba - Memórias do Cine-Teatro_x000a_Sérgio Pereira"/>
        <s v="Aldeia dos Tísicos_x000a_Hugo Dinis Neves"/>
        <s v="Aldeia José Franco_x000a_Boris van Es"/>
        <s v="Alegria do Lar_x000a_Ana Isabel Martins"/>
        <s v="Alexandria_x000a_Paulo A. Zumach"/>
        <s v="Alice e Darlene_x000a_Raul Domingues"/>
        <s v="Allegoria della Prudenza_x000a_João Pedro Rodrigues"/>
        <s v="Alma Perturbada_x000a_Luís Teixeira"/>
        <s v="Amanhã_x000a_Miguel Babo"/>
        <s v="Amapola_x000a_Teresa Villaverde"/>
        <s v="Amor à tinta_x000a_Sofia Ferreira, Nuno Rodrigues"/>
        <s v="Ana_x000a_Rui Costa, Paulo Varela"/>
        <s v="Ana - Um Palíndromo_x000a_Joana Toste"/>
        <s v="Ana e o Monstro_x000a_Francisco Miranda"/>
        <s v="Anquanto la Lhéngua fur Cantada_x000a_João Botelho"/>
        <s v="Antigamente, tudo era diferente!_x000a_Colectivo de Alunos das Escolas do 1º Ciclo das freguesias rurais de Montemor-o-Novo"/>
        <s v="António_x000a_Pedro Gaipo"/>
        <s v="Ao Deus Dará_x000a_Tiago Rosa-Rosso"/>
        <s v="Ao Fundo_x000a_Luís Coelho, Marco Min, Telmo Domingues"/>
        <s v="Ao Lobo da Madragoa_x000a_Pedro Bastos"/>
        <s v="Ao Lugar de Herbais_x000a_Daniel Ribeiro Duarte"/>
        <s v="Apenas um Homem_x000a_Joel Fernandes, Levi Fernandes"/>
        <s v="Aquele Shopping_x000a_Hugo Ângelo, Pedro Marta"/>
        <s v="Argaço_x000a_Carlos Viana"/>
        <s v="Arguim Paraíso Ameaçado_x000a_Aurélio Faria, Jorge Ramalho"/>
        <s v="Ariadne (Ash is a Robot)_x000a_Pedro Semedo, Mário Guilherme"/>
        <s v="Arpeggio_x000a_Helder Faria"/>
        <s v="Arriverdeci Macau_x000a_Rosa Coutinho Cabral"/>
        <s v="Arroz Negro remix_x000a_Tiago Pereira"/>
        <s v="Arte Xávega_x000a_Bruno Araújo, Octávio Matos"/>
        <s v="As Bodas de Deus_x000a_João César Monteiro"/>
        <s v="As Coisas não são feitas por acaso_x000a_Tiago Cravidão"/>
        <s v="As descobertas de Atuaika, Sukita e Andakatu_x000a_Colectivo de Alunos do 2º Ano da Escola EB1 de Rossio ao Sul do Tejo, Colectivo de Crianças da Escola EB1 de São Facundo, Abrantes, Colectivo de Alunos da Escola EB1 de Chainça, Abrantes"/>
        <s v="As Pequenas Memórias_x000a_Bruno Ricardo Duarte"/>
        <s v="Asas_x000a_Maria Adriana Ventura"/>
        <s v="Assim  Assim_x000a_Sérgio Graciano"/>
        <s v="Assim como todos os dias_x000a_Luciano Sazo"/>
        <s v="Até ao Outro Lado do Arco-Íris_x000a_André Agostinho"/>
        <s v="Até Ver a Luz_x000a_Basil da Cunha"/>
        <s v="Aviãozinho Militar (Orblua)_x000a_Carlos Norton"/>
        <s v="Bab Sebta_x000a_Pedro Pinho, Frederico Lobo"/>
        <s v="Back to the Future (Nice Weather for Ducks)_x000a_Bruno Carnide"/>
        <s v="Balas Perdidads_x000a_Sandra Araújo"/>
        <s v="Banda Desenhada_x000a_Pedro Santasmarinas"/>
        <s v="Bárbara_x000a_Alfredo Tropa"/>
        <s v="Beatriz (Iládio Amado)_x000a_Hernâni Duarte Maria"/>
        <s v="Bergamo Film Meeting_x000a_Regina Pessoa, Abi Feijó"/>
        <s v="Bibliografia_x000a_João Manso, Miguel Manso"/>
        <s v="Bílis Negra_x000a_Nuno Sá Pessoa"/>
        <s v="Blarghaaahrgarg_x000a_Nuria Leon Bernardo"/>
        <s v="Bobô_x000a_Inês Oliveira"/>
        <s v="Body Rice_x000a_Hugo Vieira da Silva"/>
        <s v="Bom, Muito Bom, Supréme_x000a_Diogo Pessoa de Andrade"/>
        <s v="Bombeiros da minha Terra_x000a_Tânia Prates"/>
        <s v="Bordado de Viana_x000a_Carlos Viana"/>
        <s v="Branca de Neve_x000a_João César Monteiro"/>
        <s v="Branco_x000a_Luís Alves"/>
        <s v="Breu_x000a_Jerónimo Rocha"/>
        <s v="Brincar_x000a_Colectivo de Crianças e Jovens de Guimarães"/>
        <s v="Bruto_x000a_João Lourenço"/>
        <s v="Bué Sabi_x000a_Patrícia Vidal Delgado"/>
        <s v="Cachinare_x000a_Helder Silva, Samuel Antão, Vitor Carneiro"/>
        <s v="Cadavre Exquis_x000a_Colectivo DezOnze"/>
        <s v="Caímos Juntos_x000a_Frederico Parreira"/>
        <s v="Caixa de Música_x000a_Paula Alves"/>
        <s v="Camaleão_x000a_Pedro Pais Correia"/>
        <s v="Campo de Flamingos sem Flamingos_x000a_André Príncipe"/>
        <s v="Campos de Leiria_x000a_António Campos"/>
        <s v="Cantaria_x000a_Marco Vilela"/>
        <s v="Caput_x000a_João Boaventura, Guilherme Martins, Carlos Soares, Mafalda Boavida, Inês Paixão"/>
        <s v="Cara a Cara_x000a_Margarida Leitão"/>
        <s v="Carosello_x000a_Jorge Quintela"/>
        <s v="Carrotrope_x000a_Paulo d'Alva"/>
        <s v="Casa das Marinhas_x000a_Armando Fernandes, Patrick Santos, Nuno Araújo, Miguel Araújo"/>
        <s v="Casa Manuel Vieira_x000a_Júlio Alves"/>
        <s v="Caxinas_x000a_José Manuel Sá"/>
        <s v="Ce que mon amour doit voir_x000a_François Bonenfant"/>
        <s v="Chama de Mil Cores (João Lum)_x000a_Sonat Duyar"/>
        <s v="Chantal_x000a_Joana de Verona"/>
        <s v="Choices_x000a_Fernando Vilas-Boas"/>
        <s v="Chorus_x000a_Carolina de Lemos"/>
        <s v="Ciclo Vicioso_x000a_Regina Pessoa, Pedro Serrazina, Abi Feijó"/>
        <s v="Ciência Viva no Verão_x000a_João Fazenda"/>
        <s v="Cigano_x000a_David Bonneville"/>
        <s v="Cinema Paraíso (Flor de Lis)_x000a_Sérgio Grilo"/>
        <s v="Cinemática_x000a_João Costa"/>
        <s v="Circa me_x000a_Amarante Abramovici"/>
        <s v="Cold Wa(te)r_x000a_Teresa Villaverde"/>
        <s v="Como tu!_x000a_Afonso Oliveira"/>
        <s v="Conakry_x000a_Filipa César"/>
        <s v="Conquer the Moon_x000a_Nico Guedes"/>
        <s v="Conserva Acabada_x000a_João César Monteiro"/>
        <s v="Contos das Coisas_x000a_Joana Peralta"/>
        <s v="Corpo Body Corps Körper Corpus_x000a_Vanessa Namora Caeiro"/>
        <s v="Corrente_x000a_Ico Costa"/>
        <s v="Creation Destruction Rebirth_x000a_Cristóvão Peças"/>
        <s v="Crooner Vieira - A Potência da Voz e o Romantismo não têm a ver com a Idade_x000a_Catarina Neves"/>
        <s v="Crow Covered Tree (A Jigsaw)_x000a_Joana Linda"/>
        <s v="Cuba_x000a_Filipa César"/>
        <s v="Curiositas_x000a_Paulo Cristóvão"/>
        <s v="Da Serra à Planície_x000a_Bertino Araújo, Ana Raquel Simões"/>
        <s v="Dança Dança Fogo Dança_x000a_Pedro Ferreira"/>
        <s v="Daqui p'rá Alegria_x000a_Jeanne Waltz"/>
        <s v="Daqui pra lá… de lá pra cá. Histórias de Reintegração no Brasil_x000a_Organização Internacional para as Migrações (OIM), Projetos Globais de Media (PGM)"/>
        <s v="Dare to believe_x000a_André Vilar, Bruno Ferreira, Eliana Silva, Joana Vale, Sara Nogueira"/>
        <s v="De Manhã_x000a_Flávio Gonçalves"/>
        <s v="De mim_x000a_Carlos Melim"/>
        <s v="De onde os Pássaros vêem a Cidade_x000a_André Tentúgal"/>
        <s v="De vez em quando levanto-me e vou à janela_x000a_Eduardo Pinto, Paulo Tomé"/>
        <s v="De Volta às Raízes_x000a_Gonçalo Cardeira"/>
        <s v="Decadentismo_x000a_Nuno Gonçalves"/>
        <s v="Depois dos Nossos Ídolos_x000a_Ricardo Penedo"/>
        <s v="Depois liga para cá_x000a_Tiago Gonçalves"/>
        <s v="Desafios_x000a_Carlos Viana"/>
        <s v="Desespero_x000a_Rui Pilão"/>
        <s v="Diamantes Negros_x000a_Miguel Alcantud"/>
        <s v="Dingo_x000a_Pedro Caeiro"/>
        <s v="Disparem à vontade_x000a_Tiago Pereira"/>
        <s v="Dive: Approach and Exit_x000a_Sandro Aguilar"/>
        <s v="Do Outro Lado_x000a_Luís Stoffel"/>
        <s v="Do Outro Lado_x000a_João Estrada"/>
        <s v="Documentário 239_x000a_Nuno Matos, Pedro Verde"/>
        <s v="Domingo à Tarde_x000a_Cristina Ferreira Gomes"/>
        <s v="Dona Fúnfia_x000a_Margarida Madeira"/>
        <s v="Dona Tututa_x000a_João Alves da Veiga"/>
        <s v="Dried Up River Blues (A Jigsaw)_x000a_Carina Esteves"/>
        <s v="E agora? Lembra-me_x000a_Joaquim Pinto"/>
        <s v="É o Amor_x000a_João Canijo"/>
        <s v="Eléctrico Loops_x000a_Rik Goddard, Raquel Ruiz"/>
        <s v="Eles comem tudo (Chullage)_x000a_Raquel Palermo, Sofia Bairrão"/>
        <s v="Em 3.2.1, Acção_x000a_Andreia Campos, Ana Mansinho, André Ferreira"/>
        <s v="Em Honra de São Gualter_x000a_Rui Simões"/>
        <s v="Encontro com o Criador_x000a_Ciomara Morais"/>
        <s v="Ensaio sobre o Teatro_x000a_Rui Simões"/>
        <s v="Ent(r)e_x000a_Tiago Inácio"/>
        <s v="Entre o Céu e as Marés_x000a_Daniel Pinheiro"/>
        <s v="Entre Paredes_x000a_Gonçalo Robalo, Tânia S. Ferreira"/>
        <s v="Entropia_x000a_Renata Ramos"/>
        <s v="Enxoval_x000a_Pedro Macedo"/>
        <s v="Ermo_x000a_Sofia Brandão Santos"/>
        <s v="Ermo_x000a_Rafael Calisto"/>
        <s v="Eroticon_x000a_Ernesto Pinto"/>
        <s v="Errante_x000a_Luís Portas"/>
        <s v="Escapism_x000a_Ana Sofia Marques Martins"/>
        <s v="Espelho Mágico_x000a_Manoel de Oliveira"/>
        <s v="Esta é a minha cidade_x000a_Pedro Almeida"/>
        <s v="Eucaristia_x000a_Mário Silva"/>
        <s v="Falsa Fama (Porte)_x000a_André Tentúgal"/>
        <s v="Faz Tudo Parte_x000a_André Godinho"/>
        <s v="Fernando que ganhou um Pássaro do Mar_x000a_Helvécio Marins Jr., Felipe Bragança"/>
        <s v="Ferro - O Processo_x000a_Miguel Velez"/>
        <s v="Fiesta_x000a_David Krems, Hugo Furtado"/>
        <s v="Fios de Tempo_x000a_Joaquim Pavão"/>
        <s v="Fisherman's Dream_x000a_Marko Sipka"/>
        <s v="Flor do Amor_x000a_Colectivo de Alunos da Escola EB1 de Chainça, Abrantes"/>
        <s v="Flor e Eclipse_x000a_Marcelo Félix"/>
        <s v="Floração_x000a_Maria Maranha"/>
        <s v="Fogaças de Palmela_x000a_Filipe Gomes"/>
        <s v="Fome e Fartura_x000a_Filomena Carvalho Sousa"/>
        <s v="Fontelonga_x000a_Luís Costa"/>
        <s v="Forbidden Room_x000a_Emanuel Nevado, Ricardo Almeida"/>
        <s v="Forever_x000a_Pedro Resende"/>
        <s v="Fotógrafa pela Liberdade da Pátria_x000a_Waldir Araújo"/>
        <s v="Fragmentos de um Filme-Esmola - A Sagrada Família_x000a_João César Monteiro"/>
        <s v="Fragmentos de uma Observação Participativa_x000a_Filipa Reis, João Miller Guerra"/>
        <s v="Frita mas com ganas de vivir_x000a_Diogo Pessoa de Andrade"/>
        <s v="Fúria_x000a_Sérgio Grilo"/>
        <s v="Futebol de Causas_x000a_Ricardo Antunes Martins"/>
        <s v="Gado Bravo_x000a_António Lopes Ribeiro"/>
        <s v="Gaia_x000a_Amarante Abramovici"/>
        <s v="Gambozinos_x000a_João Nicolau"/>
        <s v="Gata Má_x000a_Eva Mendes, Joana de Rosa, Sara Augusto"/>
        <s v="Gente Feliz com Làgrimas _x000a_Zeca Medeiros"/>
        <s v="Gente Trigueira_x000a_Vasco Branco"/>
        <s v="Ghost_x000a_João Onofre"/>
        <s v="Gingers_x000a_António da Silva"/>
        <s v="Gipsy Dance (Tribal Baroque)_x000a_Nuno Sá Pessoa"/>
        <s v="Guerra das Conchas_x000a_Alfredo Reis Deus"/>
        <s v="Herberto_x000a_Bruno Sousa"/>
        <s v="Herculano_x000a_Sérgio Graciano"/>
        <s v="História dos Açores_x000a_Tiago Rosas, Victor Descalzo"/>
        <s v="Homem Só_x000a_Rebeca das Neves"/>
        <s v="Homozapping_x000a_Francisco Correia, Humberto Duarte, Patrício Brito, Ricardo Falcão"/>
        <s v="Hotel da Noiva_x000a_Manuel Bernardo Cabral"/>
        <s v="I am Tigerman_x000a_Iuri Monteiro, João Garcia, Manuel Prata, Maria Barroqueiro, Ricardo Dias"/>
        <s v="I Still Do (Bloom in Stereo)_x000a_Bruno Santana"/>
        <s v="Imaculado_x000a_Gonçalo Waddington"/>
        <s v="Íman_x000a_Diego Ramalho"/>
        <s v="In Winter_x000a_Nuno Escudeiro"/>
        <s v="Inalterável_x000a_Maria Maranha"/>
        <s v="Incredulous Voice_x000a_Inês Freitas, Miguel Mendes"/>
        <s v="India (in motion)_x000a_Paulo Couto"/>
        <s v="Inquietude/Disquietude_x000a_Bruna Silva, João Faria, Marco Nascimento, Pedro Brito, Rita Silva"/>
        <s v="Irmão de Guerra_x000a_Lara Leitão, Nelson Silva"/>
        <s v="Is too cold outside_x000a_João Horta"/>
        <s v="Isto é para ti_x000a_Miguel Azevedo"/>
        <s v="Jaqueline_x000a_João Bordeira"/>
        <s v="Jesus Loves Me_x000a_Maria Inês Carrola"/>
        <s v="Jewels_x000a_Sandro Aguilar"/>
        <s v="João Ratão_x000a_Jorge Brum do Canto"/>
        <s v="José Combustão dos Porcos_x000a_José Magro"/>
        <s v="June_x000a_Fernando Eloy"/>
        <s v="Kadjike_x000a_Sana Nha N'Hada"/>
        <s v="La nuit du coup d'état_x000a_Ginette Lavigne"/>
        <s v="Lacrau_x000a_João Vladimiro"/>
        <s v="Lápis Azul_x000a_Rafael A. Martins"/>
        <s v="Lar Doce Lar_x000a_Renato Fernandes"/>
        <s v="L'Arc-en-Ciel_x000a_David Bonneville"/>
        <s v="Lazareto_x000a_Diogo Allen"/>
        <s v="Lettera Amorosa_x000a_João César Monteiro"/>
        <s v="Limbo_x000a_Afonso Sousa"/>
        <s v="Linhas_x000a_Óscar Faria"/>
        <s v="Lobos e Homens_x000a_Carla Castelo"/>
        <s v="Locked in_x000a_Eduardo Costa"/>
        <s v="Longe do Éden_x000a_Carlos Amaral"/>
        <s v="Love's Physics_x000a_Joana Mendes"/>
        <s v="Luanda por Terra Água e Ar_x000a_Paulo Moreira"/>
        <s v="Lucid and Sober Dreaming_x000a_Filipa Pereira Pinto"/>
        <s v="Lúcio_x000a_Rui António"/>
        <s v="Luís_x000a_João Lopes"/>
        <s v="Luiz da Rocha_x000a_Inês Mestre"/>
        <s v="Luminita_x000a_André Marques"/>
        <s v="Luto_x000a_Pedro Barbosa"/>
        <s v="M_x000a_Joana Bartolomeu"/>
        <s v="Má Hora_x000a_Bruno Fonseca, Nuno Roque, Alexandre Leonardo"/>
        <s v="Má Raça_x000a_André Santos, Marco Leão"/>
        <s v="Mahjong_x000a_João Pedro Rodrigues, João Rui Guerra da Mata"/>
        <s v="Man in Bag_x000a_Chiara Brancadoro, Giulia Coen, Matteo Ferraris, Cora Fornovi, Chiara Zanetti"/>
        <s v="Mancha_x000a_Ana Seia de Matos"/>
        <s v="Manhã Triste_x000a_Hernâni Duarte Maria, Pedro Noel da Luz"/>
        <s v="Manifestação_x000a_Carlos Godinho"/>
        <s v="Manual do Sentimento Doméstico_x000a_Marta Pessoa"/>
        <s v="Máscaras_x000a_Noémia Delgado"/>
        <s v="Mau Vinho_x000a_Marcantonio del Carlo"/>
        <s v="Memória de um Banho Santo_x000a_Carlos Viana"/>
        <s v="Memória fotográfica_x000a_Eduardo Pinto"/>
        <s v="Memórias da Cruz_x000a_Victor Carvalho"/>
        <s v="Memórias de Guerra_x000a_Miguel Coelho, Pedro Pirata"/>
        <s v="Mergulho_x000a_Pedro Sena Nunes"/>
        <s v="Mestre Luiz Cunha - No Limite do Imaginário_x000a_Andreia Caldeira, João Sousa, Juliana Mota, Luís Martins, Mariana Evangelista, Pedro Abalada"/>
        <s v="Mestre Macário_x000a_André Dias"/>
        <s v="Meu Pescador, Meu Velho_x000a_Amaya Sumpsi"/>
        <s v="Moliceiros_x000a_Manuel Matos Barbosa"/>
        <s v="Mon cas_x000a_Manoel de Oliveira"/>
        <s v="Monstro_x000a_Alex Barone"/>
        <s v="Mr. Carrot_x000a_Margarida Madeira"/>
        <s v="Mr. Pickle_x000a_Margarida Madeira"/>
        <s v="Mucancas - Estória de uma Escola Paga_x000a_Rui Sena"/>
        <s v="Na escama do dragão_x000a_Ivo M. Ferreira"/>
        <s v="Natimorfo_x000a_Luís Lobato Costa, Bruno Cavalcanti"/>
        <s v="Natureza Morta_x000a_Joana Rodrigues"/>
        <s v="Nazaré, Terra de Milagres_x000a_Pedro Santasmarinas"/>
        <s v="Negro_x000a_Jérémy Pouivet"/>
        <s v="Nenhum Nome_x000a_Gonçalo Waddington"/>
        <s v="Neñures_x000a_Priscilla Fontoura"/>
        <s v="Nico - A Revolta_x000a_Paulo Araújo"/>
        <s v="Night Train to Lisbon_x000a_Bille August"/>
        <s v="No País dos Sacanas_x000a_Manuel Vilarinho"/>
        <s v="Nome de Guerra - A Viagem de Junqueiro_x000a_Henrique Manuel Pereira"/>
        <s v="Non ou A Vã Glória de Mandar_x000a_Manoel de Oliveira"/>
        <s v="Nós por cá todos bem_x000a_Fernando Lopes"/>
        <s v="Nu Feminino_x000a_Raquel Vidal"/>
        <s v="Nunca pensei que o bairro viesse abaixo_x000a_José Oliveira"/>
        <s v="O Adeus à Brisa_x000a_Possidónio Cachapa"/>
        <s v="O Amor das Três Romãs_x000a_João César Monteiro"/>
        <s v="O Anjo_x000a_André Marques"/>
        <s v="O Astronauta_x000a_João Estrada"/>
        <s v="O Berço Imperfeito_x000a_Mário Ventura"/>
        <s v="O Bestiário ou O Cortejo de Orfeu_x000a_João César Monteiro"/>
        <s v="O Bilhete_x000a_Colectivo de Alunos da EB2,3 Prof. Carlos Teixeira, Fafe"/>
        <s v="O Canal por Sintonizar_x000a_Gonçalo Cardeira"/>
        <s v="O Cheiro das Velas_x000a_Adriana Martins da Silva"/>
        <s v="O Corpo de Afonso_x000a_João Pedro Rodrigues"/>
        <s v="O Efeito Werther_x000a_João Pedro Vale , Nuno Alexandre Ferreira"/>
        <s v="O Encadernador_x000a_Rui Almeida"/>
        <s v="O Espelho da Cidade_x000a_Vasco Branco"/>
        <s v="O Homem que Remava o Barco_x000a_Bruno Rosa"/>
        <s v="O Infinito Concentrado_x000a_Joana Inácio"/>
        <s v="O Jugo Vareiro_x000a_Vasco Branco"/>
        <s v="O Lago_x000a_Tiago Pimentel"/>
        <s v="O Medo vai ter tudo_x000a_Pedro Monteiro"/>
        <s v="O menino e o caranguejo_x000a_Vasco Branco"/>
        <s v="O Miradouro da Lua_x000a_Jorge António"/>
        <s v="O Mundo cai aos Bocados (e ainda assim as pessoas apaixonam-se)_x000a_Henrique Pina"/>
        <s v="O Nome de Carapito_x000a_Colectivo de Alunos da Escola EB 2,3 de Aguiar da Beira (Escola Pe. José Augusto da Fonseca)"/>
        <s v="O Nome e o N.I.M._x000a_Inês Oliveira"/>
        <s v="O Novo Testamento de Jesus Cristo Segundo João_x000a_Joaquim Pinto, Nuno Leonel"/>
        <s v="O Outro Lado_x000a_Gabriela Leite Soares"/>
        <s v="O que eu entendo por amor_x000a_Ricardo Martins"/>
        <s v="O que te quero_x000a_Jeanne Waltz"/>
        <s v="O Recado_x000a_José Fonseca e Costa"/>
        <s v="O Reino do Silêncio_x000a_Colectivo de Alunos da Escola EB 2,3 Bento Carqueja, Oliveira de Azeméis"/>
        <s v="O Sabor da Despedida_x000a_Arminda de Sousa Deusdado"/>
        <s v="O Segredo Segundo António Botto_x000a_Rita Filipe, Maria Azevedo"/>
        <s v="O Silêncio das Sereias_x000a_Guilherme Daniel"/>
        <s v="O Sol Nasce Sempre do Mesmo Lado_x000a_Nuno Matos"/>
        <s v="O Som do Silêncio_x000a_Paulo Grade, João Lourenço"/>
        <s v="O Tesouro_x000a_Gonçalo Silva, Marcantonio del Carlo"/>
        <s v="O Tesouro_x000a_Jean-Luc Bouvret"/>
        <s v="O Troco_x000a_Soraia Ferreira"/>
        <s v="O último de nós_x000a_André M. Santos, Filipe Caeiro, Pedro de Sousa Rodrigues"/>
        <s v="O último serviço_x000a_Abel Oliveira"/>
        <s v="O Vazio entre Nós_x000a_Miguel Pinho"/>
        <s v="O Zé_x000a_Bárbara Carmo, Carlos Arteiro"/>
        <s v="Oblivion_x000a_Bruno Ricardo Duarte"/>
        <s v="Odisseia nas Imagens_x000a_Regina Pessoa"/>
        <s v="Off the Beaten Track_x000a_João Pedro Moreira"/>
        <s v="Olaria_x000a_Marco Vilela"/>
        <s v="Olho de Boi_x000a_Diogo Pessoa de Andrade"/>
        <s v="Onde Bate o Sol_x000a_Joaquim Pinto"/>
        <s v="One Right Lie (A Jigsaw)_x000a_Nuno Portugal"/>
        <s v="One with Nature_x000a_Daniel Silvério"/>
        <s v="Orelha Negra_x000a_Joana Areal"/>
        <s v="Os Abismos da Meia Noite_x000a_António de Macedo"/>
        <s v="Os Caminhos de Jorge_x000a_Miguel Moraes Cabral"/>
        <s v="Os Canibais_x000a_Manoel de Oliveira"/>
        <s v="Os Dias com Ele_x000a_Maria Clara Escobar"/>
        <s v="Os Dois Soldados_x000a_João César Monteiro"/>
        <s v="Os Guardiões das Florestas_x000a_Colectivo de Alunos da Escola EB 2,3 Bento Carqueja, Oliveira de Azeméis"/>
        <s v="Os mortos também puxam de um cigarro_x000a_Helder Fonseca"/>
        <s v="Os quiero, os respeto, os necesito -  15M desde Dentro_x000a_Alex Campos García"/>
        <s v="Os Sons também Falam_x000a_Luís Margalhau"/>
        <s v="Ouro de Lei - Histórias do Ouro Popular Português_x000a_Carlos Viana"/>
        <s v="Palhaços (The Soaked Lamb)_x000a_Nuno Dias"/>
        <s v="Pancho Guedes - Ecos de uma Modernidade Alternativa_x000a_Pedro Gadanho"/>
        <s v="Panorama_x000a_Francisco Ferreira, João Rosmaninho"/>
        <s v="Partir_x000a_Fábio Freitas"/>
        <s v="Passando à de Zé Marôvas_x000a_Aurora Ribeiro"/>
        <s v="Pastorícia_x000a_Marco Vilela"/>
        <s v="Pax America_x000a_Joana Lima Martins"/>
        <s v="Pecado Fatal_x000a_Luís Diogo"/>
        <s v="Pedro_x000a_Dário Pacheco"/>
        <s v="Penitência_x000a_Matthias Fritsche"/>
        <s v="Pequenos Teatros de Rua_x000a_Regina Guimarães"/>
        <s v="Perdidos_x000a_Vasco Galhofo"/>
        <s v="Perto de Mais_x000a_Bruno Moreira"/>
        <s v="Plutão_x000a_Jorge Jácome"/>
        <s v="Pó_x000a_Afonso Pimentel"/>
        <s v="Poesia de Segunda Categoria_x000a_Luís Santo Vaz"/>
        <s v="Ponto de Fuga_x000a_Guilherme Daniel"/>
        <s v="Porto de Abrigo_x000a_Luís Nunes"/>
        <s v="Pretarouca - Temos de ir com os tempos_x000a_José Costa Barbosa"/>
        <s v="Primária_x000a_Hugo Pedro"/>
        <s v="Princesa_x000a_Fábio Gonçalves"/>
        <s v="Projecto V_x000a_Bernardo Gomes de Almeida"/>
        <s v="Prova de Contacto_x000a_João Mário Grilo"/>
        <s v="Quarta Divisão_x000a_Joaquim Leitão"/>
        <s v="Quem espera por Sapatos de Defunto morre descalço_x000a_João César Monteiro"/>
        <s v="Quem mora na minha cabeça?_x000a_Miguel Seabra Lopes"/>
        <s v="Quentin, o porco que queria voar_x000a_Davide Marques"/>
        <s v="Queria Ser_x000a_Sílvia Firmino"/>
        <s v="Quimera_x000a_Catarina Damas"/>
        <s v="Rabiscos_x000a_Bruno Gonçalves"/>
        <s v="Rafael e Maria_x000a_Ricardo Machado"/>
        <s v="Razões para Zebras_x000a_João Costa"/>
        <s v="Realidade sim. Realidade não. A que estiver_x000a_Diogo Nóbrega"/>
        <s v="Red Pony (A Jigsaw)_x000a_José Pedro Graça"/>
        <s v="Redemption_x000a_Miguel Gomes"/>
        <s v="Reduto_x000a_Pedro Mota Tavares"/>
        <s v="Reflex_x000a_Júlio Lopes, André Sobral, Pedro Teixeira"/>
        <s v="Rei Inútil_x000a_Telmo Churro"/>
        <s v="Rendez-Vous_x000a_António Nascimento"/>
        <s v="Republica di Mininus_x000a_Flora Gomes"/>
        <s v="Resistência ao Amor_x000a_Daniel Machado, Dinis Machado, Bruno Costa , Rui Almeida, Cristina Silva"/>
        <s v="Respice Albus, Respice Niger_x000a_Patrícia Bandeira"/>
        <s v="Retratos das Margens do Rio Lis_x000a_António Campos"/>
        <s v="Riders_x000a_André Godinho"/>
        <s v="Rincón de Darwin_x000a_Diego Fernández"/>
        <s v="Rosa Negra_x000a_Margarida Gil"/>
        <s v="Rosa Tingido_x000a_Patrícia Fernandes"/>
        <s v="Rua Direita nº 15 _x000a_Hugo Santos"/>
        <s v="Runtime Error_x000a_Sandra Araújo"/>
        <s v="Safra_x000a_David Cachopo"/>
        <s v="Sal duro sal_x000a_Manuel Paula Dias"/>
        <s v="Salitre_x000a_Leonor Noivo"/>
        <s v="Sangue Frio_x000a_Patrick Mendes"/>
        <s v="Santa Maria Connection_x000a_Eberhard Schedl"/>
        <s v="São João d'Arga_x000a_Carlos Viana"/>
        <s v="São Pedro da Cova_x000a_Rui Simões"/>
        <s v="Sapos e Bruxas_x000a_Luís Pedreira"/>
        <s v="Sara_x000a_Miguel Antunes"/>
        <s v="Saving You_x000a_Bruno Gomes"/>
        <s v="Scars are pretty (The Flat Mountain)_x000a_Vanessa Pinheiro"/>
        <s v="Scold (Clutter)_x000a_Ivo Louro"/>
        <s v="Se Eu Fosse Ladrão…Roubava_x000a_Paulo Rocha"/>
        <s v="Segura-te!_x000a_Turma 12ºH da Escola Secundária D. João II, Setúbal"/>
        <s v="Serão_x000a_Joana Toste"/>
        <s v="Serra_x000a_Diogo Gomes"/>
        <s v="Sete Flores_x000a_Inês Faro"/>
        <s v="Sexo sem Idade_x000a_Ana Catarina Caldas, Pedro Pintalhão, Ariana Caldeira, Kátia Ferreira, Lardyanne Pimentel"/>
        <s v="Si esta plaza fuera una persona…_x000a_Diogo Pessoa de Andrade"/>
        <s v="Síria_x000a_Carlos Gomes"/>
        <s v="Sleep_x000a_Hugo Folgado, Célia Alturas"/>
        <s v="Só_x000a_Nuno Fragata"/>
        <s v="Sobre o Cinema Português em Ambulância_x000a_Cristina Branco"/>
        <s v="Sofia e a Educação Sexual_x000a_Eduardo Geada"/>
        <s v="Sol, Suor e Sal_x000a_Vasco Branco"/>
        <s v="Solitária_x000a_José Mendes"/>
        <s v="Somos Livros_x000a_Mariana Ferreira"/>
        <s v="Sophia de Mello Breyner Andresen_x000a_João César Monteiro"/>
        <s v="Sou do Fado_x000a_João Gaspar"/>
        <s v="Soulleimane_x000a_Paulo Pancadas"/>
        <s v="Sugar Girl_x000a_Bruno Simões"/>
        <s v="Suspensão_x000a_Nuno Cera"/>
        <s v="Suspiro…_x000a_João Pedro Tomás"/>
        <s v="Synchrotron_x000a_Patrick Mendes"/>
        <s v="Tabatô_x000a_João Viana"/>
        <s v="Talvez_x000a_Luciano Sazo"/>
        <s v="Tás aqui? Tou_x000a_Turma 12º E Audiovisuais do Agrupamento de Escolas de Castro Daire"/>
        <s v="Tebas_x000a_Rodrigo Areias"/>
        <s v="Televisão_x000a_Filipe Afonso"/>
        <s v="Terra_x000a_Pedro Lino"/>
        <s v="Testemunhos da Resistência_x000a_João Pires"/>
        <s v="The Buffalo Kid_x000a_Pedro Marnoto Pereira"/>
        <s v="The Day that Never Came (Cinnamon Chasers)_x000a_João Seiça"/>
        <s v="The Escape_x000a_Bruno Santos, Pedro Baginha, Sérgio Cerqueira, Tiago Fonseca"/>
        <s v="The Escape_x000a_Gonçalo Gomes"/>
        <s v="The Strangest Friend (A Jigsaw)_x000a_António Ferreira, Nuno Portugal"/>
        <s v="Theatrum Orbis Terrarum_x000a_Salomé Lamas"/>
        <s v="Too many Daddies, Mommies and Babies_x000a_Gabriel Abrantes"/>
        <s v="Torres _x000a_André Guiomar"/>
        <s v="Torres &amp; Cometas_x000a_Gonçalo Tocha"/>
        <s v="Transgressão_x000a_Pedro Farate"/>
        <s v="Transition 89_x000a_LIA"/>
        <s v="Transparências Perdidas_x000a_Mário Pereira, Vítor Brito, Carlos Amaro"/>
        <s v="Três Casas em São Miguel_x000a_Andreia Luís"/>
        <s v="Três Obras - ARX_x000a_Carlos Gomes"/>
        <s v="Três Semanas em Dezembro_x000a_Laura Gonçalves"/>
        <s v="Tsintty_x000a_Rui Pedro Sousa"/>
        <s v="Twenty-One-Twelve: The Day the World didn't End_x000a_Marco Martins"/>
        <s v="UHF Canal Maldito - 35 Anos_x000a_Nuno Calado, Eduardo Adelino"/>
        <s v="Um Cadáver chamado Alfredo_x000a_João Estrada"/>
        <s v="Um Conto de Inverno_x000a_Alexandra Côrte-Real de Almeida"/>
        <s v="Um Fim do Mundo_x000a_Pedro Pinho"/>
        <s v="Um Olhar Diferente pela Ria de Aveiro_x000a_Manuel Paula Dias"/>
        <s v="Uma Barragem Mais Trés Vales a Menos_x000a_Maria José Afonso, João Silva"/>
        <s v="Uma Maré de Moliço_x000a_Alfredo Tropa"/>
        <s v="Uma Noite na Praia_x000a_São José Correia"/>
        <s v="Untitled_x000a_Jorge Romariz"/>
        <s v="Vai e Vem (Vol.2)_x000a_Joel Duarte"/>
        <s v="Vampire_x000a_Linnea Lidegran"/>
        <s v="Variações sobre a Europa_x000a_Ana Almeida, José Pedro Lopes"/>
        <s v="Verde Ténue_x000a_Joana Beja, João Aguiar"/>
        <s v="Vermelho como o teu Nariz_x000a_Francisco Miranda"/>
        <s v="Versailles_x000a_Carlos Conceição"/>
        <s v="VIda _x000a_Isabel Vasconcelos"/>
        <s v="Vida Activa_x000a_Susana Nobre"/>
        <s v="Vida Tramada_x000a_Salvador Palma, Rui Rodrigues"/>
        <s v="Vidas com Lobos_x000a_Gonçalo Costa"/>
        <s v="Video Game Mashup_x000a_Sandra Araújo"/>
        <s v="Vidro Quente, Corpo Frio_x000a_Gonçalo Cardeira"/>
        <s v="Vil_x000a_António Pinhão Botelho"/>
        <s v="Virtual_x000a_Joel Duarte"/>
        <s v="Visita virtual: Villa Romana do Rabaçal_x000a_Pedro Madeira"/>
        <s v="Volvente_x000a_Abel Oliveira, Jacinta Barreto, Rui Ribeiro"/>
        <s v="Voodoo Glow Skulls - Dead Soldiers_x000a_João Gargaté"/>
        <s v="WC_x000a_Vasco Saraiva"/>
        <s v="Where is my Mind_x000a_Maria Inês Carrola"/>
        <s v="Where to sit at a Dinner Table?_x000a_Pedro Neves Marques"/>
        <s v="White nights_x000a_Nuno Escudeiro"/>
        <s v="Why don't  we change?_x000a_João Couto C."/>
        <s v="Wolfram, a Saliva do Lobo_x000a_Joana Torgal"/>
        <s v="Wots - O Assalto_x000a_Paulo César Fajardo"/>
        <s v="Xico+Xana_x000a_Francisco Morgado"/>
        <s v="xXx_x000a_João Alves"/>
        <s v="Zasmazany Film_x000a_Pedro Ferreira"/>
        <s v="Zé dos Pássaros_x000a_Paulo Sousa, Silvino Fernandes"/>
        <s v="Zigurate_x000a_Pedro Miguel Santos"/>
        <s v="As Rosas Brancas_x000a_Diogo Costa Amarante"/>
        <s v="Dias Assim_x000a_Maria João Ferreira"/>
        <s v="Imad_x000a_Guilherme Gomes"/>
        <s v="Mala_x000a_Daniel M. Silva"/>
        <s v="Música em Pó_x000a_Eduardo Morais"/>
        <s v="Sangue Toureiro_x000a_Augusto Fraga"/>
        <s v="Taprobana_x000a_Gabriel Abrantes"/>
      </sharedItems>
    </cacheField>
    <cacheField name="PAÍS | COUNTRY" numFmtId="0">
      <sharedItems count="79">
        <s v="Brasil | Brazil"/>
        <s v="Espanha | Spain"/>
        <s v="França | France"/>
        <s v="Portugal"/>
        <s v="Argentina"/>
        <s v="Alemanha | Germany"/>
        <s v="Austrália | Australia"/>
        <s v="Canadá | Canada"/>
        <s v="Holanda | Netherlands"/>
        <s v="EUA | US"/>
        <s v="Grécia | Greece"/>
        <s v="República Checa | Czech Republic"/>
        <s v="Andorra"/>
        <s v="Angola"/>
        <s v="EUA | US, Portugal"/>
        <s v="Itália | Italy"/>
        <s v="Polónia | Poland"/>
        <s v="Reino Unido | United Kingdom"/>
        <s v="Coreia do Sul | South Korea"/>
        <s v="Indonésia | Indonesia"/>
        <s v="Irlanda | Ireland"/>
        <s v="Moçambique | Mozambique"/>
        <s v="Eslovénia | Slovenia"/>
        <s v="China"/>
        <s v="Bósnia-Herzegovina | Bosnia and Herzegovina"/>
        <s v="Liechtenstein"/>
        <s v="Albânia | Albania"/>
        <s v="África do Sul | South Africa"/>
        <s v=""/>
        <s v="Bulgária | Bulgaria"/>
        <s v="Letónia | Latvia"/>
        <s v="Turquia | Turkey"/>
        <s v="Marrocos | Morocco"/>
        <s v="Sérvia | Serbia"/>
        <s v="Suíça | Switzerland"/>
        <s v="Áustria | Austria"/>
        <s v="Dinamarca | Denmark"/>
        <s v="Colômbia | Colombia"/>
        <s v="Luxemburgo | Luxembourg"/>
        <s v="Tailândia | Thailand"/>
        <s v="Israel"/>
        <s v="Lituânia | Lithuania"/>
        <s v="Japão | Japan"/>
        <s v="Ucrânia | Ukraine"/>
        <s v="Cabo Verde | Cape Verde"/>
        <s v="Arménia | Armenia"/>
        <s v="Peru"/>
        <s v="Líbano | Lebanon"/>
        <s v="Índia | India"/>
        <s v="Estónia | Estonia"/>
        <s v="Croácia | Croatia"/>
        <s v="Roménia | Romania"/>
        <s v="Etiópia | Ethiopia"/>
        <s v="Equador | Ecuador"/>
        <s v="Venezuela | Venezuela, Bolivarian Republic of"/>
        <s v="Uruguai | Uruguay"/>
        <s v="Noruega | Norway"/>
        <s v="Eslováquia | Slovakia"/>
        <s v="Bélgica | Belgium"/>
        <s v="Chipre | Cyprus"/>
        <s v="México | Mexico"/>
        <s v="Chile"/>
        <s v="Arábia Saudita | Saudi Arabia"/>
        <s v="Suécia | Sweden"/>
        <s v="Rússia | Russian Federation"/>
        <s v="Finlândia | Finland"/>
        <s v="Catar | Qatar"/>
        <s v="Hungria | Hungary, Áustria | Austria"/>
        <s v="Hungria | Hungary"/>
        <s v="Egipto | Egypt"/>
        <s v="Geórgia | Georgia"/>
        <s v="Emiratos Árabes Unidos | United Arab Emirates"/>
        <s v="Tunísia | Tunisia"/>
        <s v="Argélia | Algeria"/>
        <s v="Kosovo"/>
        <s v="EUA | US, Portugal, Reino Unido | United Kingdom"/>
        <s v="Nigéria | Nigeria"/>
        <s v="Panamá | Panama"/>
        <s v="Malásia | Malaysia"/>
      </sharedItems>
    </cacheField>
    <cacheField name="PRÉMIOS / MENÇÕES_x000a_AWARDS / SPECIAL MENTIONS" numFmtId="0">
      <sharedItems count="743" longText="1">
        <s v=""/>
        <s v="Menção Especial do Júri_x000a_Largometrajes"/>
        <s v="Premio de la Competencia Internacional de Documentales_x000a_Competencia Internacional de Documentales"/>
        <s v="Premio Andorinha Longa para Melhor Montagem em Documentário (Susana de Sousa Dias)_x000a_Andorinha Longa Documentário"/>
        <s v="Prémio RTP2 - Onda Curta_x000a_Andorinha Curta Documentário"/>
        <s v="2º Prémio"/>
        <s v="Melhor Filme_x000a_Prémio de Cinema para Filmes sobre Arte"/>
        <s v="Menção Honrosa"/>
        <s v="Prémio Caixa Geral de Depósitos para Melhor Primeira Obra_x000a_Competição Portuguesa - Médias e Longas"/>
        <s v="Melhor Curta-Metragem Nacional_x000a_Sessão Competitiva 7"/>
        <s v="Melhor Representação: José Pinto_x000a_1ª Sessão Competitiva"/>
        <s v="Joaquim de Almeida Augusta Award para Melhor Actor: José Pinto"/>
        <s v="Certificate Fiction_x000a_Fiction"/>
        <s v="Melhor Curtíssima Portuguesa_x000a_Curtíssimas"/>
        <s v="Prémio Jovem Cineasta Português (-18 anos): Menção Honrosa_x000a_Prémio Jovem Cineasta Português (-18 anos)"/>
        <s v="Melhor Actriz Principal: Leonor Baldaque"/>
        <s v="Arara de Prata_x000a_Animação e Cartoon"/>
        <s v="Menção Honrosa Documentário"/>
        <s v="2nd Prize_x000a_Animation"/>
        <s v="Certificate Animated Cartoon_x000a_Animated Cartoon"/>
        <s v="Prémio du Público: 2º Melhor Filme_x000a_1ª Sessão Competitiva"/>
        <s v="Melhor Vídeo Animação_x000a_Cineastas: Animação"/>
        <s v="Menção Honrosa_x000a_Prémio de Cinema para Filmes sobre Arte"/>
        <s v="Melhor Vídeo Ficção_x000a_Cineastas: Ficção"/>
        <s v="Melhor Fotografia_x000a_2ª Sessão Competitiva"/>
        <s v="Ensaios Visuais: Melhor Filme_x000a_Ensaios Visuais 4"/>
        <s v="Grand Prix de la Meilleure Création Sonore: Mário Dias_x000a_Compétion Courts-métrages - Programme 3"/>
        <s v="Menção Honrosa Vídeo Ficção_x000a_Competição Vídeo 3"/>
        <s v="Melhor Ficção"/>
        <s v="Menção Especial do Júri_x000a_Nuovi Segni 3"/>
        <s v="Prémio PIXEL BUNKER Melhor CM Portuguesa_x000a_Competição Internacional - Curtas Metragens"/>
        <s v="Compositor Revelação do Ano: Nuno Maló"/>
        <s v="Best Director: João Nuno Pinto_x000a_International Competition"/>
        <s v="Prémio AIP Melhor Imagem para LM Portuguesa a Carlos Lopes &quot;Cácá&quot;"/>
        <s v="Prémio Andorinha Longa para Melhor Direção (João Nuno Pinto) e Melhor Ator Coadjuvante (Raúl Solnado)_x000a_Andorinha Longa Ficção"/>
        <s v="Prémio Revelação, Prémio Melhor Actor: Fernando Luís_x000a_Sessão Competitiva 10"/>
        <s v="Prémio Andorinha Curta para Melhor Documentário_x000a_Andorinha Curta Documentário"/>
        <s v="Menção Honrosa e Prémio da Juventude Universidade Lusófona_x000a_Competição Internacional e Competição Lusófona"/>
        <s v="Prix Ulysse_x000a_Compétiton Documentaires"/>
        <s v="3º Prémio"/>
        <s v="Prémio do Público: 1º Melhor Filme_x000a_1ª Sessão Competitiva"/>
        <s v="1º Prémio"/>
        <s v="Melhor Documentário"/>
        <s v="Prémio Kodak, Prémio Smiling, Prémio Restart, Prémio ACM e Prémio RTP2 Onda Curta_x000a_Take One!"/>
        <s v="Honorable Mention_x000a_Fall 2011 Festival Winners: Animated Films"/>
        <s v="Melhor Ficção e Melhor Filme Português_x000a_Sessão Competitiva 2"/>
        <s v="2º Prémio Naval VideoSub_x000a_Naval VideoSub"/>
        <s v="Mehor Vídeo Ficção_x000a_Cinéfilos: Ficção"/>
        <s v="Luís Ismael Augusta Award para Melhor Documentário"/>
        <s v="Prémio do Público_x000a_Sessão Competitiva de Curtas Metragens 8"/>
        <s v="Prémio a Jovem Realizador"/>
        <s v="Augusta Award para Melhor Realizador"/>
        <s v="Prémio Jovem Cineasta Português (+18 anos)_x000a_Prémio Jovem Cineasta Português (+18 anos)"/>
        <s v="3º Prémio na categoria de Curtas_x000a_Curtas Animação"/>
        <s v="Prix Cinéma en Construction 19"/>
        <s v="Best Non-European Dramatic Short_x000a_Non-European Dramatic Short"/>
        <s v="Prémio Melhor Curta-Metragem_x000a_Competição Curtas Metragens"/>
        <s v="Prémio Jovem Cineasta Português (+18 anos): Menção Honrosa_x000a_Prémio Jovem Cineasta Português (+18 anos)"/>
        <s v="Award of Excellence_x000a_Narrative Short"/>
        <s v="Melhor Som: Vasco Pimentel, Tiago Matos e Joel Rangon_x000a_Sessão Competitiva 8"/>
        <s v="Melhor Filme Nacional_x000a_2ª Sessão Competitiva"/>
        <s v="Menção Honrosa_x000a_Competição Lusófona"/>
        <s v="Prémio do Público"/>
        <s v="Prémio Núcleo de Animação de Campinas_x000a_Curtas de Estudantes"/>
        <s v="Melhor Curta-Metragem de Animação_x000a_Sessão Competitiva 2"/>
        <s v="Prémio Nacional Multimédia na Categoria Entretenimento para a Filmógrafo_x000a_Entretenimento"/>
        <s v="Prémio Motelx para Melhor Curta de Terror Portuguesa_x000a_Prémio Motelx . Melhor Curta de Terror Portuguesa"/>
        <s v="Prémio José Farinha para Melhor Curta Metragem"/>
        <s v="2nd Prize - Animation Cartoon_x000a_Animation Cartoon"/>
        <s v="2º Prémio na categoria de Curtas_x000a_Curtas Animação"/>
        <s v="Best Animation Short Film_x000a_Short Films Animation"/>
        <s v="Prémio do Público - Melhor Filme Açoreano_x000a_Competição Curtas Metragens"/>
        <s v="Melhor Curta Portuguesa_x000a_Curtas de Estudantes"/>
        <s v="1º Prémio Naval VideoSub_x000a_Naval VideoSub"/>
        <s v="Mejor Documental Transfrontera_x000a_Transfrontera"/>
        <s v="Menção Honrosa_x000a_Take One!"/>
        <s v="Bester Professioneller Film_x000a_Bester Professioneller Film"/>
        <s v="Prix Amadis du Meilleur Montage_x000a_Compétition international 2"/>
        <s v="Prémio Andorinha Curta para Melhor Ficção_x000a_Andorinha Curta Ficção"/>
        <s v="Grand Prix Amadis du Jury ex aequo_x000a_Compétition international 4"/>
        <s v="Barrilete de Oro - Mejor Programa TV Animación_x000a_Competencia Oficial: Mi TV 1 6+"/>
        <s v="Melhor Filme na categoria &quot;Films for Children&quot;_x000a_Category V"/>
        <s v="Menção Especial_x000a_Sessão Competitiva nº 3"/>
        <s v="Melhor Curtíssima_x000a_Competição Curtas Metragens"/>
        <s v="Premio CURT"/>
        <s v="Menção Honrosa_x000a_1ª Sessão Competitiva"/>
        <s v="Melhor Actriz: Beatriz Batarda"/>
        <s v="Menzione speciale della giuria_x000a_Concorso Cineasti del presente"/>
        <s v="Grande Prémio Cidade de Lisboa para melhor média ou longa metragem_x000a_Competição Internacional - Médias e Longas"/>
        <s v="Prémio TAP para Melhor Doc. de Longa Metragem Português"/>
        <s v="Prémio Canon"/>
        <s v="Menção Honrosa Vídeo Ficção_x000a_Competição Vídeo 4"/>
        <s v="Menção Especial _x000a_Competição Longas Metragens"/>
        <s v="Prémio Melhor Actor Secundário: Ângelo Torres,  Melhor Mùsica Original: The Lengendary Tigerman e Rita Redshoes_x000a_Sessão Competitiva 17"/>
        <s v="Delphic Art Movie Award"/>
        <s v="Melhor Actor: Cláudio Silva"/>
        <s v="Melhor Filme "/>
        <s v="Prémio  Especial do Júri"/>
        <s v="Prémio do Público - Melhor Filme"/>
        <s v="Melhor Direcção, Melhor Filme Finalizado em Vídeo e Melhor Filme Estrangeiro"/>
        <s v="Menção Especial _x000a_Competição Nacional"/>
        <s v="Melhor Filme Experimental_x000a_3ª sessão Competitiva"/>
        <s v="Melhor Vídeo Documentário_x000a_Cineastas: Documentários"/>
        <s v="Mehor Vídeo Animação_x000a_Cinéfilos: Animação"/>
        <s v="Prémio Novo Talento FNAC"/>
        <s v="Prémio Revelação_x000a_Sessão Competitiva de Curtas Metragens 8"/>
        <s v="Prémio do Cinema Português"/>
        <s v="Melhor Longa Metragem_x000a_Competição Longas Metragens"/>
        <s v="Prix Format Court attribué à um OVNI_x000a_OVNI"/>
        <s v="Melhor Filme_x000a_Sessão Competitiva de Curtas Metragens 2"/>
        <s v="Menção Honrosa_x000a_Competição Nacional: Prémio António Gaio"/>
        <s v="Prémio D. Quijote (FICC)_x000a_Sessão Competitiva 1"/>
        <s v="Melhor Curta-Metragem Nacional_x000a_Competição Nacional"/>
        <s v="Prémio RESTART para Melhor Realizador Português de CM (ex-aequo)"/>
        <s v="Melhor Realizador Português: Franklin Pinho"/>
        <s v="Melhor Filme Documentário_x000a_3ª sessão Competitiva"/>
        <s v="Premio Andorinha Longa para Melhor Documentário_x000a_Andorinha Longa Documentário"/>
        <s v="Melhor Documentário e Júri FICC - Menção Honrosa_x000a_Sessão Competitiva 7"/>
        <s v="Melhor Curta de Estudantes Portuguesa - Júri Jovem_x000a_Curtas de Estudantes"/>
        <s v="Premio &quot;Film und Video Untertitelung&quot;_x000a_Pardi di Domani: Concorso Internazionale "/>
        <s v="Prémio CGD para Melhor LM Portuguesa"/>
        <s v="Melhor Filme Português_x000a_Prémio de Cinema para Filmes sobre Arte"/>
        <s v="Melhor Filme Açoreano_x000a_Competição Curtas Metragens"/>
        <s v="Menção Honrosa_x000a_Curtinhas M9"/>
        <s v="Melhor curta-metragem portuguesa_x000a_Sessão Competitiva nº 5"/>
        <s v="Prix du Public Cocotte Minute_x000a_Compétition Cocotte Minute"/>
        <s v="1st Principal Prize_x000a_International Competition"/>
        <s v="Best Short Experimental Film Award_x000a_Experimental"/>
        <s v="3º Prémio Naval VideoSub_x000a_Naval VideoSub"/>
        <s v="Melhor Argumento"/>
        <s v="Melhor Filme"/>
        <s v="Melhor Actriz: Maria João Bastos"/>
        <s v="Melhor Actor: Adriano Luz"/>
        <s v="Premio Andorinha Longa para Melhor figurino (Isabel Branco)_x000a_Andorinha Longa Ficção"/>
        <s v="Best Foreign-Language Film."/>
        <s v="Audience Award  _x000a_European Short Critic - Part 1"/>
        <s v="3º Prémio_x000a_Documentário"/>
        <s v="Melhor Vídeo-Clip_x000a_3ª sessão Competitiva"/>
        <s v="Premio Andorinha Longa para Melhor Filme_x000a_Andorinha Longa Ficção"/>
        <s v="Prémio Camacho Costa para Melhor Filme da Competição Lusófona_x000a_Competição Lusófona"/>
        <s v="Prémio Competição AVANCA e Menção Especial no Prémio Estreia Mundial_x000a_Competição AVANCA e Competição ESTREIA MUNDIAL"/>
        <s v="Melhor Animação_x000a_Sessão Competitiva 4"/>
        <s v="Melhor Documentário_x000a_Documentários (média e longa metragem)"/>
        <s v="Prémio AIP para Melhor Fotografia_x000a_Competição Nacional"/>
        <s v="Public Award for Best Short Film_x000a_Short Films Competition"/>
        <s v="Public Award for Best Short Film_x000a_Futurette and Short Film Competition - Set III"/>
        <s v="Best Short Film"/>
        <s v="Melhor Curta Metragem_x000a_Curtas em Competição"/>
        <s v="Golden Oosikar Award for Best Short Film_x000a_Shorts 1: Life 2.0"/>
        <s v="Prémio Jovem Cineasta Português (-18 anos)_x000a_Competição Nacional: Jovem Cineasta Português ( - 18 anos) "/>
        <s v="Prémio AIP Melhor Imagem para LM Portuguesa - Menção Honrosa a Luís Branquinho "/>
        <s v="Melhor Argumento Adaptado, Melhor Fotografia: Luís Branquinho, Melhor Caracterização: Jorge Bragada, Melhor Montagem: Tiago Antunes_x000a_Sessão Competitiva 16"/>
        <s v="Melhor Filme Português"/>
        <s v="Melhor Filme Escolas_x000a_Competição Curtas Metragens"/>
        <s v="Prémio RTP2 - Onda Curta: Menção Especial_x000a_Andorinha Curta Documentário"/>
        <s v="Melhor Actriz Secundária: São José Correia"/>
        <s v="Prémio TV Brasil de Melhor Longa Metragem"/>
        <s v="Prémio BPI e Prémio Pixel Bunker para Melhor Filme_x000a_Competição Nacional"/>
        <s v="Prémio TAP para Melhor LM Portuguesa de Ficção"/>
        <s v="Menção Honrosa_x000a_Brevemente Livre"/>
        <s v="Mellor Animación Compostelae"/>
        <s v="Prémio António Gaio: Menção Honrosa_x000a_Competição Internacional Curtas Metragens entre 5 e 25' e Competição Nacional: Prémio António Gaio"/>
        <s v="Prémio Universidades_x000a_Prémio Universidades"/>
        <s v="Menção Honrosa_x000a_Curta Metragem"/>
        <s v="Melhor Curta Metragen_x000a_Sessão Competitiva 1"/>
        <s v="Menção Honrosa - Categoria Escolar"/>
        <s v="Menção Honrosa - Prémio SIGNIS Árvore da Vida_x000a_Competição Internacional - Curtas Metragens"/>
        <s v="Mención Especial del Jurado"/>
        <s v="Melhor Animação"/>
        <s v="Lucas-Preis Bester Animierter Kurzfilm_x000a_Shortfilmprogram 2 (8 years)"/>
        <s v="Prémio Andorinha Curta para Melhor Curta Metragem_x000a_Andorinha Curta Animação"/>
        <s v="Premio Città di Bolzano - Genciana d'Oro al miglior film di esplorazione o avventura. _x000a_Concorso"/>
        <s v="Grande Prémio Vídeo  - Ibertelco/Sony , Melhor Vídeo Documentário e Prémio do Publico de Vídeo - Centro de Criatividade Digital_x000a_Competição Vídeo 3"/>
        <s v="Ensaios Visuais: Menção Honrosa_x000a_Ensaios Visuais 3"/>
        <s v="Premio Doclisboa e ISCTE-IUL para Melhor Curta-Metragem_x000a_Competição Portuguesa - Curtas"/>
        <s v="Prémio Sony Escolas HD_x000a_Categoria Prémio Sony Escolas HD"/>
        <s v="Menção Honrosa_x000a_Trailers in Motion"/>
        <s v="IPJ Augusta Award para Melhor Filme Português"/>
        <s v="Melhor Direcção Artística: João Nunes e Paulo Gomes,  Melhor Guarda-Roupa: Paulo Gomes e Prémio Revista C_x000a_Sessão Competitiva 4"/>
        <s v="Menção Honrosa na Categoria de Curtas_x000a_Curtas Ficção"/>
        <s v="Melhor Vídeo Musical_x000a_Competição Vídeo 1"/>
        <s v="Premio RTP - Onda Curta"/>
        <s v="2º Prémio na categoria de Documentários_x000a_Documentários (média e longa metragem)"/>
        <s v="Premio TVE Otra Mirada 2011 - Mención Especial del Jurado e Premio FIPRESCI"/>
        <s v="Melhor Filme e Prémio D. Quixote: Menção Honrosa pela Realização  - FICC_x000a_Competição Longas Metragens"/>
        <s v="Grande Prémio do Festival, Melhor Actriz: Rita Blanco, Melhor Realizador, Melhor Argumento Original_x000a_Sessão Competitiva 2"/>
        <s v="Pyrénée du Meilleur Film_x000a_La Compétition"/>
        <s v="Prémio António Gaio"/>
        <s v="Prémio do Público "/>
        <s v="Mention Spéciale du Jury_x000a_Compétition Expérimentale"/>
        <s v="Menção Honrosa - Prémio SIGNIS Árvore da Vida"/>
        <s v="Menção Honrosa_x000a_Sessão Competitiva 2"/>
        <s v="Prix Visions du Réel à la meilleure réalisation d'un court-métrage_x000a_Compétition internationale - Courts métrages"/>
        <s v="Premio Honorífico del jurado_x000a_Competición Internacional - Largometrage de creación"/>
        <s v="Premio Andorinha Longa para Melhor atriz coadjuvante (Catarina Wallenstein)_x000a_Andorinha Longa Ficção"/>
        <s v="Melhor Vídeo Documentário_x000a_Cinéfilos: Documentários"/>
        <s v="Menção Honrosa_x000a_Sessão Competitiva Curta 2"/>
        <s v="Menção Honrosa_x000a_Competição Internacional - Curtas Metragens"/>
        <s v="Silver Dragon for the Director of the Best Documentary  e Don Quixote Award_x000a_International Short Film Competition 2"/>
        <s v="Prémio Andorinha Curta para Melhor Animação_x000a_Andorinha Curta Animação"/>
        <s v="Prémio do Público Melhor Curta Metragem Nacional_x000a_Competição Nacional"/>
        <s v="3rd Prize_x000a_Vencedores: Art-Snapshot"/>
        <s v="Melhor Animação_x000a_Competição Curtas Metragens"/>
        <s v="Best Short Length Documentary_x000a_International Showcase: Short length Documentaries"/>
        <s v="Prémio do Público  e Prémio D. Quixote - FICC_x000a_Competição Longas Metragens"/>
        <s v="Melhor Longa  Metragem e Melhor Actriz Secundária: Isabel Ruth_x000a_Sessão Competitiva 14"/>
        <s v="Grande Prémio"/>
        <s v="Melhor Curta do Ano e Melhor Realizador: Nuno Rocha"/>
        <s v="Best Editing, Most Experimental Film, Best Ensemble, Best Supporting Actor (Luc Francis) e Best Script (Nuno Rocha e Adam Morgan)_x000a_Short Films"/>
        <s v="Mención Especial_x000a_Competitión Cortometrajes ficción"/>
        <s v="Melhor Argumento_x000a_Sessão Competitiva 1"/>
        <s v="Prémio RTP2 - Onda Curta_x000a_Competição Curtas Metragens"/>
        <s v="Mejor Corto Metraje Internacional - Caballito de Soria (Premio del Jurado Joven) e Mejor Corto Metraje Internacional - Caballito de Oro (Premio del Jurado de Sombra)"/>
        <s v="Melhor Curta de Ficção e Prémio Realizador Revelação: Nuno Rocha_x000a_Curtas Ficção"/>
        <s v="Arara de Bronze_x000a_Aromas e Sabores"/>
        <s v="Prémio AIP Melhor Imagem para CM Portuguesa a Takashi Sugimoto_x000a_Competição Internacional - Curtas Metragens"/>
        <s v="Prémio Doclisboa para a Melhor Média ou Longa Metragem, Prémio Restart para a Melhor Média ou Longa Metragem da Competição Portuguesa_x000a_Competição Portuguesa - Médias e Longas"/>
        <s v="Melhor Filme, Prémio Revelação e Prémio da Crítica_x000a_Longas Metragens SC 5"/>
        <s v="Prémio NAU_x000a_Geral"/>
        <s v="Best of 24h_x000a_Internationale Wettbewerb 3"/>
        <s v="Honorable Mention_x000a_Narrative Features"/>
        <s v="2º Lugar_x000a_15º Videorun RESTART"/>
        <s v="Melhor ator (ex-aequo) - Júri Técnico: João Marçal e Ricardo Azevedo_x000a_Mostra Atlântica"/>
        <s v="Creative Award_x000a_Under 10 minute short film section"/>
        <s v="The Special Prize of the Jury for Best Conceptualisation_x000a_Films in Competition"/>
        <s v="Prémio do Pùblico Melhor Filme Regional/meo_x000a_Competição Regional"/>
        <s v="Melhor Curta Regional Ficção e Prémio do Público_x000a_Competição Regional"/>
        <s v="Melhor Filme_x000a_Seleção Oficial"/>
        <s v="Prémio Motelx para Melhor Curta de Terror Portuguesa_x000a_Prémio Motelx  - Melhor Curta de Terror Portuguesa"/>
        <s v="Menção Honrosa - 5º Lugar"/>
        <s v="Menção Honrosa_x000a_Competição Nacional"/>
        <s v="Melhor Documentário_x000a_Competição Nacional"/>
        <s v="Melhor Ficção e Melhor Filme Vista Curta 2012_x000a_Ficção"/>
        <s v="Prémio Especial do Júri: Melhor Curta-metragem portuguesa_x000a_Curtas-metragens"/>
        <s v="3º Prémio_x000a_Ficção"/>
        <s v="Melhor Realização"/>
        <s v="Prémio Canon FRAME 1"/>
        <s v="Prémio Melhor Curta.Metragem - Publicidade e Informação_x000a_Competição Internacional: Publicidade e Informação"/>
        <s v="Melhor Diretor: João Vilares, Melhor Atriz: Diana Coelho e Melhor Argumento"/>
        <s v="Prémio Porto7 Ficção Nacional_x000a_Curtas Nacionais"/>
        <s v="Prémio Especial do Júri_x000a_Semana dos Realizadores"/>
        <s v="Prémio Melhor Actor Secundário: Dinarte Branco_x000a_Secção Competitiva"/>
        <s v="Premio FIPRESCI  Mejor Película Iberoamaricana_x000a_Largometrajes Iberoamericanos"/>
        <s v="Prémio Canon para Melhor Curta Metragem da Competição Portuguesa - Menção Especial_x000a_Competição Portuguesa - Curtas"/>
        <s v="Mention Spéciale du Prix Joris Ivens_x000a_Compétition internationale Premiers Films"/>
        <s v="Premio Honorífico del jurado, largometraje de creación_x000a_Competición Internacional - Largometraje de Creación"/>
        <s v="Extra Muros Award for Best Documentary Debut_x000a_Extra Muros"/>
        <s v="Grande Prémio do Festival, Melhor Realizador e Prémio Dom Quijote (Júri FICC/IFSS)_x000a_Secção Competitiva"/>
        <s v="Melhor Argumento e Melhor Actor: José Pinto"/>
        <s v="Melhor Filme Experimental_x000a_Experimental"/>
        <s v="1st Prize shorts until 5'_x000a_Competition Short 6"/>
        <s v="Prémio Olhares e Enquadramentos_x000a_Olhares e Enquadramentos"/>
        <s v="Special Mention_x000a_Concorso Internazionale"/>
        <s v="Premio de la Crítica Largometraje Internacional_x000a_Competencia Largometraje Internacional"/>
        <s v="Melhor Montagem: Raphaël Lefèvre_x000a_Secção Competitiva"/>
        <s v="Best Film_x000a_TFFdoc: Internazionale.doc"/>
        <s v="Melhor Filme e Melhor Actor: João Rui Guerra da Mata_x000a_Longas Metragens"/>
        <s v="Best Narrative Short_x000a_Narrative Shorts 2"/>
        <s v="Melhor Longa  Metragem de Ficção_x000a_Mostra Competitiva Longas de ficção"/>
        <s v="Melhor Direcção Artística: Pedro Sá, Melhor Fotografia: Acácio de Almeida, Melhor Guarda-Roupa: Produções TCC_x000a_Secção Competitiva"/>
        <s v="Prémio TAP para Melhot Documentário Português"/>
        <s v="Prémio do Público_x000a_Competição Nacional"/>
        <s v="Menção Honrosa_x000a_Curtas Documentários"/>
        <s v="Melhor Curta Regional Documentário_x000a_Competição Regional"/>
        <s v="Premio Honorífico del jurado, cortometraje internacional_x000a_Competición internacional - Cortometraje "/>
        <s v="Melhor Curíssima Portuguesa - Prémio Carl Zeiss_x000a_Curtíssimas"/>
        <s v="Prémio Primeiro Olhar/Cineclubes_x000a_Prémio Primeiro Olhar"/>
        <s v="Amadis du Meilleur Montage_x000a_Compétition Internationale"/>
        <s v="Golden Rooster in Rural Tourism_x000a_Documentário/Reportagem"/>
        <s v="Prémio Liscont para Melhor Longa Metragem da Competição Portuguesa - Menção Especial_x000a_Competição Portuguesa - Longas"/>
        <s v="Prémio Melhor Filme Nacional/Direcção Regional dos Açores_x000a_Competição Nacional"/>
        <s v="Best Film by a  Portuguese Director_x000a_Lusófono"/>
        <s v="Obra vencedora na categoria MOVIMENTO_x000a_Movimento"/>
        <s v="Curta vencedora do mês de Junho"/>
        <s v="Curta vencedora do mês de Abril"/>
        <s v="Curta vencedora do mês de Maio"/>
        <s v="Prémio Universidade_x000a_Universidades"/>
        <s v="Curta vencedora de Dezembro"/>
        <s v="3º Prémio_x000a_Animação Digital"/>
        <s v="Best European Short Film_x000a_Shorts - Competition for European Shorts"/>
        <s v="Best Cinematography Award_x000a_International Competition"/>
        <s v="Prémio Melhor Actriz Secundária: Margarida Carpinteiro e Melhor Banda Sonora Original: André Joaquim_x000a_Secção Competitiva"/>
        <s v="Melhor Filme, Melhor Fotografia: Bruno Nacarato e Melhor Ator: Tiago Correia"/>
        <s v="Melhor Animação_x000a_Animação"/>
        <s v="Prémio Canon para Melhor Curta Metragem da Competição Portuguesa_x000a_Competição Portuguesa - Curtas"/>
        <s v="Prémio Pixel Bunker de Melhor Curta-Metragem Nacional_x000a_Competição para a Melhor Curta-Metragem"/>
        <s v="Super Fotografia e Super Direção de Arte"/>
        <s v="Best Ibero-American Film_x000a_Documentário/Reportagem"/>
        <s v="Knight Foundation Grand Jury Prize e The Jordan Alexander Ressler Screenwriting Award_x000a_Knight Ibero-American Competition"/>
        <s v="Melhor Direcção de Arte: Joana Linda"/>
        <s v="Prémio Jovem Cineasta Português &gt;18_x000a_Competição Nacional: Jovem Cineasta Português (+18 anos) "/>
        <s v="Melhor Vídeo MUsical_x000a_Competição Vídeos Musicais"/>
        <s v="Melhor Realizador, Melhor Atriz Principal: Custódia Gallego e Melhor Fotografia"/>
        <s v="Prémio PIXEL BUNKER Melhor CM Portuguesa_x000a_Competição Internacional Curtas 2 e Competição Nacional Curtas 2"/>
        <s v="Prémio Revelação_x000a_Longas Metragens"/>
        <s v="Melhor Filme de Estudantes Português  (Júri Júnior)_x000a_Competição Estudantes 3"/>
        <s v="Silver Rooster in Taste and Flavours_x000a_Divulgação/Promoção"/>
        <s v="Melhor Documentário (ex-aequo)_x000a_Mostra Competitiva  Documentário"/>
        <s v="1º Mención_x000a_Documental Extranjero"/>
        <s v="Melhor Actor: Miguel Borges"/>
        <s v="Curta vencedora do mês de Fevereiro"/>
        <s v="Prémio CPLP - Prémio para a Melhor Longa Metragem dos Países de Língua Portuguesa_x000a_Competição Portuguesa - Longas"/>
        <s v="Melhor Fotografia: André Santos"/>
        <s v="Buzz Award_x000a_Dramatic Short Series"/>
        <s v="Prémio OBVIOSOM/GRIPMAN/RESTART para Melhor Realizador Português de CM: João Salaviza_x000a_Competição Internacional Curtas 7 e Competição Nacional Curtas 2"/>
        <s v="Melhor Currta-Metragem_x000a_Secção Competitiva"/>
        <s v="1º Prémio_x000a_Documentário"/>
        <s v="Melhor Filme Escolar_x000a_Escolar"/>
        <s v="Melhor Documentário e Menção Honrosa (Júri FICC/IFSS)_x000a_Secção Competitiva"/>
        <s v="Melhor Filme de Estudantes Português  - Prémio Meo_x000a_Competição Estudantes 4"/>
        <s v="2nd Best Animation_x000a_Special Effects/Animation"/>
        <s v="Pokal des Bürgermeisters für den Innovativsten Film_x000a_Wettbewerb"/>
        <s v="Mehor Curta-Metrgem"/>
        <s v="Best of Fest Award_x000a_Feature Films"/>
        <s v="Silver Award for Best Film"/>
        <s v="2º Prémio_x000a_Ficção"/>
        <s v="Menção Especial_x000a_Competição Internacional"/>
        <s v="Melhor Ator Secundário: Joaquim Nicolau, Melhor Argumento Adaptado e Melhor Guarda-Roupa"/>
        <s v="Menção Honrosa_x000a_Competição Nacional: Jovem Cineasta Português (+18)"/>
        <s v="Menção Especial Documentário_x000a_Competição Regional"/>
        <s v="Melhor Vídeo-Clip"/>
        <s v="2º Prémio_x000a_Animação Digital"/>
        <s v="Obra vencedora na categoria LIVRE e Prémio da XIV Semana Cultural da Universidade de Coimbra_x000a_Livre"/>
        <s v="Menção Honrosa_x000a_Animação"/>
        <s v="Melhor Curta Shortcutz Lisboa, Melhor Realizador e Melhor Montagem: Artur Serra Araújo"/>
        <s v="Curta vencedora do mês de Março"/>
        <s v="Melhor Filme Nacional"/>
        <s v="Melhor Filme_x000a_Take One!"/>
        <s v="Melhor Filme_x000a_Ensaios Visuais"/>
        <s v="Prix du Meilleur Court-Métrage Jeune Public_x000a_Compétition Internationale courts Métrages enfants "/>
        <s v="Melhor Série de TV e Melhor Filme para a Infância e Juventude_x000a_Competição Internacional 5"/>
        <s v="Main Prize_x000a_TV Film and Series"/>
        <s v="Prémio Junta de Freguesia de Canelas"/>
        <s v="Prémios Sophia de Carreira: Isabel Ruth, António de Macedo e António da Cunha Telles_x000a_Categoria: Carreira"/>
        <s v="Prémio do Pùblico para Melhor Longa Metragem_x000a_Competição Longas Metragens"/>
        <s v="Golden Gate Award_x000a_Golden Gate Awards Documentary Feature Competition"/>
        <s v="Primer Premio, largometraje de creación_x000a_Competición Internacional  - Largometraje de creación"/>
        <s v="Prémio do Público  Melhor Filme Nacional/meo_x000a_Competição Nacional"/>
        <s v="Menção Honrosa Categoria Animação_x000a_Animação"/>
        <s v="Prémio Novo Talento FNAC_x000a_Competição Nacional Curtas 3"/>
        <s v="1º Lugar  Categoria Ficção_x000a_Ficção"/>
        <s v="Melhor Mùsica Original: PAUS"/>
        <s v="Prémio Primeiro Olhar/Oficial - Menção Honrosa_x000a_Prémio Primeiro Olhar"/>
        <s v="Prémio de Melhor Realizador: Ricardo Salgado"/>
        <s v="Melhor Banda Sonora"/>
        <s v="Prémio Melhor Aluno do Agrupamento e Melhor Actriz: Márcia Almeida"/>
        <s v="Menção Honrosa - 6º Lugar"/>
        <s v="Menção Honrosa_x000a_Documentário"/>
        <s v="Menção Honrosa_x000a_Arte e Cultura"/>
        <s v="Melhor Filme Experimental"/>
        <s v="Gewinner Freie Kategorie_x000a_Frei Experimental"/>
        <s v="The Ecumenical Jury Award: Special Mention_x000a_Competition of Feature Films"/>
        <s v="Melhor Animação_x000a_Secção Competitiva"/>
        <s v="Premio EUROPA_x000a_Programa Internacional 25"/>
        <s v="Prémio RTP 2: Onda Curta_x000a_Competição Nacional: Prémio António Gaio"/>
        <s v="Bester Professioneller Film_x000a_Bester Professioneller Film/Filmschulen und Auftragsfilme 2012"/>
        <s v="3º Prémio _x000a_Tema B - Livre"/>
        <s v="Prémio Camacho Costa/Lusofonia e Menção Honrosa - Júri da Juventude_x000a_Competição Lusófona - Panorama Regional"/>
        <s v="3º Prémio e Melhor Argumento"/>
        <s v="Menção Honrosa na Competição Eu no Meio dos Outros_x000a_Competição Eu no Meio dos Outros"/>
        <s v="Melhor Longa Metragem, Prémio Melhor Actriz: Dalila Carmo, Melhor Caracterização: Abigail Machado e Melhor Som: Jaime Barros e Elsa Ferreira_x000a_Secção Competitiva"/>
        <s v="Prémio do Público - Primeiro Melhor Filme"/>
        <s v="Melhor Edição (ex-aequo) - Júri Técnico: Victor Santos_x000a_Mostra Atlântica"/>
        <s v="Melhor Produção Nacional_x000a_Curta Metragem"/>
        <s v="Curta metragem vencedora"/>
        <s v="Grande Prémio_x000a_Animação Digital"/>
        <s v="Menção Honrosa - Prémio Onda Curta_x000a_Competição Internacional 4 e Competição Portugueses"/>
        <s v="Silver Rooster in Hotels and Resorts_x000a_Divulgação/Promoção"/>
        <s v="Menção Honrosa_x000a_Animação Digital"/>
        <s v="Melhor Filme Português 2011 - Prémio do Público_x000a_Competição Portugueses"/>
        <s v="Prémio para Melhor Longa Metragem Portuguesa_x000a_Competição Nacional Longas Metragens"/>
        <s v="1º Prémio_x000a_Videoclips"/>
        <s v="Prémio Sub-21_x000a_Ficção"/>
        <s v="The Special Festival Award 2012: Pedro Costa"/>
        <s v="Prémio RTP 2/Onda Curta e Menção Honrosa - Prémio PIXEL BUNKER_x000a_Competição Nacional Curtas 3 "/>
        <s v="Prémio Canal+ (Espanha)_x000a_Curtinhas M9"/>
        <s v="Hiroshima Prize_x000a_Competition"/>
        <s v="Special Prize of the Jury: Best Animation_x000a_Grand Competition"/>
        <s v="1st Prize - Animated Short Film"/>
        <s v="Prémio Melhor Banda Sonora Original e Menção Especial do Júri da Competição Internacional_x000a_Competição Internacional: Curtas Metragens e Competição Nacional: Prémio António Gaio"/>
        <s v="Menção Honrosa_x000a_Universidades"/>
        <s v="Prémio Escolas/Jornal Açoriano Oriental_x000a_Competição Escolas"/>
        <s v="Menção Honrosa_x000a_Curtas Animação"/>
        <s v="3º Prémio _x000a_Tema C - Animação"/>
        <s v="3º Prémio _x000a_Tema A - Algarve: História, Tradição, Actualidade, Ria Formosa"/>
        <s v="Curta vencedora de Outubro"/>
        <s v="Prémio Primeiro Olhar/Oficial_x000a_Prémio Primeiro Olhar"/>
        <s v="Menção Honrosa do Júri: Sofia Dinger_x000a_Curtas Metragens"/>
        <s v="Prémio Árvore da Vida para Melhor Filme Português_x000a_Competição Nacional Curtas 4"/>
        <s v="Menção Honrosa - 4º Lugar"/>
        <s v="Melhor Curta Europeia_x000a_Competição Nacional"/>
        <s v="Melhor Imagem_x000a_Competição Internacional 3 - Somos Todos Criaturas de Deus"/>
        <s v="Curta vencedora do mês de Janeiro"/>
        <s v="Melhor Argumento: Pedro Resende"/>
        <s v="Prix du Jury_x000a_Sélection Classique"/>
        <s v="Prémio Fundação INATEL_x000a_Categoria Fundação INATEL"/>
        <s v="Menção Especial do Júri_x000a_Prémio de Cinema Português - Escolas de Cinema"/>
        <s v="Meilleure série française_x000a_Prix Télévision"/>
        <s v="Meilleure DVD récent_x000a_Prix DVD/Blu-Ray"/>
        <s v="Prêmio Melhor Ficção_x000a_Ficção"/>
        <s v="Best Director_x000a_Screening 1 - Opening Films"/>
        <s v="Prix des Enfants"/>
        <s v="Second Prize_x000a_Under 10 minute short film section"/>
        <s v="Prémio Lusofonia/Panorama Regional_x000a_Competição Lusófona - Panorama Regional"/>
        <s v="Silver Rooster in Rural Tourism_x000a_Filme Publicitário"/>
        <s v="Prix Premier: Mention Spéciale_x000a_Compétition Internationale e Compétition Premier Film"/>
        <s v="Grande Prémio MIFEC"/>
        <s v="Filme vencedor_x000a_Curtas da Casa"/>
        <s v="Curta vencedora de Novembro"/>
        <s v="1º Prémio_x000a_Tema C - Animação"/>
        <s v="Diploma_x000a_International Competition"/>
        <s v="Menção Honrosa  - Prémio Árvore da Vida_x000a_Competição Internacional Curtas 6 e Competição Nacional Curtas 1"/>
        <s v="Prémio de Melhor Actor: Welket Bungué"/>
        <s v="Prémio de Cinema Português - Melhor Filme_x000a_Prémio de Cinema Português - Melhor Filme"/>
        <s v="Melhor Curta Nacional pelo Público_x000a_Competição Nacional"/>
        <s v="Melhor Curta Nacional pelo Júri_x000a_Competição Nacional"/>
        <s v="Melhor Curta Metragem"/>
        <s v=" Audience Choice Award for Best Heartfelt Short Film _x000a_Heartfelt Short Films"/>
        <s v="Prémio Competição AVANCA_x000a_Competição AVANCA "/>
        <s v="Prémio RTP 2/Onda Curta_x000a_Competição Nacional"/>
        <s v="Menção Honrosa_x000a_Mostra Competitiva VIDEOSUL -  curtas e médias-metragens de ficção Programa 1"/>
        <s v="Melhor Filme Português_x000a_Ficção"/>
        <s v="Melhor Actor: Nuno Melo"/>
        <s v="Melhor Realizador Português: Marco Barbosa"/>
        <s v="Menção do Júri"/>
        <s v="Main Prize_x000a_Films made by children up to 12 years"/>
        <s v="“Nueva Mirada” a la Mejor Obra de Animación Realizada por Niños y Jóvenes (ex-aequo)_x000a_Competencia Oficial: Nueva Mirada"/>
        <s v="Diploma_x000a_The Best Film Created by Children"/>
        <s v="Menção Honrosa_x000a_Tema C - Animação"/>
        <s v="Prémio do Público - Chama Amarela_x000a_Secção Competitiva"/>
        <s v="Mención de honor del jurado_x000a_Documentales"/>
        <s v="Prémio dos Cineclubes e Prémio do Público_x000a_Curtas Metragens"/>
        <s v="Special Jury Award_x000a_Narrative Competition"/>
        <s v="Curta vencedora de Maio"/>
        <s v="The Kenneth and Harle Montgomery Prize - Best Child-Produced Film"/>
        <s v="Connecticut College 2012 Prize"/>
        <s v="Prémio Melhor Actor: Cristóvão Campos_x000a_Secção Competitiva"/>
        <s v="Melhor Montagem_x000a_Competição Internacional 5 - O que Arde Cura"/>
        <s v="Melhor Filme_x000a_Curtas Metragens"/>
        <s v="Silver Frame 2012 World Global Films _x000a_Festival of the Festivals"/>
        <s v="Melhor Filme Português 2011 - Prémio SPA Vasco Granja_x000a_Competição Portugueses"/>
        <s v="Mención Especial_x000a_ANIMAZINE:  Cortometrajes de animación"/>
        <s v="Melhor banda sonora: Daniel Carvalho, David Doutel e Vasco Sá_x000a_Certamen de cortometrajes"/>
        <s v="Premio Jinete Ibérico e Mención Especial del Jurado de la Juventud_x000a_Concurso Iberoamericano de Cortometrajes"/>
        <s v="1º Prémio_x000a_Ficção"/>
        <s v="Prémio do Júri_x000a_Longa-Metragem "/>
        <s v="Menção Honrosa_x000a_Competição Nacional: Jovem Cineasta Português (+18 anos) "/>
        <s v="Golden Rooster in Cultural Tourism_x000a_Divulgação/Promoção"/>
        <s v="2º Prémio_x000a_Tema C - Animação"/>
        <s v="Prémio Eu no Meio dos Outros_x000a_Competição Eu no Meio dos Outros"/>
        <s v="Prix Illy du Court Métrage - Mention Spéciale"/>
        <s v="Melhor Filme da Competição Nacional e Prémio RTP-2 Onda Curta_x000a_Competição Nacional"/>
        <s v="Schweizer Preis_x000a_Swiss Competition"/>
        <s v="Prémio do Público_x000a_Geral"/>
        <s v="Prémio Revelação_x000a_Secção Competitiva"/>
        <s v="Prémio António Gaio_x000a_Competição Nacional: Prémio António Gaio"/>
        <s v="Silver Rooster in Human Life_x000a_Documentário/Reportagem"/>
        <s v="Prémio Jovem Realizador_x000a_Categoria Fundação INATEL e Prémio Jovem Realizador"/>
        <s v="Menção Especial Ficção_x000a_Competição Regional"/>
        <s v="Prémio Melhor FIlme dos Açores/Câmara Municipal de Ponta Delgada e Prémio &quot;Novo Talento Regional/Restart_x000a_Competição Regional"/>
        <s v="1º Prémio, Melhor Edição e Melhor Actor: Agostinho Magalhães"/>
        <s v="3º Prémio "/>
        <s v="2º Prémio_x000a_Videoclips"/>
        <s v="Melhor Curta-Metragem, Melhor Argumento Original, Melhor Ator Principal: António Pereira e Melhor Montagem"/>
        <s v="Menção Honrosa_x000a_Ficção"/>
        <s v="Winner of The NY Portuguese Short Film Festival 2012"/>
        <s v="Prémio Melhor Filme de Escola_x000a_U-Can: Universidade Católica do Porto"/>
        <s v="Prémio TAP para Melhor Longa Metragem Portuguesa de Ficção_x000a_Competição Nacional Longas Metragens"/>
        <s v="Narrative Award for Best Narrative Feature_x000a_Narrative Competition"/>
        <s v="Prix de l'interprétation féminine: Ciomara Morais_x000a_Compétition Oficielle Long-Métrages"/>
        <s v="Golden Rooster im Memorable Experiences e Best Advertising Film_x000a_Divulgação/Promoção"/>
        <s v="Melhor Documentário_x000a_Documentário"/>
        <s v="2º Prémio_x000a_Tema A - Algarve: História, Tradição, Actualidade, Ria Formosa"/>
        <s v="Special Jury Mention for Documentary Short_x000a_Documentary Shorts Competition"/>
        <s v="Melhor Filme Documentário"/>
        <s v="Prémio Melhor Curta-Metragem_x000a_Curta-Metragem"/>
        <s v="2º Prémio_x000a_Animação"/>
        <s v="Golden Bear for the Best Short Film_x000a_Berlinale Shorts III"/>
        <s v="The Uppsala Award in Memory of Ingmar Bergman_x000a_International Competition 8"/>
        <s v="Melhor Som_x000a_Competição Internacional 1 - Vamos à Luta"/>
        <s v="Prémio Património Imaterial_x000a_Categoria Património Imaterial e Prémio Jovem Realizador"/>
        <s v="Menção Honrosa: Categoria Aninmação_x000a_Animação"/>
        <s v="Melhor Curta Experimental_x000a_Competição Nacional de Curtas Experimentais"/>
        <s v="Menção Especial Competição AVANCA_x000a_Competição AVANCA"/>
        <s v="Melhor Filme, Melhor Argumento: João Canijo, e Melhor Actriz: Rita Blanco"/>
        <s v="Grand Jury Discretionary Prize (ex-aequo)_x000a_Knight Ibero-American Competition"/>
        <s v="New Vision Award_x000a_Panorama Fiction"/>
        <s v="Premio del Público"/>
        <s v="Melhor Filme e Melhor Actriz: Rita Blanco"/>
        <s v="Melhor Filme - Prémio Olhar_x000a_Janela Internacional"/>
        <s v="Prémio Primeiro Olhar/Ibertelco_x000a_Prémio Primeiro Olhar"/>
        <s v="Vencedor do Prémio Sony Escolas HD_x000a_Prémio Sony Escolas HD"/>
        <s v="Prémio Jovem Cineasta Português &lt;18_x000a_Competição Nacional Jovem Cineasta Português (-18)"/>
        <s v="Prémio Revista C_x000a_Secção Competitiva"/>
        <s v="Melhor Curta de Animação_x000a_Competição de Animação"/>
        <s v="Loup Argenté présenté par TFO: Meilleur Court Mètrage de la Sélection Internationale_x000a_Sélection Internationale - Courts métrages: Éléments"/>
        <s v="Melhor Produtor: Carla Fonseca, Melhor Actriz: Rita Martins, Mehores Efeitos Especiais/Visuais: Bikini, Pós Produção e Melhor Som: Índigo"/>
        <s v="1º Lugar Categoria Animação_x000a_Animação"/>
        <s v="Alfred Bauer Prize and FIPRESCI Prize Winner Competition 2012_x000a_Competition "/>
        <s v="Lady Harimaguada de Plata e Premio del Público 2012_x000a_Largometrajes"/>
        <s v="Coup de Coeur du Jury e Prix du Jury des blogueurs et du web_x000a_Compétition Internationale"/>
        <s v="Best Director: Miguel Gomes_x000a_Feature Films"/>
        <s v="Grand Prix for Best Film_x000a_Official Selection - In Competition"/>
        <s v="Grand Prix "/>
        <s v="Mejor Película"/>
        <s v="Filme Português do Ano"/>
        <s v="AnimaWeb Contest Award_x000a_AnimaWeb"/>
        <s v="Prémio Liscont para Melhor Longa Metragem da Competição Portuguesa, Prémio Jameson para Melhor 1ª Obra (primeira ou segunda longa metragem) da Competição Portuguesa , Prémio Escolas - Prémio Restart para Melhor Longa Metragem da Competição Portuguesa e Prémio do Público - Prémio Universidade Lusófona de Humanidades e Tecnologias para Melhor Longa Metragem Portuguesa_x000a_Competição Portuguesa - Longas"/>
        <s v="2º Prémio_x000a_Tema B - Livre"/>
        <s v="Prémio do Público_x000a_Secção Geral"/>
        <s v="Vencedor Competição Nacional_x000a_Competição Nacional"/>
        <s v="Menção Honrosa  - Melhor Filme de Escolas_x000a_Secção Geral"/>
        <s v="1º Lugar_x000a_15º Videorun RESTART"/>
        <s v="Menção Honrosa - Júri da Lusofonia_x000a_Competição Lusófona - Curtas Metragens"/>
        <s v="1º Lugar Categoria Documentário_x000a_Documentário"/>
        <s v="Mention Spéciale du Jury étudiants et apprentis_x000a_Compétition Oficielle Court-métrage - Homme"/>
        <s v="Mejor cortometraje de ficción_x000a_Cortometrajes "/>
        <s v="Melhor Filme Português da Competição Internacional e Melhor Filme Internacional - Pémio do Público_x000a_Competição Internacional 3"/>
        <s v="Prémio Macaronésia/Sata_x000a_Competição Nacional"/>
        <s v="Golden Taiga for the Best Debut Film_x000a_International Competition"/>
        <s v="Premio &quot;Rellumes&quot;_x000a_Rellumes"/>
        <s v="Prémio Memórias, Gestos e Espaços_x000a_Memórias, Gestos e Espaços"/>
        <s v="3º Lugar_x000a_15º Videorun RESTART"/>
        <s v="Prix du meilleur second rôle féminin: Iva Mugalela_x000a_Compétition Oficielle Long-Métrages"/>
        <s v="Prix du Public long métrage e Prix SIGNIS - Mention Spéciale_x000a_Longs Métrages"/>
        <s v="Menção Especial Curta Metragem_x000a_Competição Internacional - Curta Metragem"/>
        <s v="Prémio &quot;Novo Talento Nacional&quot;/Restart e Menção Especial do Júri_x000a_Competição Nacional"/>
        <s v="Melhor Filme_x000a_Outros Olhares"/>
        <s v="Melhor Filme_x000a_Longas-Metragens - SC5"/>
        <s v="Prémio Novos Talentos"/>
        <s v="Melhor Curta-Metragem Documental  Nacional_x000a_Curta-metragem documental"/>
        <s v="Prémio Primeiro Olhar Oficial Ibertelco_x000a_Prémio Primeiro Olhar"/>
        <s v="Second Prize_x000a_Category - International"/>
        <s v="Silver Frame &quot;Festival of Festivals&quot; e Silver Frame &quot;World Global Films&quot;_x000a_Festival of Festivals "/>
        <s v="Melhor Ficção Nacional_x000a_Ficção Nacional"/>
        <s v="Prémio do Público - Segundo Melhor Filme_x000a_Sessão Competitiva 2"/>
        <s v="Best First Feature Award - Special Mention of the Jury"/>
        <s v="Prémio O Ganho do Som para Melhor Primeira ou Segunda Longa-Metragem da Competição Portuguesa - Menção Honrosa e Prémio Escolas_x000a_Competição Portuguesa- Longas"/>
        <s v="Melhor Curta-Metragem Nacional - Documentário"/>
        <s v="Melhores Efeitos Visuais: Paulo Valente"/>
        <s v="Menção Honrosa -  Documentário_x000a_Documentário"/>
        <s v="Melhor Filme Escolar_x000a_Filme Escolar"/>
        <s v="Menção Honrosa_x000a_Documentário "/>
        <s v="Menção Honrosa_x000a_Memórias, Gestos e Espaços"/>
        <s v="Prémio Liscont - Prémio para Melhor Longa-Metragem da Competição Portuguesa_x000a_Competição Portuguesa - Longas"/>
        <s v="Melhor Filme Estrangeiro - Curta-metragem Animação_x000a_Competição Mostra Estrangeira"/>
        <s v="Prémio Novo Talento Regional_x000a_Competição Regional - Sessão 5"/>
        <s v="Prémio Augusta Joaquim de Almeida para Melhor Ator: António Capelo"/>
        <s v="Curta vencedora de Fevereiro"/>
        <s v="Menção Honrosa -  Animação_x000a_Animação"/>
        <s v="Prémio do Público_x000a_Competição Portuguesa - Longas"/>
        <s v="Melhor Actriz: Rita Durão"/>
        <s v="Prémio Melhor Filme dos Açores_x000a_Competição Regional - Sessão 5"/>
        <s v="Melhor Realizador Leiriense: Pedro Neves_x000a_Curta-metragem documental"/>
        <s v="Menção Especial do Júri da Competição Nacional_x000a_Competição Regional - Sessão 5"/>
        <s v="Menção Honrosa_x000a_Categoria Património Imaterial"/>
        <s v="2º Prémio -  Documentário_x000a_Documentário"/>
        <s v="Menção Honrosa - Lusofonia_x000a_Lusofonia: Curtas-Metragens"/>
        <s v="Prémio do Público - Melhor Filme_x000a_Sessão Competitiva 2"/>
        <s v="Menção Honrosa_x000a_Competição Nacional: Prémio Jovem Cineasta Português (-18 anos)"/>
        <s v="Melhor Produção: Fernando Ribeiro e Mafalda Castelo Branco"/>
        <s v="3º Prémio - Videoclip_x000a_Videoclip"/>
        <s v="2º Prémio - Videoclip_x000a_Videoclip"/>
        <s v="Prémio do Público_x000a_Competição Curta-metragem"/>
        <s v="Mejor cortometraje competencia internacional_x000a_Competencia Internacional de cortos &quot;Monsieur Guillaume&quot;"/>
        <s v="Vencedor do Prémio Sony Escolas HD_x000a_Categoria Prémio Sony Escolas HD"/>
        <s v="Prémio Jovem Cineasta Português (-18 anos)_x000a_Competição Nacional: Prémio Jovem Cineasta Português (-18 anos)"/>
        <s v="Prémio Estreia Mundial - Curta-metragem_x000a_Competição Estreia Mundial - Curta-metragem, Competição Vídeo"/>
        <s v="Grande Prémio &quot;Cidade Vila do Conde&quot; para Melhor Filme em Competição_x000a_Competição Nacional"/>
        <s v="Melhor Filme e Prémio do Público_x000a_Sessão Competitiva de Curtas-Metragens 6"/>
        <s v="Prémio Competição AVANCA - Ficção_x000a_Prémio Competição Avanca"/>
        <s v="Melhor Atriz: Vitória Guerra"/>
        <s v="1º Lugar - Ficção Nacional_x000a_Ficção"/>
        <s v="Doc  Alliance Selection Award 2013"/>
        <s v="Prémio Novo Olhar"/>
        <s v="Premio Transfrontera_x000a_Documentales Transfronterizos"/>
        <s v="Prémio de Melhor Curta Nacional_x000a_Competição Nacional - Sessão 3"/>
        <s v="Melhor Curta-Metragem de Ficção"/>
        <s v="1º Prémio - Videoclip_x000a_Videoclip"/>
        <s v="Menção Honrosa_x000a_Competição Geral"/>
        <s v="Menção Honrosa - Prémio Primeiro Olhar Ibertelco_x000a_Prémio Primeiro Olhar"/>
        <s v="Curta vencedora de Março"/>
        <s v="Melhor Curtíssima Portuguesa_x000a_Competição de Curtíssimas"/>
        <s v="2º Lugar _x000a_Experimental"/>
        <s v="Prémio de Melhor Curta-Metragem de Escola_x000a_In My Shorts"/>
        <s v="Prémio de Melhor Longa Nacional e Melhor Filme do Público_x000a_Competição Nacional - Sessão 11"/>
        <s v="Menção Especial_x000a_Prémio Yorn MOTELx"/>
        <s v="Best World Short_x000a_World Shorts: Programme 2"/>
        <s v="Menção Honrosa_x000a_Competição Nacional: Prémio Jovem Cineasta Porrtuguês (+18 anos)"/>
        <s v="Premio speciale della giuria, Special Mention - Premio FIPRESCI, Secondo Premio miglior regista - Premio Giuria dei giovani_x000a__x000a__x000a__x000a_Concorso Internazionale"/>
        <s v="Ganador_x000a_Competencia Largometrajes Internacionales"/>
        <s v="Mejor Pelicula Largometraje Internacional_x000a_Competencia Largometraje Internacional"/>
        <s v="Grande Prémio Cidade de Lisboa para Melhor Longa-Metragem da Competição Internacional, Prémio Universidades e Prémio C.P.L.P. para Melhor Longa Metragem dos Países de Língua Portuguesa das Secções Competitivas_x000a_Competição Internacional - Longas"/>
        <s v="Grand Prix de la compétition internationale longs métrages_x000a_Compétition Internationale Longs Métrages"/>
        <s v="Prémio Especial do Júri, Prémio da Crítica, Prémio dos Cineclubes e Prémio do Público_x000a_Longas-Metragens - SC6"/>
        <s v="Melhor Documentário de Longa-Metragem"/>
        <s v="Prémio TAP para Longa-metragem Portuguesa de Ficção"/>
        <s v="Melhor Curta de Estudantes Portuguesa . Prémio FNAC_x000a_Competição Internacional Estudantes"/>
        <s v="Melhor Videoclip Nacional_x000a_Videoclip"/>
        <s v="Melhor Videclip_x000a_Sessão Competitiva 2"/>
        <s v="Prémio Melhor Ator Secundário: Ângelo Torres"/>
        <s v="Melhor Música: The Legendary Tigerman e Rita Redshoes"/>
        <s v="Curta vencedora de Janeiro"/>
        <s v="Melhor Videoclip Nacional Hiphop_x000a_Music-Video"/>
        <s v="3º Lugar - Ficção Nacional_x000a_Ficção"/>
        <s v="Melhor Trilha Sonora: Gustavo Fioravante e O Grivo_x000a_Mostra Competitiva - Curtas-Metragens Ficção"/>
        <s v="Prémio Competição AVANCA - Documentário_x000a_Prémio Competição Avanca"/>
        <s v="Prémio de Melhor Atriz Principal: Dalila Carmo"/>
        <s v="Melhor Atriz Principal: Dalila Carmo, Melhor Realizador: Vicente Alves do Ó, Melhor Atriz Secundária, Anabela Teixeira, Melhor Fotografia: Luís Branquinho, Melhor Som: Jaime Barros, Tiago Matos e Elsa Ferreira e Melhor Guarda Roupa: Sílvia Grabowski"/>
        <s v="Círculo Precolombino de Oro a la mejor Película e Circulo Precolombino de Oro a Mejor Director: Vicente Alves do Ó_x000a_Largometraje Competencia"/>
        <s v="Prémio Público Vídeo CP Combois de Portugal_x000a_Competição Vídeo 3"/>
        <s v="2º Prémio -  Animação_x000a_Animação"/>
        <s v="Best Original Music: Sigur Ros_x000a_Competition Programme 30"/>
        <s v="Winner &quot;Sharpie&quot; Best Film e Best Score Film or Animation"/>
        <s v="Santa Lucia al mejor Videoclip_x000a_Competencia Internacional : Videoclip"/>
        <s v="Prix Illy du Court Métrage "/>
        <s v="Menção Honrosa - Competição Curtinhas M9_x000a_Competição Nacional, Competição Curtinhas M9"/>
        <s v="Melhor Imagem_x000a_Competição Internacional Curtas - Programa 2"/>
        <s v="Grand prix du court métrage de l’Agglomération de Montpellier_x000a_Courts Métrages Compétition"/>
        <s v="Prémio dos Cineclubes_x000a_Sessão Competitiva de Curtas-Metragens 5"/>
        <s v="Melhor Documentário Regional_x000a_Documentário Regional"/>
        <s v="Prémio PIXEL BUNKER para Melhor Curta Metragem Portuguesa_x000a_Competição Nacional Curtas 4"/>
        <s v="Menção Honrosa - Videoclip_x000a_Videoclip"/>
        <s v="Prix du Jury Jeunes"/>
        <s v="Menção Honrosa - Lusofonia Júri da Juventude_x000a_Lusofonia: Longas Metragens"/>
        <s v="Prémio Regional do Pùblico_x000a_Competição Regional - Sessão 5"/>
        <s v="2º Lugar_x000a_17º Videorun Restart"/>
        <s v="Melhor Curta Portuguesa_x000a_Competição SPAutores/Vasco Granja"/>
        <s v="Prix du Court-Métrage d'Animation - Programme 7/11 ans  - Jury scolaire Cycle 3_x000a_Court-métrages d'animation - Programme 02 à partir de 7 ans"/>
        <s v="Special Jury Recognition_x000a_International Competition Program 6"/>
        <s v="Golden Gate Award For Best Animated Short_x000a_Golden Gate Awards Short Film Competition"/>
        <s v="Mención Especial del Jurado e Onofre a la Mejor Banda Sonora: The Young Gods M83_x000a_Certamen de cortometrajes"/>
        <s v="Menção Honrosa_x000a_Categoria Entretenimento"/>
        <s v="Melhor Curta-Metragem de Animação"/>
        <s v="Prémio DIGIMASTER para Melhor Longa Metragem Portuguesa e Prémio Árvore da Vida para Filme Português _x000a_Competição Internacional, Competição Nacional"/>
        <s v="Prémio Augusta IPJ para Melhor Filme Português"/>
        <s v="Melhor Argumento: Carlos Saboga"/>
        <s v="Melhor Ator Secundário: Albano Jerónimo, Melhor Argumento Original: Carlos Saboga, Melhor Direção Artística: Isabel Branco e Melhor Caracterização: Íris Peleira"/>
        <s v="Prémio do Pùblico &quot;Mateus Rosé Sparkling&quot;_x000a_Competição Nacional"/>
        <s v="Premio al Mejor Guión de Cortometraje e Premio Especial del Jurado_x000a_Sección Oficial Cortometrajes"/>
        <s v="Menção Honrosa do Júri_x000a_Sessão Competitiva de Curtas-Metragens 4"/>
        <s v="Menção Honrosa_x000a_Competição SPAutores/Vasco Granja"/>
        <s v="Curta vencedora de Abril"/>
        <s v="Curta vencedora de Julho"/>
        <s v="3º Lugar_x000a_Animação"/>
        <s v="Menção Honrosa_x000a_Categoria Fundação INATEL"/>
        <s v="Prémio Novo Talento FNAC e Menção Honrosa - Prémio PIXEL BUNKER_x000a_Competição Internacional Curtas 7, Competição Nacional Curtas 1"/>
        <s v="Premio GAC al Mejor Guión de Cortometraje_x000a_L'Alternativa Oficiales: Cortos 2"/>
        <s v="Mikeldi de Plata de Ficción_x000a_Sección Oficial/Concurso Internacional"/>
        <s v="Melhor Ficção_x000a_Ficção"/>
        <s v="1º Lugar_x000a_Experimental"/>
        <s v="Prémio Camacho Costa_x000a_Lusofonia: Longas Metragens"/>
        <s v="Prémio Cinema Português FANTASPORTO 2013_x000a_Prémio de Cinema Português - Melhor Filme"/>
        <s v="1º Prémio -  Documentário_x000a_Documentário"/>
        <s v="Melhor Direcção de Arte: Júlio Alves e Pedro Rocha"/>
        <s v="Prémio Novo Talento Nacional/RESTART_x000a_Competição Nacional - Sessão 1"/>
        <s v="Melhor Filme VistaCurta 2013_x000a_Filme Escolar"/>
        <s v="Ó Bhéal Poetry Film Award_x000a_Ó Bhéal International Film Competition 2013"/>
        <s v="Menção Honrosa - Ficção_x000a_Ficção"/>
        <s v="Melhor Filme Estrangeiro - Média Metragem_x000a_Competição Mostra Estrangeira"/>
        <s v="Prémio SARDINHA EM LATA - Clapkids_x000a_Competição ClapKids"/>
        <s v="Menção Honrosa_x000a_Curta-metragem Escolar"/>
        <s v="Melhor Curta-Metragem Portuguesa_x000a_Sessão Competitiva nº4"/>
        <s v="Melhor Filme_x000a_Competição Internacional Curtas Programa 5"/>
        <s v="Prémio Yorn MOTELx para Melhor Curta de Terror Portuguesa_x000a_Prémio Yorn MOTELx"/>
        <s v="Venus de Badalona a la mejor música original_x000a_Internacional 13"/>
        <s v="Melhor Ator: Lázaro Ramos_x000a_Competição Longa-metragem"/>
        <s v="Melhor Curta do Ano, Melhor Curta da Network Shortcutz, Melhor Realizador, Melhor Argumento: João Leitão, Melhor Montagem: Mário Melo Costa, Melhor Música Original: Marco Franco, Melhor Fotografia: Mário Melo Costa e Melhor Ator: José Pinto"/>
        <s v="Menção Honrosa_x000a_Competição Curta-metragem"/>
        <s v="Prémio Carnide - Melhor Filme, Prémio RESTART - Melhor Fotografia, Prémio NEXTART - Melhor Argumento e Melhor Actor: Daniel Viana_x000a_Competição Geral"/>
        <s v="Prix du Film d'Animation"/>
        <s v="Melhor Realizador Nacional: Paulo Castilho, Melhor Curta-Metragem Nacional_x000a_Curta-metragem de ficção"/>
        <s v="Grande Prémio Nacional_x000a_Ficção/Animação8"/>
        <s v="Prémio do Júri e Prémio do Público"/>
        <s v="Menção Honrosa_x000a_Categoria Arte e Cultura"/>
        <s v="2º Lugar - Ficção Nacional_x000a_Ficção"/>
        <s v="Curta vencedora de Setembro"/>
        <s v="Melhor Actor: Carlos Santos"/>
        <s v="Melhor Ator Principal: Carlos Santos e Melhor Argumento Adaptado: Bruno de Almeida, Frederico Delgado Rosa e John Frey"/>
        <s v="Competição Portuguesa Longa-Metragem - Menção Honrosa_x000a_Competição Portuguesa - Longas"/>
        <s v="Prémio O Ganho do Som para Melhor Primeira ou Segunda Longa-Metragem da Competição Portuguesa_x000a_Competição Portuguesa - Longas"/>
        <s v="NexT Trophy_x000a_Competition"/>
        <s v="Silber Lenzing Award_x000a_Wettbewerb  - Filmblock 10"/>
        <s v="Premio MAX CUT per il miglior montaggio"/>
        <s v="Prémio Novíssimos_x000a_Novíssimos - Animação"/>
        <s v="Mikeldi de Oro de  Animación_x000a_Sección Oficial/Concurso Internacional"/>
        <s v="Melhor Curta-Metragem Nacional - Ficção"/>
        <s v="Melhor Curta-Metragem Leiriense_x000a_Curta-metragem de ficção"/>
        <s v="Prémio de Melhor Curta-Metragem Portuguesa_x000a_Competição para a Melhor Curta Metragem"/>
        <s v="Prémio Jovem Realizador_x000a_Categoria Fundação INATEL"/>
        <s v="3º Prémio - Ficção_x000a_Ficção"/>
        <s v="Prémio Primeiro Olhar.Cineclubes_x000a_Prémio Primeiro Olhar"/>
        <s v="Melhor Filme_x000a_Olhares e Enquadramentos"/>
        <s v="Prémio Melhor Curta Nacional e Prémio do Público_x000a_Competição Nacional"/>
        <s v="Prémio Melhor Curta-Metragem MEO_x000a_Competição Curtas Metragens MEO"/>
        <s v=" Prémio Património Imaterial_x000a_Categoria Património Imaterial"/>
        <s v="1º Lugar - Documentário Nacional_x000a_Documentário"/>
        <s v="Melhor Curta de Estudantes Portuguesa - Júri Junior_x000a_Competição Internacional Estudantes"/>
        <s v="Melhor Curta Portuguesa"/>
        <s v="Premio a Mejor Corto Internacional_x000a_Competencia de Cortometrajes Internacionales"/>
        <s v="Prémio da Audiência"/>
        <s v="Prémio BPI e Prémio Pixel Bunker para Melhor Filme da Competição Nacional, Prémio Canal+ (França)_x000a_Competição Nacional"/>
        <s v="Prémio Revelação_x000a_Sessão Competitiva de Curtas-Metragens 1"/>
        <s v="3º Lugar_x000a_17º Videorun Restart"/>
        <s v="Menção Honrosa - Prémio Árvore da Vida_x000a_Competição Nacional"/>
        <s v="Melhor Curta-metragem Escolar_x000a_Curta-metragem Escolar"/>
        <s v="Melhor Filme_x000a_Competição Take One!"/>
        <s v="Cinema Mundi Prize 2013_x000a_Best World Movies"/>
        <s v="Mención e Mención del Jurado ACCU/Fipresci_x000a_Competencia Internacional de Largometrajes"/>
        <s v="Prémio SATA/Macaronésia_x000a_Competição Nacional - Sessão 5"/>
        <s v="Melhor Documentário de Longa-Metragem e Prémio do Público"/>
        <s v="Prémio do Público e Melhor Actriz: Sara Barros Leitão_x000a_Competição Geral"/>
        <s v="Prémio do Público_x000a_Curta-metragem Escolar"/>
        <s v="Prix Spécial du Jury_x000a_Compétition Labo 4"/>
        <s v="Premio Speziale della Giuria_x000a_Cortometraggi"/>
        <s v="1º Lugar"/>
        <s v="Prix du Meilleur Court-Métrage _x000a_Courts-Métrages 1"/>
        <s v="DAAD Short Film Award_x000a_Berlinale Shorts IV "/>
        <s v="Prémio Culturgest para Melhor Curta-Metragem da Competição Portuguesa_x000a_Competição Portuguesa - Curtas"/>
        <s v="Best Original Screenplay"/>
        <s v="Mejor Pelicula: Premio Cinecolombia_x000a_Competencia Oficial Ficción"/>
        <s v="Melhor Filme, Melhor Montagem: Telmo Churro e Miguel Gomes"/>
        <s v="Orquidea al Mejor Director: Miguel Gomes_x000a_Largometraje Internacional"/>
        <s v="Melhor Som: Jorge Pacheco e Améba"/>
        <s v="Mención Especial del Jurado_x000a_Sección Oficial Largometrajes"/>
        <s v="Curta vencedora de Agosto"/>
        <s v="Prémio TAP para Documentário Português"/>
        <s v="Prémio Panorama Regional e Menção Honrosa - Panorama Regional Júri da Juventude_x000a_Lusofonia: Panorama Regional"/>
        <s v="Prémio Jovem Cineasta Português (+18 anos)_x000a_Competição Nacional: Prémio Jovem Cineasta Porrtuguês (+18 anos)"/>
        <s v="Prémio Escolas - Menção Honrosa_x000a_Competição Portuguesa - Longas"/>
        <s v="Melhor Documental Universitário_x000a_Documental Universitário"/>
        <s v="Menção Honrosa do Prémio Curtas Metragens MEO para Melhor Ensaio Cinematográfico_x000a_Competição Curtas Metragens MEO"/>
        <s v="Melhor Ficção e Prémio do Público_x000a_Ficção"/>
        <s v="Prémio da Crítica_x000a_Sessão Competitiva de Curtas-Metragens 2"/>
        <s v="Menção Honrosa - Prémio Primeiro Olhar. Cineclubes_x000a_Prémio Primeiro Olhar"/>
        <s v="Meilleur Long-Métrage e Meilleure Actrice: Iva Mugalela_x000a_Selection Internationale Fiction"/>
        <s v="Jury Special Prize for Outstanding Film_x000a_Feature Films Competition"/>
        <s v="Prix du Public: Catégorie &quot;Fictions&quot;_x000a_Longs Métrages Fiction"/>
        <s v="1º Lugar_x000a_17º Videorun Restart"/>
        <s v="Melhor Curta Nacional - Experimental"/>
        <s v="Prémio Meo Curtas da Casa_x000a_Curtas da Casa"/>
        <s v="Mejor Largometraje Documental_x000a_Documentales "/>
        <s v="Melhor Longa-Metragem Estrangeiro"/>
      </sharedItems>
    </cacheField>
    <cacheField name="Origem" numFmtId="0">
      <sharedItems count="2">
        <s v="INTERNACIONAL"/>
        <s v="NACIONAL"/>
      </sharedItems>
    </cacheField>
    <cacheField name="DI" numFmtId="14">
      <sharedItems containsSemiMixedTypes="0" containsNonDate="0" containsDate="1" containsString="0" minDate="1899-12-30T00:00:00" maxDate="2014-09-23T00:00:00" count="756">
        <d v="2011-10-28T00:00:00"/>
        <d v="2011-02-22T00:00:00"/>
        <d v="2011-03-23T00:00:00"/>
        <d v="2011-03-25T00:00:00"/>
        <d v="2011-04-23T00:00:00"/>
        <d v="2011-04-27T00:00:00"/>
        <d v="2011-05-07T00:00:00"/>
        <d v="2011-06-17T00:00:00"/>
        <d v="2011-07-07T00:00:00"/>
        <d v="2011-07-08T00:00:00"/>
        <d v="2011-09-19T00:00:00"/>
        <d v="2011-09-20T00:00:00"/>
        <d v="2011-09-22T00:00:00"/>
        <d v="2011-10-30T00:00:00"/>
        <d v="2011-11-22T00:00:00"/>
        <d v="2011-12-01T00:00:00"/>
        <d v="2011-12-03T00:00:00"/>
        <d v="2011-12-09T00:00:00"/>
        <d v="2011-05-08T00:00:00"/>
        <d v="2011-09-09T00:00:00"/>
        <d v="2011-11-09T00:00:00"/>
        <d v="2011-09-07T00:00:00"/>
        <d v="2011-09-16T00:00:00"/>
        <d v="2011-10-20T00:00:00"/>
        <d v="2011-03-21T00:00:00"/>
        <d v="2011-11-07T00:00:00"/>
        <d v="2011-01-23T00:00:00"/>
        <d v="2011-03-09T00:00:00"/>
        <d v="2011-03-16T00:00:00"/>
        <d v="2011-03-24T00:00:00"/>
        <d v="2011-03-28T00:00:00"/>
        <d v="2011-05-13T00:00:00"/>
        <d v="2011-06-14T00:00:00"/>
        <d v="2011-06-23T00:00:00"/>
        <d v="2011-11-18T00:00:00"/>
        <d v="2011-09-21T00:00:00"/>
        <d v="2011-11-25T00:00:00"/>
        <d v="2011-08-20T00:00:00"/>
        <d v="2011-11-28T00:00:00"/>
        <d v="2011-10-25T00:00:00"/>
        <d v="2011-11-08T00:00:00"/>
        <d v="2011-11-14T00:00:00"/>
        <d v="2011-05-14T00:00:00"/>
        <d v="2011-05-23T00:00:00"/>
        <d v="2011-06-28T00:00:00"/>
        <d v="2011-09-05T00:00:00"/>
        <d v="2011-09-10T00:00:00"/>
        <d v="2011-07-28T00:00:00"/>
        <d v="2011-08-03T00:00:00"/>
        <d v="2011-01-12T00:00:00"/>
        <d v="2011-06-21T00:00:00"/>
        <d v="2011-06-22T00:00:00"/>
        <d v="2011-07-27T00:00:00"/>
        <d v="2011-09-02T00:00:00"/>
        <d v="2011-09-06T00:00:00"/>
        <d v="2011-09-08T00:00:00"/>
        <d v="2011-04-20T00:00:00"/>
        <d v="2011-02-23T00:00:00"/>
        <d v="2011-02-21T00:00:00"/>
        <d v="2011-04-26T00:00:00"/>
        <d v="2011-05-24T00:00:00"/>
        <d v="2011-06-02T00:00:00"/>
        <d v="2011-06-03T00:00:00"/>
        <d v="2011-06-08T00:00:00"/>
        <d v="2011-07-09T00:00:00"/>
        <d v="2011-08-27T00:00:00"/>
        <d v="2011-10-27T00:00:00"/>
        <d v="2011-11-10T00:00:00"/>
        <d v="2011-08-24T00:00:00"/>
        <d v="2011-11-06T00:00:00"/>
        <d v="2011-11-04T00:00:00"/>
        <d v="2011-02-04T00:00:00"/>
        <d v="2011-11-11T00:00:00"/>
        <d v="2011-01-21T00:00:00"/>
        <d v="2011-05-04T00:00:00"/>
        <d v="2011-05-19T00:00:00"/>
        <d v="2011-07-01T00:00:00"/>
        <d v="2011-10-06T00:00:00"/>
        <d v="1899-12-30T00:00:00"/>
        <d v="2011-10-08T00:00:00"/>
        <d v="2011-10-24T00:00:00"/>
        <d v="2011-01-26T00:00:00"/>
        <d v="2011-04-28T00:00:00"/>
        <d v="2011-07-16T00:00:00"/>
        <d v="2011-09-01T00:00:00"/>
        <d v="2011-10-18T00:00:00"/>
        <d v="2011-11-12T00:00:00"/>
        <d v="2011-12-14T00:00:00"/>
        <d v="2011-12-07T00:00:00"/>
        <d v="2011-07-02T00:00:00"/>
        <d v="2011-06-29T00:00:00"/>
        <d v="2011-12-05T00:00:00"/>
        <d v="2011-11-21T00:00:00"/>
        <d v="2011-11-26T00:00:00"/>
        <d v="2011-10-09T00:00:00"/>
        <d v="2011-06-10T00:00:00"/>
        <d v="2011-12-21T00:00:00"/>
        <d v="2011-05-11T00:00:00"/>
        <d v="2011-05-20T00:00:00"/>
        <d v="2011-11-05T00:00:00"/>
        <d v="2011-06-06T00:00:00"/>
        <d v="2011-06-19T00:00:00"/>
        <d v="2011-08-26T00:00:00"/>
        <d v="2011-10-14T00:00:00"/>
        <d v="2011-05-16T00:00:00"/>
        <d v="2011-07-06T00:00:00"/>
        <d v="2011-09-14T00:00:00"/>
        <d v="2011-03-17T00:00:00"/>
        <d v="2011-12-04T00:00:00"/>
        <d v="2011-07-22T00:00:00"/>
        <d v="2011-08-04T00:00:00"/>
        <d v="2011-08-25T00:00:00"/>
        <d v="2011-05-05T00:00:00"/>
        <d v="2011-05-30T00:00:00"/>
        <d v="2011-09-17T00:00:00"/>
        <d v="2011-03-27T00:00:00"/>
        <d v="2011-04-07T00:00:00"/>
        <d v="2011-07-18T00:00:00"/>
        <d v="2012-09-07T00:00:00"/>
        <d v="2011-09-29T00:00:00"/>
        <d v="2011-11-03T00:00:00"/>
        <d v="2011-02-25T00:00:00"/>
        <d v="2011-10-12T00:00:00"/>
        <d v="2011-03-04T00:00:00"/>
        <d v="2011-12-13T00:00:00"/>
        <d v="2011-03-30T00:00:00"/>
        <d v="2011-04-14T00:00:00"/>
        <d v="2011-10-21T00:00:00"/>
        <d v="2011-08-13T00:00:00"/>
        <d v="2011-08-23T00:00:00"/>
        <d v="2011-03-01T00:00:00"/>
        <d v="2011-04-21T00:00:00"/>
        <d v="2011-06-09T00:00:00"/>
        <d v="2011-09-12T00:00:00"/>
        <d v="2011-08-16T00:00:00"/>
        <d v="2011-12-29T00:00:00"/>
        <d v="2011-10-02T00:00:00"/>
        <d v="2011-10-10T00:00:00"/>
        <d v="2011-09-28T00:00:00"/>
        <d v="2011-10-22T00:00:00"/>
        <d v="2011-07-20T00:00:00"/>
        <d v="2011-04-01T00:00:00"/>
        <d v="2011-07-21T00:00:00"/>
        <d v="2011-08-15T00:00:00"/>
        <d v="2011-08-19T00:00:00"/>
        <d v="2011-02-10T00:00:00"/>
        <d v="2011-01-17T00:00:00"/>
        <d v="2011-03-22T00:00:00"/>
        <d v="2011-12-15T00:00:00"/>
        <d v="2011-01-22T00:00:00"/>
        <d v="2011-06-25T00:00:00"/>
        <d v="2011-12-08T00:00:00"/>
        <d v="2011-05-09T00:00:00"/>
        <d v="2011-05-12T00:00:00"/>
        <d v="2011-08-31T00:00:00"/>
        <d v="2011-09-25T00:00:00"/>
        <d v="2011-10-13T00:00:00"/>
        <d v="2011-08-05T00:00:00"/>
        <d v="2011-03-03T00:00:00"/>
        <d v="2011-06-15T00:00:00"/>
        <d v="2011-07-15T00:00:00"/>
        <d v="2011-06-30T00:00:00"/>
        <d v="2011-05-18T00:00:00"/>
        <d v="2011-09-13T00:00:00"/>
        <d v="2011-04-06T00:00:00"/>
        <d v="2011-10-05T00:00:00"/>
        <d v="2011-10-23T00:00:00"/>
        <d v="2011-06-07T00:00:00"/>
        <d v="2011-09-15T00:00:00"/>
        <d v="2011-09-24T00:00:00"/>
        <d v="2011-11-16T00:00:00"/>
        <d v="2011-08-18T00:00:00"/>
        <d v="2011-10-11T00:00:00"/>
        <d v="2011-06-11T00:00:00"/>
        <d v="2011-05-15T00:00:00"/>
        <d v="2011-06-01T00:00:00"/>
        <d v="2011-07-29T00:00:00"/>
        <d v="2011-03-13T00:00:00"/>
        <d v="2011-04-18T00:00:00"/>
        <d v="2011-02-11T00:00:00"/>
        <d v="2011-02-18T00:00:00"/>
        <d v="2011-01-20T00:00:00"/>
        <d v="2011-02-12T00:00:00"/>
        <d v="2011-11-23T00:00:00"/>
        <d v="2011-10-15T00:00:00"/>
        <d v="2011-02-02T00:00:00"/>
        <d v="2011-11-15T00:00:00"/>
        <d v="2011-09-26T00:00:00"/>
        <d v="2011-11-01T00:00:00"/>
        <d v="2011-10-04T00:00:00"/>
        <d v="2011-02-28T00:00:00"/>
        <d v="2011-12-17T00:00:00"/>
        <d v="2011-03-02T00:00:00"/>
        <d v="2011-06-16T00:00:00"/>
        <d v="2011-09-04T00:00:00"/>
        <d v="2011-02-17T00:00:00"/>
        <d v="2011-02-24T00:00:00"/>
        <d v="2011-05-29T00:00:00"/>
        <d v="2011-12-18T00:00:00"/>
        <d v="2012-08-23T00:00:00"/>
        <d v="2011-08-11T00:00:00"/>
        <d v="2011-10-01T00:00:00"/>
        <d v="2011-04-05T00:00:00"/>
        <d v="2011-05-31T00:00:00"/>
        <d v="2011-09-03T00:00:00"/>
        <d v="2011-10-03T00:00:00"/>
        <d v="2011-10-07T00:00:00"/>
        <d v="2011-10-19T00:00:00"/>
        <d v="2011-10-29T00:00:00"/>
        <d v="2011-12-02T00:00:00"/>
        <d v="2011-10-26T00:00:00"/>
        <d v="2011-09-23T00:00:00"/>
        <d v="2011-11-17T00:00:00"/>
        <d v="2011-05-06T00:00:00"/>
        <d v="2011-10-17T00:00:00"/>
        <d v="2011-12-06T00:00:00"/>
        <d v="2011-01-28T00:00:00"/>
        <d v="2011-09-30T00:00:00"/>
        <d v="2011-02-16T00:00:00"/>
        <d v="2011-03-12T00:00:00"/>
        <d v="2011-01-19T00:00:00"/>
        <d v="2011-02-09T00:00:00"/>
        <d v="2011-12-23T00:00:00"/>
        <d v="2011-03-10T00:00:00"/>
        <d v="2011-07-11T00:00:00"/>
        <d v="2011-04-12T00:00:00"/>
        <d v="2011-06-26T00:00:00"/>
        <d v="2011-07-30T00:00:00"/>
        <d v="2011-08-17T00:00:00"/>
        <d v="2011-01-29T00:00:00"/>
        <d v="2011-11-13T00:00:00"/>
        <d v="2012-12-07T00:00:00"/>
        <d v="2012-04-10T00:00:00"/>
        <d v="2012-10-19T00:00:00"/>
        <d v="2012-11-23T00:00:00"/>
        <d v="2012-01-30T00:00:00"/>
        <d v="2012-06-22T00:00:00"/>
        <d v="2012-06-26T00:00:00"/>
        <d v="2012-08-19T00:00:00"/>
        <d v="2012-11-25T00:00:00"/>
        <d v="2012-10-13T00:00:00"/>
        <d v="2012-05-13T00:00:00"/>
        <d v="2012-06-02T00:00:00"/>
        <d v="2012-06-01T00:00:00"/>
        <d v="2012-02-08T00:00:00"/>
        <d v="2012-02-07T00:00:00"/>
        <d v="2012-12-11T00:00:00"/>
        <d v="2012-02-14T00:00:00"/>
        <d v="2012-03-28T00:00:00"/>
        <d v="2012-01-22T00:00:00"/>
        <d v="2012-07-25T00:00:00"/>
        <d v="2012-11-09T00:00:00"/>
        <d v="2012-10-26T00:00:00"/>
        <d v="2012-07-07T00:00:00"/>
        <d v="2012-11-08T00:00:00"/>
        <d v="2012-06-14T00:00:00"/>
        <d v="2012-03-15T00:00:00"/>
        <d v="2012-09-27T00:00:00"/>
        <d v="2012-02-16T00:00:00"/>
        <d v="2012-03-07T00:00:00"/>
        <d v="2012-04-18T00:00:00"/>
        <d v="2012-09-29T00:00:00"/>
        <d v="2012-10-06T00:00:00"/>
        <d v="2012-01-24T00:00:00"/>
        <d v="2012-06-13T00:00:00"/>
        <d v="2012-04-14T00:00:00"/>
        <d v="2012-09-24T00:00:00"/>
        <d v="2012-11-15T00:00:00"/>
        <d v="2012-03-19T00:00:00"/>
        <d v="2012-03-09T00:00:00"/>
        <d v="2012-02-12T00:00:00"/>
        <d v="2012-01-26T00:00:00"/>
        <d v="2012-12-20T00:00:00"/>
        <d v="2012-01-25T00:00:00"/>
        <d v="2012-05-09T00:00:00"/>
        <d v="2012-05-31T00:00:00"/>
        <d v="2012-09-12T00:00:00"/>
        <d v="2012-10-31T00:00:00"/>
        <d v="2012-03-06T00:00:00"/>
        <d v="2012-11-24T00:00:00"/>
        <d v="2012-06-29T00:00:00"/>
        <d v="2012-04-26T00:00:00"/>
        <d v="2012-11-17T00:00:00"/>
        <d v="2012-07-02T00:00:00"/>
        <d v="2012-11-26T00:00:00"/>
        <d v="2012-10-15T00:00:00"/>
        <d v="2012-09-06T00:00:00"/>
        <d v="2012-03-29T00:00:00"/>
        <d v="2012-03-08T00:00:00"/>
        <d v="2012-11-28T00:00:00"/>
        <d v="2012-06-09T00:00:00"/>
        <d v="2012-01-18T00:00:00"/>
        <d v="2012-02-01T00:00:00"/>
        <d v="2012-07-01T00:00:00"/>
        <d v="2012-10-18T00:00:00"/>
        <d v="2012-10-22T00:00:00"/>
        <d v="2012-12-04T00:00:00"/>
        <d v="2012-10-24T00:00:00"/>
        <d v="2012-07-18T00:00:00"/>
        <d v="2012-02-06T00:00:00"/>
        <d v="2012-02-26T00:00:00"/>
        <d v="2012-06-08T00:00:00"/>
        <d v="2012-02-20T00:00:00"/>
        <d v="2012-09-28T00:00:00"/>
        <d v="2012-11-29T00:00:00"/>
        <d v="2012-06-06T00:00:00"/>
        <d v="2012-06-20T00:00:00"/>
        <d v="2012-11-12T00:00:00"/>
        <d v="2012-10-16T00:00:00"/>
        <d v="2012-06-12T00:00:00"/>
        <d v="2012-02-27T00:00:00"/>
        <d v="2012-03-30T00:00:00"/>
        <d v="2012-09-26T00:00:00"/>
        <d v="2012-04-04T00:00:00"/>
        <d v="2012-05-15T00:00:00"/>
        <d v="2012-01-20T00:00:00"/>
        <d v="2012-01-04T00:00:00"/>
        <d v="2012-03-01T00:00:00"/>
        <d v="2012-02-18T00:00:00"/>
        <d v="2012-04-13T00:00:00"/>
        <d v="2012-04-03T00:00:00"/>
        <d v="2012-04-17T00:00:00"/>
        <d v="2012-01-11T00:00:00"/>
        <d v="2012-03-22T00:00:00"/>
        <d v="2012-05-04T00:00:00"/>
        <d v="2012-11-07T00:00:00"/>
        <d v="2012-11-20T00:00:00"/>
        <d v="2012-12-10T00:00:00"/>
        <d v="2012-09-22T00:00:00"/>
        <d v="2012-04-09T00:00:00"/>
        <d v="2012-11-10T00:00:00"/>
        <d v="2012-12-02T00:00:00"/>
        <d v="2012-03-20T00:00:00"/>
        <d v="2012-07-13T00:00:00"/>
        <d v="2013-07-24T00:00:00"/>
        <d v="2012-08-01T00:00:00"/>
        <d v="2012-10-02T00:00:00"/>
        <d v="2012-10-04T00:00:00"/>
        <d v="2012-10-10T00:00:00"/>
        <d v="2012-10-25T00:00:00"/>
        <d v="2012-11-01T00:00:00"/>
        <d v="2012-11-02T00:00:00"/>
        <d v="2012-11-11T00:00:00"/>
        <d v="2012-07-04T00:00:00"/>
        <d v="2012-03-02T00:00:00"/>
        <d v="2012-06-19T00:00:00"/>
        <d v="2012-05-07T00:00:00"/>
        <d v="2012-06-28T00:00:00"/>
        <d v="2012-03-10T00:00:00"/>
        <d v="2012-09-14T00:00:00"/>
        <d v="2012-10-23T00:00:00"/>
        <d v="2012-12-05T00:00:00"/>
        <d v="2012-01-27T00:00:00"/>
        <d v="2012-03-14T00:00:00"/>
        <d v="2012-11-16T00:00:00"/>
        <d v="2012-04-20T00:00:00"/>
        <d v="2012-08-16T00:00:00"/>
        <d v="2012-01-28T00:00:00"/>
        <d v="2012-04-19T00:00:00"/>
        <d v="2012-06-11T00:00:00"/>
        <d v="2012-05-08T00:00:00"/>
        <d v="2012-01-06T00:00:00"/>
        <d v="2012-04-05T00:00:00"/>
        <d v="2012-04-11T00:00:00"/>
        <d v="2012-04-12T00:00:00"/>
        <d v="2012-05-18T00:00:00"/>
        <d v="2012-02-29T00:00:00"/>
        <d v="2012-05-02T00:00:00"/>
        <d v="2012-06-05T00:00:00"/>
        <d v="2012-11-13T00:00:00"/>
        <d v="2012-09-10T00:00:00"/>
        <d v="2012-02-23T00:00:00"/>
        <d v="2012-03-21T00:00:00"/>
        <d v="2012-05-16T00:00:00"/>
        <d v="2012-10-17T00:00:00"/>
        <d v="2012-01-31T00:00:00"/>
        <d v="2012-09-15T00:00:00"/>
        <d v="2012-09-18T00:00:00"/>
        <d v="2012-10-09T00:00:00"/>
        <d v="2012-11-14T00:00:00"/>
        <d v="2012-09-21T00:00:00"/>
        <d v="2012-11-06T00:00:00"/>
        <d v="2012-10-03T00:00:00"/>
        <d v="2012-08-06T00:00:00"/>
        <d v="2012-01-23T00:00:00"/>
        <d v="2012-12-16T00:00:00"/>
        <d v="2012-05-22T00:00:00"/>
        <d v="2012-11-18T00:00:00"/>
        <d v="2012-03-26T00:00:00"/>
        <d v="2012-11-05T00:00:00"/>
        <d v="2012-01-29T00:00:00"/>
        <d v="2012-02-13T00:00:00"/>
        <d v="2012-07-12T00:00:00"/>
        <d v="2012-06-16T00:00:00"/>
        <d v="2012-03-23T00:00:00"/>
        <d v="2012-12-12T00:00:00"/>
        <d v="2012-02-21T00:00:00"/>
        <d v="2012-06-21T00:00:00"/>
        <d v="2012-08-07T00:00:00"/>
        <d v="2012-01-03T00:00:00"/>
        <d v="2012-01-10T00:00:00"/>
        <d v="2012-02-03T00:00:00"/>
        <d v="2012-02-10T00:00:00"/>
        <d v="2012-02-24T00:00:00"/>
        <d v="2012-03-16T00:00:00"/>
        <d v="2012-03-24T00:00:00"/>
        <d v="2012-06-10T00:00:00"/>
        <d v="2012-05-29T00:00:00"/>
        <d v="2012-12-14T00:00:00"/>
        <d v="2012-02-17T00:00:00"/>
        <d v="2012-10-11T00:00:00"/>
        <d v="2012-10-20T00:00:00"/>
        <d v="2012-03-31T00:00:00"/>
        <d v="2012-05-23T00:00:00"/>
        <d v="2012-02-09T00:00:00"/>
        <d v="2012-09-08T00:00:00"/>
        <d v="2012-05-10T00:00:00"/>
        <d v="2012-09-19T00:00:00"/>
        <d v="2012-11-21T00:00:00"/>
        <d v="2012-07-05T00:00:00"/>
        <d v="2012-04-02T00:00:00"/>
        <d v="2012-04-06T00:00:00"/>
        <d v="2012-04-08T00:00:00"/>
        <d v="2012-04-15T00:00:00"/>
        <d v="2012-10-12T00:00:00"/>
        <d v="2012-02-22T00:00:00"/>
        <d v="2012-02-15T00:00:00"/>
        <d v="2012-10-21T00:00:00"/>
        <d v="2012-08-25T00:00:00"/>
        <d v="2012-12-06T00:00:00"/>
        <d v="2012-09-25T00:00:00"/>
        <d v="2012-01-17T00:00:00"/>
        <d v="2012-01-05T00:00:00"/>
        <d v="2012-03-27T00:00:00"/>
        <d v="2012-01-15T00:00:00"/>
        <d v="2012-06-04T00:00:00"/>
        <d v="2012-09-13T00:00:00"/>
        <d v="2012-12-01T00:00:00"/>
        <d v="2012-12-03T00:00:00"/>
        <d v="2012-12-29T00:00:00"/>
        <d v="2012-08-30T00:00:00"/>
        <d v="2012-11-19T00:00:00"/>
        <d v="2012-04-24T00:00:00"/>
        <d v="2012-04-30T00:00:00"/>
        <d v="2012-08-29T00:00:00"/>
        <d v="2012-09-01T00:00:00"/>
        <d v="2012-05-25T00:00:00"/>
        <d v="2012-07-21T00:00:00"/>
        <d v="2012-05-17T00:00:00"/>
        <d v="2012-03-13T00:00:00"/>
        <d v="2012-05-03T00:00:00"/>
        <d v="2012-11-30T00:00:00"/>
        <d v="2012-05-24T00:00:00"/>
        <d v="2012-08-22T00:00:00"/>
        <d v="2012-12-22T00:00:00"/>
        <d v="2012-08-17T00:00:00"/>
        <d v="2012-06-07T00:00:00"/>
        <d v="2012-10-05T00:00:00"/>
        <d v="2012-06-15T00:00:00"/>
        <d v="2012-01-08T00:00:00"/>
        <d v="2012-09-17T00:00:00"/>
        <d v="2012-02-05T00:00:00"/>
        <d v="2012-01-09T00:00:00"/>
        <d v="2012-01-12T00:00:00"/>
        <d v="2012-03-12T00:00:00"/>
        <d v="2012-05-20T00:00:00"/>
        <d v="2012-05-28T00:00:00"/>
        <d v="2013-11-16T00:00:00"/>
        <d v="2012-03-05T00:00:00"/>
        <d v="2012-12-18T00:00:00"/>
        <d v="2012-06-25T00:00:00"/>
        <d v="2012-04-27T00:00:00"/>
        <d v="2012-05-19T00:00:00"/>
        <d v="2012-04-21T00:00:00"/>
        <d v="2012-01-14T00:00:00"/>
        <d v="2012-04-07T00:00:00"/>
        <d v="2012-02-04T00:00:00"/>
        <d v="2012-08-02T00:00:00"/>
        <d v="2012-02-11T00:00:00"/>
        <d v="2012-08-08T00:00:00"/>
        <d v="2012-10-08T00:00:00"/>
        <d v="2012-05-14T00:00:00"/>
        <d v="2012-07-06T00:00:00"/>
        <d v="2012-01-19T00:00:00"/>
        <d v="2012-07-19T00:00:00"/>
        <d v="2012-05-21T00:00:00"/>
        <d v="2012-08-15T00:00:00"/>
        <d v="2012-08-18T00:00:00"/>
        <d v="2012-09-05T00:00:00"/>
        <d v="2012-09-20T00:00:00"/>
        <d v="2012-12-17T00:00:00"/>
        <d v="2012-07-17T00:00:00"/>
        <d v="2012-07-22T00:00:00"/>
        <d v="2012-11-27T00:00:00"/>
        <d v="2012-09-16T00:00:00"/>
        <d v="2012-08-21T00:00:00"/>
        <d v="2013-02-07T00:00:00"/>
        <d v="2013-04-16T00:00:00"/>
        <d v="2013-11-13T00:00:00"/>
        <d v="2013-06-01T00:00:00"/>
        <d v="2013-08-28T00:00:00"/>
        <d v="2013-10-18T00:00:00"/>
        <d v="2013-12-01T00:00:00"/>
        <d v="2013-02-25T00:00:00"/>
        <d v="2013-05-03T00:00:00"/>
        <d v="2013-09-26T00:00:00"/>
        <d v="2013-06-13T00:00:00"/>
        <d v="2013-01-26T00:00:00"/>
        <d v="2013-06-03T00:00:00"/>
        <d v="2013-11-25T00:00:00"/>
        <d v="2013-09-13T00:00:00"/>
        <d v="2013-03-16T00:00:00"/>
        <d v="2013-08-31T00:00:00"/>
        <d v="2013-11-12T00:00:00"/>
        <d v="2013-05-16T00:00:00"/>
        <d v="2013-06-20T00:00:00"/>
        <d v="2013-08-22T00:00:00"/>
        <d v="2013-10-03T00:00:00"/>
        <d v="2013-10-17T00:00:00"/>
        <d v="2013-11-08T00:00:00"/>
        <d v="2013-12-06T00:00:00"/>
        <d v="2013-06-27T00:00:00"/>
        <d v="2013-01-25T00:00:00"/>
        <d v="2013-02-08T00:00:00"/>
        <d v="2013-04-23T00:00:00"/>
        <d v="2013-05-10T00:00:00"/>
        <d v="2013-06-12T00:00:00"/>
        <d v="2013-09-23T00:00:00"/>
        <d v="2013-10-16T00:00:00"/>
        <d v="2013-01-07T00:00:00"/>
        <d v="2013-04-08T00:00:00"/>
        <d v="2013-04-19T00:00:00"/>
        <d v="2013-05-21T00:00:00"/>
        <d v="2013-05-24T00:00:00"/>
        <d v="2013-08-23T00:00:00"/>
        <d v="2013-07-26T00:00:00"/>
        <d v="2013-05-14T00:00:00"/>
        <d v="2013-04-18T00:00:00"/>
        <d v="2013-06-06T00:00:00"/>
        <d v="2013-07-02T00:00:00"/>
        <d v="2013-08-29T00:00:00"/>
        <d v="2013-09-05T00:00:00"/>
        <d v="2013-09-06T00:00:00"/>
        <d v="2013-09-17T00:00:00"/>
        <d v="2013-11-01T00:00:00"/>
        <d v="2013-11-18T00:00:00"/>
        <d v="2013-11-27T00:00:00"/>
        <d v="2013-12-07T00:00:00"/>
        <d v="2013-12-18T00:00:00"/>
        <d v="2013-12-19T00:00:00"/>
        <d v="2013-03-14T00:00:00"/>
        <d v="2013-10-29T00:00:00"/>
        <d v="2013-02-13T00:00:00"/>
        <d v="2013-10-24T00:00:00"/>
        <d v="2013-08-21T00:00:00"/>
        <d v="2013-08-08T00:00:00"/>
        <d v="2013-04-03T00:00:00"/>
        <d v="2013-03-13T00:00:00"/>
        <d v="2013-06-21T00:00:00"/>
        <d v="2013-09-24T00:00:00"/>
        <d v="2013-03-08T00:00:00"/>
        <d v="2013-03-23T00:00:00"/>
        <d v="2013-06-07T00:00:00"/>
        <d v="2013-01-21T00:00:00"/>
        <d v="2013-06-11T00:00:00"/>
        <d v="2013-02-23T00:00:00"/>
        <d v="2013-08-02T00:00:00"/>
        <d v="2013-05-27T00:00:00"/>
        <d v="2013-10-10T00:00:00"/>
        <d v="2013-09-11T00:00:00"/>
        <d v="2013-07-11T00:00:00"/>
        <d v="2013-03-07T00:00:00"/>
        <d v="2013-01-15T00:00:00"/>
        <d v="2013-07-06T00:00:00"/>
        <d v="2013-11-07T00:00:00"/>
        <d v="2013-07-16T00:00:00"/>
        <d v="2013-12-11T00:00:00"/>
        <d v="2013-12-21T00:00:00"/>
        <d v="2013-02-20T00:00:00"/>
        <d v="2013-09-25T00:00:00"/>
        <d v="2013-02-16T00:00:00"/>
        <d v="2013-11-20T00:00:00"/>
        <d v="2013-04-11T00:00:00"/>
        <d v="2013-11-09T00:00:00"/>
        <d v="2013-01-22T00:00:00"/>
        <d v="2013-04-02T00:00:00"/>
        <d v="2013-01-18T00:00:00"/>
        <d v="2013-02-21T00:00:00"/>
        <d v="2013-03-17T00:00:00"/>
        <d v="2013-03-30T00:00:00"/>
        <d v="2013-04-10T00:00:00"/>
        <d v="2013-05-09T00:00:00"/>
        <d v="2013-06-19T00:00:00"/>
        <d v="2013-06-28T00:00:00"/>
        <d v="2013-11-21T00:00:00"/>
        <d v="2013-02-19T00:00:00"/>
        <d v="2013-03-22T00:00:00"/>
        <d v="2013-09-07T00:00:00"/>
        <d v="2013-08-30T00:00:00"/>
        <d v="2013-01-16T00:00:00"/>
        <d v="2013-02-05T00:00:00"/>
        <d v="2013-07-19T00:00:00"/>
        <d v="2013-01-23T00:00:00"/>
        <d v="2013-04-24T00:00:00"/>
        <d v="2013-09-20T00:00:00"/>
        <d v="2013-07-01T00:00:00"/>
        <d v="2013-12-14T00:00:00"/>
        <d v="2013-09-01T00:00:00"/>
        <d v="2013-04-01T00:00:00"/>
        <d v="2013-01-24T00:00:00"/>
        <d v="2013-04-17T00:00:00"/>
        <d v="2013-11-11T00:00:00"/>
        <d v="2013-04-25T00:00:00"/>
        <d v="2013-04-26T00:00:00"/>
        <d v="2013-06-15T00:00:00"/>
        <d v="2013-10-09T00:00:00"/>
        <d v="2013-02-06T00:00:00"/>
        <d v="2013-03-26T00:00:00"/>
        <d v="2013-07-31T00:00:00"/>
        <d v="2013-09-27T00:00:00"/>
        <d v="2013-03-31T00:00:00"/>
        <d v="2013-02-15T00:00:00"/>
        <d v="2013-02-27T00:00:00"/>
        <d v="2013-08-17T00:00:00"/>
        <d v="2013-10-07T00:00:00"/>
        <d v="2013-02-26T00:00:00"/>
        <d v="2013-08-07T00:00:00"/>
        <d v="2013-12-03T00:00:00"/>
        <d v="2013-03-12T00:00:00"/>
        <d v="2013-07-23T00:00:00"/>
        <d v="2013-12-13T00:00:00"/>
        <d v="2013-10-19T00:00:00"/>
        <d v="2013-07-25T00:00:00"/>
        <d v="2013-05-08T00:00:00"/>
        <d v="2013-07-20T00:00:00"/>
        <d v="2013-06-24T00:00:00"/>
        <d v="2013-09-18T00:00:00"/>
        <d v="2013-11-22T00:00:00"/>
        <d v="2013-03-06T00:00:00"/>
        <d v="2013-11-06T00:00:00"/>
        <d v="2013-01-27T00:00:00"/>
        <d v="2013-04-04T00:00:00"/>
        <d v="2013-06-25T00:00:00"/>
        <d v="2013-10-15T00:00:00"/>
        <d v="2013-05-28T00:00:00"/>
        <d v="2013-08-15T00:00:00"/>
        <d v="2013-05-20T00:00:00"/>
        <d v="2013-10-14T00:00:00"/>
        <d v="2013-10-28T00:00:00"/>
        <d v="2013-03-21T00:00:00"/>
        <d v="2013-03-01T00:00:00"/>
        <d v="2013-10-06T00:00:00"/>
        <d v="2013-10-25T00:00:00"/>
        <d v="2013-11-29T00:00:00"/>
        <d v="2013-06-10T00:00:00"/>
        <d v="2013-03-05T00:00:00"/>
        <d v="2013-06-14T00:00:00"/>
        <d v="2013-07-30T00:00:00"/>
        <d v="2013-03-28T00:00:00"/>
        <d v="2013-12-16T00:00:00"/>
        <d v="2013-02-14T00:00:00"/>
        <d v="2013-02-17T00:00:00"/>
        <d v="2013-10-04T00:00:00"/>
        <d v="2013-04-12T00:00:00"/>
        <d v="2013-06-05T00:00:00"/>
        <d v="2013-10-11T00:00:00"/>
        <d v="2013-05-31T00:00:00"/>
        <d v="2013-09-14T00:00:00"/>
        <d v="2013-02-22T00:00:00"/>
        <d v="2013-07-29T00:00:00"/>
        <d v="2013-03-29T00:00:00"/>
        <d v="2013-04-13T00:00:00"/>
        <d v="2013-02-01T00:00:00"/>
        <d v="2013-01-10T00:00:00"/>
        <d v="2013-05-22T00:00:00"/>
        <d v="2013-07-12T00:00:00"/>
        <d v="2013-07-27T00:00:00"/>
        <d v="2013-09-04T00:00:00"/>
        <d v="2013-04-15T00:00:00"/>
        <d v="2013-12-17T00:00:00"/>
        <d v="2013-03-18T00:00:00"/>
        <d v="2013-12-09T00:00:00"/>
        <d v="2013-06-18T00:00:00"/>
        <d v="2013-03-19T00:00:00"/>
        <d v="2013-10-31T00:00:00"/>
        <d v="2013-11-30T00:00:00"/>
        <d v="2013-01-08T00:00:00"/>
        <d v="2013-01-11T00:00:00"/>
        <d v="2013-02-09T00:00:00"/>
        <d v="2013-02-28T00:00:00"/>
        <d v="2013-03-11T00:00:00"/>
        <d v="2013-04-05T00:00:00"/>
        <d v="2013-04-09T00:00:00"/>
        <d v="2013-05-15T00:00:00"/>
        <d v="2013-11-10T00:00:00"/>
        <d v="2013-12-02T00:00:00"/>
        <d v="2013-08-12T00:00:00"/>
        <d v="2013-03-20T00:00:00"/>
        <d v="2013-10-30T00:00:00"/>
        <d v="2013-11-15T00:00:00"/>
        <d v="2013-03-15T00:00:00"/>
        <d v="2013-10-26T00:00:00"/>
        <d v="2013-01-09T00:00:00"/>
        <d v="2013-12-04T00:00:00"/>
        <d v="2013-11-05T00:00:00"/>
        <d v="2013-01-02T00:00:00"/>
        <d v="2013-02-18T00:00:00"/>
        <d v="2013-03-27T00:00:00"/>
        <d v="2013-05-01T00:00:00"/>
        <d v="2013-01-04T00:00:00"/>
        <d v="2013-03-25T00:00:00"/>
        <d v="2014-09-22T00:00:00"/>
        <d v="2013-09-16T00:00:00"/>
        <d v="2013-02-24T00:00:00"/>
        <d v="2013-02-12T00:00:00"/>
        <d v="2013-01-19T00:00:00"/>
        <d v="2013-12-15T00:00:00"/>
        <d v="2013-01-01T00:00:00"/>
        <d v="2013-11-23T00:00:00"/>
        <d v="2013-08-16T00:00:00"/>
        <d v="2013-06-04T00:00:00"/>
        <d v="2013-01-20T00:00:00"/>
        <d v="2013-07-13T00:00:00"/>
        <d v="2013-08-24T00:00:00"/>
        <d v="2013-12-10T00:00:00"/>
        <d v="2013-01-13T00:00:00"/>
        <d v="2013-02-11T00:00:00"/>
        <d v="2013-11-28T00:00:00"/>
        <d v="2013-05-05T00:00:00"/>
        <d v="2013-05-17T00:00:00"/>
        <d v="2013-11-14T00:00:00"/>
        <d v="2014-01-10T00:00:00"/>
        <d v="2014-01-24T00:00:00"/>
        <d v="2014-02-07T00:00:00"/>
        <d v="1970-05-15T00:00:00"/>
        <d v="2014-01-22T00:00:00"/>
        <d v="2014-02-14T00:00:00"/>
        <d v="2014-01-14T00:00:00"/>
        <d v="2014-01-28T00:00:00"/>
        <d v="2014-03-17T00:00:00"/>
        <d v="2014-01-17T00:00:00"/>
        <d v="2014-02-06T00:00:00"/>
        <d v="2014-01-30T00:00:00"/>
        <d v="2014-02-04T00:00:00"/>
        <d v="2014-01-20T00:00:00"/>
        <d v="2014-02-27T00:00:00"/>
        <d v="2014-03-06T00:00:00"/>
        <d v="2014-01-07T00:00:00"/>
        <d v="2014-01-31T00:00:00"/>
        <d v="2014-06-16T00:00:00"/>
        <d v="2014-01-21T00:00:00"/>
        <d v="2014-01-09T00:00:00"/>
        <d v="2014-01-23T00:00:00"/>
        <d v="2014-01-16T00:00:00"/>
        <d v="2014-02-12T00:00:00"/>
        <d v="2014-01-29T00:00:00"/>
      </sharedItems>
    </cacheField>
    <cacheField name="ID" numFmtId="0">
      <sharedItems containsSemiMixedTypes="0" containsString="0" containsNumber="1" containsInteger="1" minValue="1" maxValue="6564" count="6564">
        <n v="1"/>
        <n v="2"/>
        <n v="3"/>
        <n v="4"/>
        <n v="5"/>
        <n v="6"/>
        <n v="7"/>
        <n v="8"/>
        <n v="9"/>
        <n v="10"/>
        <n v="11"/>
        <n v="12"/>
        <n v="13"/>
        <n v="14"/>
        <n v="15"/>
        <n v="16"/>
        <n v="17"/>
        <n v="18"/>
        <n v="19"/>
        <n v="20"/>
        <n v="21"/>
        <n v="22"/>
        <n v="23"/>
        <n v="24"/>
        <n v="25"/>
        <n v="26"/>
        <n v="27"/>
        <n v="28"/>
        <n v="29"/>
        <n v="30"/>
        <n v="31"/>
        <n v="32"/>
        <n v="33"/>
        <n v="34"/>
        <n v="35"/>
        <n v="36"/>
        <n v="37"/>
        <n v="38"/>
        <n v="39"/>
        <n v="6345"/>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4413"/>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63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4414"/>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6339"/>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6344"/>
        <n v="1583"/>
        <n v="1584"/>
        <n v="1585"/>
        <n v="4416"/>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6340"/>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4415"/>
        <n v="1805"/>
        <n v="1806"/>
        <n v="1807"/>
        <n v="1808"/>
        <n v="1809"/>
        <n v="1810"/>
        <n v="1811"/>
        <n v="1812"/>
        <n v="1813"/>
        <n v="1814"/>
        <n v="1815"/>
        <n v="1816"/>
        <n v="1817"/>
        <n v="1818"/>
        <n v="1819"/>
        <n v="1820"/>
        <n v="1821"/>
        <n v="6342"/>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6343"/>
        <n v="1960"/>
        <n v="1961"/>
        <n v="1962"/>
        <n v="1963"/>
        <n v="1964"/>
        <n v="1965"/>
        <n v="1966"/>
        <n v="1967"/>
        <n v="1968"/>
        <n v="1969"/>
        <n v="1970"/>
        <n v="1971"/>
        <n v="1972"/>
        <n v="1973"/>
        <n v="650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4417"/>
        <n v="2028"/>
        <n v="2029"/>
        <n v="2030"/>
        <n v="2031"/>
        <n v="2032"/>
        <n v="2033"/>
        <n v="2034"/>
        <n v="2035"/>
        <n v="2036"/>
        <n v="2037"/>
        <n v="2038"/>
        <n v="2039"/>
        <n v="2040"/>
        <n v="6495"/>
        <n v="2041"/>
        <n v="2042"/>
        <n v="2043"/>
        <n v="2044"/>
        <n v="6488"/>
        <n v="2045"/>
        <n v="2046"/>
        <n v="2047"/>
        <n v="2048"/>
        <n v="2049"/>
        <n v="2050"/>
        <n v="2051"/>
        <n v="2052"/>
        <n v="2053"/>
        <n v="2054"/>
        <n v="5616"/>
        <n v="2055"/>
        <n v="2056"/>
        <n v="2057"/>
        <n v="2058"/>
        <n v="2059"/>
        <n v="2060"/>
        <n v="2061"/>
        <n v="2062"/>
        <n v="2063"/>
        <n v="2064"/>
        <n v="2065"/>
        <n v="2066"/>
        <n v="2067"/>
        <n v="2068"/>
        <n v="2069"/>
        <n v="2070"/>
        <n v="2071"/>
        <n v="2072"/>
        <n v="2073"/>
        <n v="2074"/>
        <n v="2075"/>
        <n v="2076"/>
        <n v="2077"/>
        <n v="2078"/>
        <n v="2079"/>
        <n v="2080"/>
        <n v="2081"/>
        <n v="2082"/>
        <n v="2083"/>
        <n v="2084"/>
        <n v="2085"/>
        <n v="2086"/>
        <n v="2087"/>
        <n v="4600"/>
        <n v="2088"/>
        <n v="2089"/>
        <n v="2090"/>
        <n v="2091"/>
        <n v="460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5463"/>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5563"/>
        <n v="2247"/>
        <n v="2248"/>
        <n v="2249"/>
        <n v="2250"/>
        <n v="2251"/>
        <n v="2252"/>
        <n v="2253"/>
        <n v="2254"/>
        <n v="2255"/>
        <n v="2256"/>
        <n v="4532"/>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4497"/>
        <n v="2319"/>
        <n v="2320"/>
        <n v="2321"/>
        <n v="2322"/>
        <n v="2323"/>
        <n v="2324"/>
        <n v="2325"/>
        <n v="2326"/>
        <n v="2327"/>
        <n v="2328"/>
        <n v="2329"/>
        <n v="2330"/>
        <n v="2331"/>
        <n v="2332"/>
        <n v="2333"/>
        <n v="6496"/>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44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4496"/>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6497"/>
        <n v="2499"/>
        <n v="2500"/>
        <n v="2501"/>
        <n v="2502"/>
        <n v="2503"/>
        <n v="2504"/>
        <n v="2505"/>
        <n v="2506"/>
        <n v="2507"/>
        <n v="2508"/>
        <n v="2509"/>
        <n v="2510"/>
        <n v="2511"/>
        <n v="2512"/>
        <n v="2513"/>
        <n v="2514"/>
        <n v="2515"/>
        <n v="2516"/>
        <n v="2517"/>
        <n v="2518"/>
        <n v="2519"/>
        <n v="2520"/>
        <n v="2521"/>
        <n v="2522"/>
        <n v="2523"/>
        <n v="2524"/>
        <n v="2525"/>
        <n v="2526"/>
        <n v="2527"/>
        <n v="2528"/>
        <n v="2529"/>
        <n v="2530"/>
        <n v="2531"/>
        <n v="2532"/>
        <n v="2533"/>
        <n v="2534"/>
        <n v="2535"/>
        <n v="2536"/>
        <n v="2537"/>
        <n v="2538"/>
        <n v="2539"/>
        <n v="2540"/>
        <n v="2541"/>
        <n v="2542"/>
        <n v="2543"/>
        <n v="2544"/>
        <n v="2545"/>
        <n v="2546"/>
        <n v="2547"/>
        <n v="2548"/>
        <n v="2549"/>
        <n v="2550"/>
        <n v="2551"/>
        <n v="2552"/>
        <n v="2553"/>
        <n v="2554"/>
        <n v="2555"/>
        <n v="2556"/>
        <n v="2557"/>
        <n v="2558"/>
        <n v="2559"/>
        <n v="2560"/>
        <n v="2561"/>
        <n v="2562"/>
        <n v="2563"/>
        <n v="2564"/>
        <n v="2565"/>
        <n v="2566"/>
        <n v="2567"/>
        <n v="2568"/>
        <n v="2569"/>
        <n v="2570"/>
        <n v="2571"/>
        <n v="2572"/>
        <n v="2573"/>
        <n v="2574"/>
        <n v="2575"/>
        <n v="2576"/>
        <n v="2577"/>
        <n v="2578"/>
        <n v="2579"/>
        <n v="2580"/>
        <n v="2581"/>
        <n v="2582"/>
        <n v="4610"/>
        <n v="2583"/>
        <n v="2584"/>
        <n v="2585"/>
        <n v="2586"/>
        <n v="2587"/>
        <n v="2588"/>
        <n v="2589"/>
        <n v="2590"/>
        <n v="2591"/>
        <n v="2592"/>
        <n v="2593"/>
        <n v="2594"/>
        <n v="2595"/>
        <n v="2596"/>
        <n v="2597"/>
        <n v="2598"/>
        <n v="2599"/>
        <n v="2600"/>
        <n v="2601"/>
        <n v="2602"/>
        <n v="2603"/>
        <n v="2604"/>
        <n v="2605"/>
        <n v="2606"/>
        <n v="2607"/>
        <n v="2608"/>
        <n v="2609"/>
        <n v="2610"/>
        <n v="2611"/>
        <n v="2612"/>
        <n v="2613"/>
        <n v="2614"/>
        <n v="2615"/>
        <n v="2616"/>
        <n v="2617"/>
        <n v="2618"/>
        <n v="2619"/>
        <n v="2620"/>
        <n v="2621"/>
        <n v="2622"/>
        <n v="2623"/>
        <n v="2624"/>
        <n v="2625"/>
        <n v="2626"/>
        <n v="2627"/>
        <n v="2628"/>
        <n v="2629"/>
        <n v="2630"/>
        <n v="2631"/>
        <n v="2632"/>
        <n v="2633"/>
        <n v="2634"/>
        <n v="2635"/>
        <n v="2636"/>
        <n v="2637"/>
        <n v="2638"/>
        <n v="2639"/>
        <n v="2640"/>
        <n v="2641"/>
        <n v="2642"/>
        <n v="2643"/>
        <n v="2644"/>
        <n v="2645"/>
        <n v="2646"/>
        <n v="2647"/>
        <n v="2648"/>
        <n v="2649"/>
        <n v="6494"/>
        <n v="2650"/>
        <n v="2651"/>
        <n v="2652"/>
        <n v="2653"/>
        <n v="2654"/>
        <n v="2655"/>
        <n v="2656"/>
        <n v="2657"/>
        <n v="2658"/>
        <n v="2659"/>
        <n v="2660"/>
        <n v="2661"/>
        <n v="2662"/>
        <n v="2663"/>
        <n v="2664"/>
        <n v="2665"/>
        <n v="2668"/>
        <n v="2669"/>
        <n v="2670"/>
        <n v="2671"/>
        <n v="2672"/>
        <n v="2673"/>
        <n v="2674"/>
        <n v="2675"/>
        <n v="5260"/>
        <n v="2676"/>
        <n v="2677"/>
        <n v="2678"/>
        <n v="2679"/>
        <n v="2680"/>
        <n v="2681"/>
        <n v="2682"/>
        <n v="2683"/>
        <n v="2684"/>
        <n v="2685"/>
        <n v="2686"/>
        <n v="2687"/>
        <n v="2688"/>
        <n v="2689"/>
        <n v="2690"/>
        <n v="2691"/>
        <n v="2692"/>
        <n v="2693"/>
        <n v="2694"/>
        <n v="2695"/>
        <n v="2696"/>
        <n v="2697"/>
        <n v="2699"/>
        <n v="2700"/>
        <n v="2701"/>
        <n v="2702"/>
        <n v="2703"/>
        <n v="2704"/>
        <n v="2705"/>
        <n v="2706"/>
        <n v="2707"/>
        <n v="2708"/>
        <n v="2709"/>
        <n v="2710"/>
        <n v="2711"/>
        <n v="2712"/>
        <n v="2713"/>
        <n v="2714"/>
        <n v="2715"/>
        <n v="2716"/>
        <n v="2717"/>
        <n v="2718"/>
        <n v="4602"/>
        <n v="2719"/>
        <n v="2720"/>
        <n v="2721"/>
        <n v="2722"/>
        <n v="5263"/>
        <n v="2723"/>
        <n v="2724"/>
        <n v="2725"/>
        <n v="2726"/>
        <n v="2727"/>
        <n v="2728"/>
        <n v="2729"/>
        <n v="2730"/>
        <n v="2731"/>
        <n v="2732"/>
        <n v="2733"/>
        <n v="2734"/>
        <n v="2735"/>
        <n v="2736"/>
        <n v="2737"/>
        <n v="2738"/>
        <n v="2739"/>
        <n v="2740"/>
        <n v="2741"/>
        <n v="2742"/>
        <n v="2743"/>
        <n v="2744"/>
        <n v="2745"/>
        <n v="2746"/>
        <n v="2747"/>
        <n v="2748"/>
        <n v="2749"/>
        <n v="2750"/>
        <n v="2751"/>
        <n v="2752"/>
        <n v="2753"/>
        <n v="2754"/>
        <n v="2755"/>
        <n v="2756"/>
        <n v="2757"/>
        <n v="2758"/>
        <n v="2759"/>
        <n v="2760"/>
        <n v="2761"/>
        <n v="2762"/>
        <n v="2763"/>
        <n v="2764"/>
        <n v="2765"/>
        <n v="2766"/>
        <n v="2767"/>
        <n v="6326"/>
        <n v="2768"/>
        <n v="2769"/>
        <n v="2770"/>
        <n v="2771"/>
        <n v="2772"/>
        <n v="2773"/>
        <n v="2774"/>
        <n v="6492"/>
        <n v="2775"/>
        <n v="2776"/>
        <n v="2777"/>
        <n v="2778"/>
        <n v="2779"/>
        <n v="2780"/>
        <n v="2781"/>
        <n v="2782"/>
        <n v="2783"/>
        <n v="2784"/>
        <n v="2785"/>
        <n v="2786"/>
        <n v="2787"/>
        <n v="2788"/>
        <n v="2789"/>
        <n v="2790"/>
        <n v="2791"/>
        <n v="2792"/>
        <n v="6323"/>
        <n v="5617"/>
        <n v="2793"/>
        <n v="2794"/>
        <n v="2795"/>
        <n v="2796"/>
        <n v="2797"/>
        <n v="2798"/>
        <n v="2799"/>
        <n v="2800"/>
        <n v="2801"/>
        <n v="2802"/>
        <n v="2803"/>
        <n v="2804"/>
        <n v="2805"/>
        <n v="2806"/>
        <n v="2807"/>
        <n v="2808"/>
        <n v="6498"/>
        <n v="2809"/>
        <n v="2810"/>
        <n v="2811"/>
        <n v="2812"/>
        <n v="2813"/>
        <n v="2814"/>
        <n v="2815"/>
        <n v="2816"/>
        <n v="2817"/>
        <n v="2818"/>
        <n v="2819"/>
        <n v="2820"/>
        <n v="2821"/>
        <n v="2822"/>
        <n v="2823"/>
        <n v="2824"/>
        <n v="2825"/>
        <n v="2826"/>
        <n v="2827"/>
        <n v="2828"/>
        <n v="2829"/>
        <n v="2830"/>
        <n v="2831"/>
        <n v="2832"/>
        <n v="2833"/>
        <n v="2834"/>
        <n v="2835"/>
        <n v="2836"/>
        <n v="2837"/>
        <n v="2838"/>
        <n v="2839"/>
        <n v="2840"/>
        <n v="2841"/>
        <n v="5261"/>
        <n v="2842"/>
        <n v="2843"/>
        <n v="2844"/>
        <n v="2845"/>
        <n v="2846"/>
        <n v="2847"/>
        <n v="2848"/>
        <n v="2849"/>
        <n v="2850"/>
        <n v="2851"/>
        <n v="2852"/>
        <n v="6489"/>
        <n v="2853"/>
        <n v="2854"/>
        <n v="2855"/>
        <n v="2856"/>
        <n v="2857"/>
        <n v="2858"/>
        <n v="2859"/>
        <n v="2860"/>
        <n v="2861"/>
        <n v="4420"/>
        <n v="2862"/>
        <n v="2863"/>
        <n v="2864"/>
        <n v="2865"/>
        <n v="2866"/>
        <n v="2867"/>
        <n v="2868"/>
        <n v="2869"/>
        <n v="2870"/>
        <n v="2871"/>
        <n v="2872"/>
        <n v="2873"/>
        <n v="2874"/>
        <n v="2875"/>
        <n v="2876"/>
        <n v="2877"/>
        <n v="2878"/>
        <n v="2879"/>
        <n v="2880"/>
        <n v="4419"/>
        <n v="2881"/>
        <n v="2882"/>
        <n v="2883"/>
        <n v="2884"/>
        <n v="2885"/>
        <n v="2886"/>
        <n v="2887"/>
        <n v="2888"/>
        <n v="2889"/>
        <n v="2890"/>
        <n v="2891"/>
        <n v="2892"/>
        <n v="2893"/>
        <n v="2894"/>
        <n v="2895"/>
        <n v="2896"/>
        <n v="2897"/>
        <n v="2898"/>
        <n v="2899"/>
        <n v="2900"/>
        <n v="2901"/>
        <n v="2902"/>
        <n v="2903"/>
        <n v="2904"/>
        <n v="2905"/>
        <n v="2906"/>
        <n v="2907"/>
        <n v="2908"/>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4603"/>
        <n v="2948"/>
        <n v="2949"/>
        <n v="2950"/>
        <n v="2951"/>
        <n v="2952"/>
        <n v="2953"/>
        <n v="2954"/>
        <n v="2955"/>
        <n v="2956"/>
        <n v="2957"/>
        <n v="2958"/>
        <n v="2959"/>
        <n v="2960"/>
        <n v="2961"/>
        <n v="2962"/>
        <n v="2963"/>
        <n v="2964"/>
        <n v="4422"/>
        <n v="2965"/>
        <n v="2966"/>
        <n v="2967"/>
        <n v="2968"/>
        <n v="2969"/>
        <n v="5561"/>
        <n v="2970"/>
        <n v="2971"/>
        <n v="2972"/>
        <n v="2973"/>
        <n v="2974"/>
        <n v="2975"/>
        <n v="2976"/>
        <n v="2977"/>
        <n v="2978"/>
        <n v="2979"/>
        <n v="2980"/>
        <n v="2981"/>
        <n v="2982"/>
        <n v="2983"/>
        <n v="2984"/>
        <n v="2985"/>
        <n v="2986"/>
        <n v="2987"/>
        <n v="2988"/>
        <n v="2989"/>
        <n v="2990"/>
        <n v="2991"/>
        <n v="2992"/>
        <n v="2993"/>
        <n v="2994"/>
        <n v="2995"/>
        <n v="2996"/>
        <n v="2997"/>
        <n v="2998"/>
        <n v="2999"/>
        <n v="3000"/>
        <n v="3001"/>
        <n v="3002"/>
        <n v="3003"/>
        <n v="3004"/>
        <n v="3005"/>
        <n v="3006"/>
        <n v="3007"/>
        <n v="3008"/>
        <n v="3009"/>
        <n v="3010"/>
        <n v="3011"/>
        <n v="3012"/>
        <n v="3013"/>
        <n v="3014"/>
        <n v="3015"/>
        <n v="3016"/>
        <n v="3017"/>
        <n v="3018"/>
        <n v="3019"/>
        <n v="3020"/>
        <n v="3021"/>
        <n v="3022"/>
        <n v="3023"/>
        <n v="3024"/>
        <n v="3025"/>
        <n v="3026"/>
        <n v="3027"/>
        <n v="3028"/>
        <n v="3029"/>
        <n v="3030"/>
        <n v="3031"/>
        <n v="3032"/>
        <n v="3033"/>
        <n v="3034"/>
        <n v="3035"/>
        <n v="3036"/>
        <n v="3037"/>
        <n v="3038"/>
        <n v="3039"/>
        <n v="3040"/>
        <n v="3041"/>
        <n v="3042"/>
        <n v="3043"/>
        <n v="3044"/>
        <n v="3045"/>
        <n v="3046"/>
        <n v="3047"/>
        <n v="3048"/>
        <n v="6499"/>
        <n v="3049"/>
        <n v="3050"/>
        <n v="3051"/>
        <n v="3052"/>
        <n v="3053"/>
        <n v="3054"/>
        <n v="3055"/>
        <n v="3056"/>
        <n v="3057"/>
        <n v="3058"/>
        <n v="3059"/>
        <n v="3060"/>
        <n v="3061"/>
        <n v="3062"/>
        <n v="3063"/>
        <n v="3064"/>
        <n v="3065"/>
        <n v="3066"/>
        <n v="3067"/>
        <n v="3068"/>
        <n v="3069"/>
        <n v="3070"/>
        <n v="4541"/>
        <n v="3071"/>
        <n v="4540"/>
        <n v="3072"/>
        <n v="3073"/>
        <n v="3074"/>
        <n v="3075"/>
        <n v="3076"/>
        <n v="3077"/>
        <n v="3078"/>
        <n v="3079"/>
        <n v="3080"/>
        <n v="3081"/>
        <n v="3082"/>
        <n v="3083"/>
        <n v="3084"/>
        <n v="3085"/>
        <n v="3086"/>
        <n v="4533"/>
        <n v="3087"/>
        <n v="3088"/>
        <n v="3089"/>
        <n v="3090"/>
        <n v="3091"/>
        <n v="3092"/>
        <n v="3093"/>
        <n v="3094"/>
        <n v="3095"/>
        <n v="3096"/>
        <n v="3097"/>
        <n v="3098"/>
        <n v="3099"/>
        <n v="3100"/>
        <n v="3101"/>
        <n v="3102"/>
        <n v="3103"/>
        <n v="3104"/>
        <n v="6500"/>
        <n v="3105"/>
        <n v="3106"/>
        <n v="3107"/>
        <n v="3108"/>
        <n v="3109"/>
        <n v="3110"/>
        <n v="3111"/>
        <n v="3112"/>
        <n v="3113"/>
        <n v="3114"/>
        <n v="3115"/>
        <n v="3116"/>
        <n v="3117"/>
        <n v="3118"/>
        <n v="3119"/>
        <n v="3120"/>
        <n v="3121"/>
        <n v="3122"/>
        <n v="3123"/>
        <n v="3124"/>
        <n v="3125"/>
        <n v="3126"/>
        <n v="3127"/>
        <n v="3128"/>
        <n v="3129"/>
        <n v="3130"/>
        <n v="3131"/>
        <n v="3132"/>
        <n v="3133"/>
        <n v="3134"/>
        <n v="3135"/>
        <n v="3136"/>
        <n v="3137"/>
        <n v="3138"/>
        <n v="3139"/>
        <n v="3140"/>
        <n v="3141"/>
        <n v="3142"/>
        <n v="3143"/>
        <n v="3144"/>
        <n v="3145"/>
        <n v="3146"/>
        <n v="3147"/>
        <n v="3148"/>
        <n v="3149"/>
        <n v="3150"/>
        <n v="3151"/>
        <n v="3152"/>
        <n v="3153"/>
        <n v="3154"/>
        <n v="3155"/>
        <n v="3156"/>
        <n v="3157"/>
        <n v="3158"/>
        <n v="3159"/>
        <n v="3160"/>
        <n v="3161"/>
        <n v="3162"/>
        <n v="3163"/>
        <n v="3164"/>
        <n v="3165"/>
        <n v="3166"/>
        <n v="3167"/>
        <n v="3168"/>
        <n v="3169"/>
        <n v="3170"/>
        <n v="3171"/>
        <n v="3172"/>
        <n v="3173"/>
        <n v="3174"/>
        <n v="3175"/>
        <n v="3176"/>
        <n v="3177"/>
        <n v="3178"/>
        <n v="3179"/>
        <n v="3180"/>
        <n v="3181"/>
        <n v="3182"/>
        <n v="3183"/>
        <n v="6504"/>
        <n v="3184"/>
        <n v="3185"/>
        <n v="3186"/>
        <n v="3187"/>
        <n v="3188"/>
        <n v="3189"/>
        <n v="3190"/>
        <n v="3191"/>
        <n v="3192"/>
        <n v="3193"/>
        <n v="3194"/>
        <n v="3195"/>
        <n v="3196"/>
        <n v="3197"/>
        <n v="3198"/>
        <n v="3199"/>
        <n v="3200"/>
        <n v="3201"/>
        <n v="3202"/>
        <n v="3203"/>
        <n v="3204"/>
        <n v="3205"/>
        <n v="3206"/>
        <n v="3207"/>
        <n v="3208"/>
        <n v="3209"/>
        <n v="3210"/>
        <n v="3211"/>
        <n v="3212"/>
        <n v="3213"/>
        <n v="3214"/>
        <n v="3215"/>
        <n v="3216"/>
        <n v="3217"/>
        <n v="3218"/>
        <n v="3219"/>
        <n v="3220"/>
        <n v="3221"/>
        <n v="3222"/>
        <n v="3223"/>
        <n v="3224"/>
        <n v="3225"/>
        <n v="3226"/>
        <n v="3227"/>
        <n v="3228"/>
        <n v="3229"/>
        <n v="3230"/>
        <n v="3231"/>
        <n v="3232"/>
        <n v="3233"/>
        <n v="3234"/>
        <n v="3235"/>
        <n v="3236"/>
        <n v="3237"/>
        <n v="3238"/>
        <n v="3239"/>
        <n v="3240"/>
        <n v="3241"/>
        <n v="3242"/>
        <n v="3243"/>
        <n v="3244"/>
        <n v="3245"/>
        <n v="3246"/>
        <n v="3247"/>
        <n v="3248"/>
        <n v="3249"/>
        <n v="3250"/>
        <n v="3251"/>
        <n v="3252"/>
        <n v="3253"/>
        <n v="3254"/>
        <n v="3255"/>
        <n v="3256"/>
        <n v="3257"/>
        <n v="3258"/>
        <n v="3259"/>
        <n v="3260"/>
        <n v="3261"/>
        <n v="3262"/>
        <n v="3263"/>
        <n v="3264"/>
        <n v="3265"/>
        <n v="3266"/>
        <n v="3267"/>
        <n v="3268"/>
        <n v="3269"/>
        <n v="3270"/>
        <n v="3271"/>
        <n v="3272"/>
        <n v="3273"/>
        <n v="3274"/>
        <n v="3275"/>
        <n v="3276"/>
        <n v="3277"/>
        <n v="3278"/>
        <n v="3279"/>
        <n v="6491"/>
        <n v="3283"/>
        <n v="3284"/>
        <n v="3285"/>
        <n v="3286"/>
        <n v="3287"/>
        <n v="3288"/>
        <n v="3289"/>
        <n v="3290"/>
        <n v="3291"/>
        <n v="3292"/>
        <n v="3293"/>
        <n v="3294"/>
        <n v="3295"/>
        <n v="3296"/>
        <n v="3297"/>
        <n v="3298"/>
        <n v="3299"/>
        <n v="3300"/>
        <n v="3301"/>
        <n v="3302"/>
        <n v="3303"/>
        <n v="3304"/>
        <n v="3305"/>
        <n v="3306"/>
        <n v="3307"/>
        <n v="3308"/>
        <n v="3309"/>
        <n v="3310"/>
        <n v="3311"/>
        <n v="3312"/>
        <n v="3313"/>
        <n v="3314"/>
        <n v="3315"/>
        <n v="3316"/>
        <n v="3317"/>
        <n v="3318"/>
        <n v="3319"/>
        <n v="3320"/>
        <n v="3321"/>
        <n v="3322"/>
        <n v="3323"/>
        <n v="3324"/>
        <n v="3325"/>
        <n v="3326"/>
        <n v="3327"/>
        <n v="3328"/>
        <n v="3329"/>
        <n v="3330"/>
        <n v="3331"/>
        <n v="3332"/>
        <n v="3333"/>
        <n v="3334"/>
        <n v="3335"/>
        <n v="3336"/>
        <n v="3337"/>
        <n v="3338"/>
        <n v="3339"/>
        <n v="3340"/>
        <n v="3341"/>
        <n v="3342"/>
        <n v="3343"/>
        <n v="3344"/>
        <n v="3345"/>
        <n v="3346"/>
        <n v="3347"/>
        <n v="3348"/>
        <n v="3349"/>
        <n v="3350"/>
        <n v="3351"/>
        <n v="3352"/>
        <n v="3353"/>
        <n v="3354"/>
        <n v="3355"/>
        <n v="3356"/>
        <n v="3357"/>
        <n v="3358"/>
        <n v="3359"/>
        <n v="5643"/>
        <n v="3360"/>
        <n v="3361"/>
        <n v="3362"/>
        <n v="3363"/>
        <n v="3364"/>
        <n v="3365"/>
        <n v="3366"/>
        <n v="3367"/>
        <n v="3368"/>
        <n v="3369"/>
        <n v="3370"/>
        <n v="3371"/>
        <n v="3372"/>
        <n v="3373"/>
        <n v="3374"/>
        <n v="3375"/>
        <n v="3376"/>
        <n v="3377"/>
        <n v="3378"/>
        <n v="3379"/>
        <n v="3380"/>
        <n v="3381"/>
        <n v="3382"/>
        <n v="3383"/>
        <n v="3384"/>
        <n v="3385"/>
        <n v="3386"/>
        <n v="3387"/>
        <n v="3388"/>
        <n v="3389"/>
        <n v="3390"/>
        <n v="3391"/>
        <n v="3392"/>
        <n v="3393"/>
        <n v="2698"/>
        <n v="3394"/>
        <n v="3395"/>
        <n v="3396"/>
        <n v="3397"/>
        <n v="3398"/>
        <n v="3399"/>
        <n v="3400"/>
        <n v="3401"/>
        <n v="3402"/>
        <n v="3403"/>
        <n v="3404"/>
        <n v="3405"/>
        <n v="3406"/>
        <n v="3407"/>
        <n v="3408"/>
        <n v="3409"/>
        <n v="3410"/>
        <n v="3411"/>
        <n v="3412"/>
        <n v="3413"/>
        <n v="3414"/>
        <n v="3415"/>
        <n v="3416"/>
        <n v="3417"/>
        <n v="3418"/>
        <n v="3419"/>
        <n v="3420"/>
        <n v="3421"/>
        <n v="3422"/>
        <n v="3423"/>
        <n v="3424"/>
        <n v="3425"/>
        <n v="3426"/>
        <n v="3427"/>
        <n v="3428"/>
        <n v="3429"/>
        <n v="3430"/>
        <n v="3431"/>
        <n v="3432"/>
        <n v="3433"/>
        <n v="3434"/>
        <n v="3435"/>
        <n v="3436"/>
        <n v="3437"/>
        <n v="3438"/>
        <n v="3439"/>
        <n v="3440"/>
        <n v="3441"/>
        <n v="3442"/>
        <n v="3443"/>
        <n v="3444"/>
        <n v="3445"/>
        <n v="3446"/>
        <n v="3447"/>
        <n v="3448"/>
        <n v="3449"/>
        <n v="3450"/>
        <n v="3451"/>
        <n v="3452"/>
        <n v="3453"/>
        <n v="3454"/>
        <n v="3455"/>
        <n v="3456"/>
        <n v="3457"/>
        <n v="3458"/>
        <n v="3459"/>
        <n v="3460"/>
        <n v="3461"/>
        <n v="3462"/>
        <n v="3463"/>
        <n v="3464"/>
        <n v="3465"/>
        <n v="3466"/>
        <n v="3467"/>
        <n v="3468"/>
        <n v="3469"/>
        <n v="3470"/>
        <n v="3471"/>
        <n v="3472"/>
        <n v="3473"/>
        <n v="3474"/>
        <n v="3475"/>
        <n v="3476"/>
        <n v="3477"/>
        <n v="3478"/>
        <n v="3479"/>
        <n v="3480"/>
        <n v="3481"/>
        <n v="3482"/>
        <n v="3483"/>
        <n v="3484"/>
        <n v="3485"/>
        <n v="3486"/>
        <n v="3487"/>
        <n v="3488"/>
        <n v="3489"/>
        <n v="3490"/>
        <n v="3491"/>
        <n v="3492"/>
        <n v="3493"/>
        <n v="3494"/>
        <n v="3495"/>
        <n v="3496"/>
        <n v="3497"/>
        <n v="3498"/>
        <n v="3499"/>
        <n v="3500"/>
        <n v="3501"/>
        <n v="3502"/>
        <n v="3503"/>
        <n v="3504"/>
        <n v="3505"/>
        <n v="3506"/>
        <n v="3507"/>
        <n v="4421"/>
        <n v="3508"/>
        <n v="3509"/>
        <n v="3510"/>
        <n v="3511"/>
        <n v="2666"/>
        <n v="2667"/>
        <n v="3512"/>
        <n v="3513"/>
        <n v="3514"/>
        <n v="3515"/>
        <n v="3516"/>
        <n v="3517"/>
        <n v="3518"/>
        <n v="6490"/>
        <n v="3519"/>
        <n v="3520"/>
        <n v="3521"/>
        <n v="3522"/>
        <n v="3523"/>
        <n v="3524"/>
        <n v="3525"/>
        <n v="3526"/>
        <n v="6493"/>
        <n v="3527"/>
        <n v="3528"/>
        <n v="3529"/>
        <n v="3530"/>
        <n v="3531"/>
        <n v="3532"/>
        <n v="3533"/>
        <n v="3534"/>
        <n v="3535"/>
        <n v="3536"/>
        <n v="3537"/>
        <n v="3538"/>
        <n v="3539"/>
        <n v="3540"/>
        <n v="3541"/>
        <n v="3542"/>
        <n v="3543"/>
        <n v="3544"/>
        <n v="3545"/>
        <n v="3546"/>
        <n v="3547"/>
        <n v="3548"/>
        <n v="3549"/>
        <n v="3550"/>
        <n v="3551"/>
        <n v="3552"/>
        <n v="3553"/>
        <n v="3554"/>
        <n v="3555"/>
        <n v="3556"/>
        <n v="3557"/>
        <n v="3558"/>
        <n v="3559"/>
        <n v="3560"/>
        <n v="3561"/>
        <n v="3562"/>
        <n v="3563"/>
        <n v="3564"/>
        <n v="3565"/>
        <n v="3566"/>
        <n v="3567"/>
        <n v="3568"/>
        <n v="3569"/>
        <n v="3570"/>
        <n v="3571"/>
        <n v="6505"/>
        <n v="3572"/>
        <n v="3573"/>
        <n v="3574"/>
        <n v="3575"/>
        <n v="3576"/>
        <n v="3577"/>
        <n v="3578"/>
        <n v="3579"/>
        <n v="3580"/>
        <n v="3280"/>
        <n v="3281"/>
        <n v="3581"/>
        <n v="3282"/>
        <n v="3582"/>
        <n v="3583"/>
        <n v="3584"/>
        <n v="6506"/>
        <n v="3585"/>
        <n v="3586"/>
        <n v="3587"/>
        <n v="3588"/>
        <n v="3589"/>
        <n v="3590"/>
        <n v="3591"/>
        <n v="3592"/>
        <n v="3593"/>
        <n v="3594"/>
        <n v="3595"/>
        <n v="3596"/>
        <n v="3597"/>
        <n v="3598"/>
        <n v="3599"/>
        <n v="3600"/>
        <n v="3601"/>
        <n v="3602"/>
        <n v="3603"/>
        <n v="3604"/>
        <n v="3605"/>
        <n v="3606"/>
        <n v="3607"/>
        <n v="3608"/>
        <n v="3609"/>
        <n v="3610"/>
        <n v="3611"/>
        <n v="3612"/>
        <n v="3613"/>
        <n v="3614"/>
        <n v="3615"/>
        <n v="5562"/>
        <n v="3616"/>
        <n v="6530"/>
        <n v="3617"/>
        <n v="3618"/>
        <n v="3619"/>
        <n v="3620"/>
        <n v="3621"/>
        <n v="3622"/>
        <n v="3623"/>
        <n v="3624"/>
        <n v="3625"/>
        <n v="3626"/>
        <n v="3627"/>
        <n v="3628"/>
        <n v="3629"/>
        <n v="3630"/>
        <n v="3631"/>
        <n v="3632"/>
        <n v="3633"/>
        <n v="3634"/>
        <n v="3635"/>
        <n v="3636"/>
        <n v="3637"/>
        <n v="3638"/>
        <n v="3639"/>
        <n v="3640"/>
        <n v="3641"/>
        <n v="3642"/>
        <n v="3643"/>
        <n v="3644"/>
        <n v="3645"/>
        <n v="3646"/>
        <n v="3647"/>
        <n v="3648"/>
        <n v="3649"/>
        <n v="3650"/>
        <n v="3651"/>
        <n v="3652"/>
        <n v="3653"/>
        <n v="3654"/>
        <n v="3655"/>
        <n v="3656"/>
        <n v="3657"/>
        <n v="3658"/>
        <n v="3659"/>
        <n v="3660"/>
        <n v="3661"/>
        <n v="3662"/>
        <n v="3663"/>
        <n v="3664"/>
        <n v="3665"/>
        <n v="3666"/>
        <n v="3667"/>
        <n v="3668"/>
        <n v="3669"/>
        <n v="3670"/>
        <n v="3671"/>
        <n v="3672"/>
        <n v="3673"/>
        <n v="3674"/>
        <n v="3675"/>
        <n v="3676"/>
        <n v="3677"/>
        <n v="3678"/>
        <n v="3679"/>
        <n v="3680"/>
        <n v="3681"/>
        <n v="3682"/>
        <n v="3683"/>
        <n v="3684"/>
        <n v="3685"/>
        <n v="3686"/>
        <n v="3687"/>
        <n v="3688"/>
        <n v="3689"/>
        <n v="3690"/>
        <n v="3691"/>
        <n v="3692"/>
        <n v="3693"/>
        <n v="3694"/>
        <n v="3695"/>
        <n v="3696"/>
        <n v="3697"/>
        <n v="3698"/>
        <n v="3699"/>
        <n v="3700"/>
        <n v="3701"/>
        <n v="3702"/>
        <n v="3703"/>
        <n v="3704"/>
        <n v="3705"/>
        <n v="3706"/>
        <n v="3707"/>
        <n v="3708"/>
        <n v="3709"/>
        <n v="3710"/>
        <n v="3711"/>
        <n v="3712"/>
        <n v="3713"/>
        <n v="3714"/>
        <n v="3715"/>
        <n v="3716"/>
        <n v="3717"/>
        <n v="3718"/>
        <n v="3719"/>
        <n v="3720"/>
        <n v="3721"/>
        <n v="3722"/>
        <n v="3723"/>
        <n v="3724"/>
        <n v="3725"/>
        <n v="3726"/>
        <n v="3727"/>
        <n v="3728"/>
        <n v="3729"/>
        <n v="3730"/>
        <n v="3731"/>
        <n v="3732"/>
        <n v="3733"/>
        <n v="3734"/>
        <n v="3735"/>
        <n v="3736"/>
        <n v="3737"/>
        <n v="3738"/>
        <n v="3739"/>
        <n v="3740"/>
        <n v="3741"/>
        <n v="3742"/>
        <n v="4470"/>
        <n v="3743"/>
        <n v="3744"/>
        <n v="3745"/>
        <n v="3746"/>
        <n v="3747"/>
        <n v="3748"/>
        <n v="3749"/>
        <n v="3750"/>
        <n v="3751"/>
        <n v="3752"/>
        <n v="3753"/>
        <n v="3754"/>
        <n v="3755"/>
        <n v="3756"/>
        <n v="3757"/>
        <n v="3758"/>
        <n v="3759"/>
        <n v="3760"/>
        <n v="3761"/>
        <n v="3762"/>
        <n v="3763"/>
        <n v="3764"/>
        <n v="3765"/>
        <n v="3766"/>
        <n v="3767"/>
        <n v="3768"/>
        <n v="3769"/>
        <n v="3770"/>
        <n v="3771"/>
        <n v="3772"/>
        <n v="3773"/>
        <n v="3774"/>
        <n v="3775"/>
        <n v="3776"/>
        <n v="3777"/>
        <n v="3778"/>
        <n v="3779"/>
        <n v="3780"/>
        <n v="5618"/>
        <n v="3781"/>
        <n v="3782"/>
        <n v="3783"/>
        <n v="3784"/>
        <n v="3785"/>
        <n v="3786"/>
        <n v="3787"/>
        <n v="3788"/>
        <n v="3789"/>
        <n v="3790"/>
        <n v="3791"/>
        <n v="3792"/>
        <n v="3793"/>
        <n v="3794"/>
        <n v="3795"/>
        <n v="3796"/>
        <n v="3797"/>
        <n v="3798"/>
        <n v="3799"/>
        <n v="3800"/>
        <n v="3801"/>
        <n v="3802"/>
        <n v="3803"/>
        <n v="4604"/>
        <n v="3804"/>
        <n v="3805"/>
        <n v="3806"/>
        <n v="3807"/>
        <n v="3808"/>
        <n v="3809"/>
        <n v="3810"/>
        <n v="3811"/>
        <n v="3812"/>
        <n v="3813"/>
        <n v="3814"/>
        <n v="3815"/>
        <n v="3816"/>
        <n v="3817"/>
        <n v="3818"/>
        <n v="3819"/>
        <n v="3820"/>
        <n v="3821"/>
        <n v="3822"/>
        <n v="3823"/>
        <n v="3824"/>
        <n v="3825"/>
        <n v="3826"/>
        <n v="3827"/>
        <n v="3828"/>
        <n v="3829"/>
        <n v="3830"/>
        <n v="3831"/>
        <n v="5264"/>
        <n v="3832"/>
        <n v="3833"/>
        <n v="6501"/>
        <n v="3834"/>
        <n v="3835"/>
        <n v="3836"/>
        <n v="3837"/>
        <n v="3838"/>
        <n v="3839"/>
        <n v="3840"/>
        <n v="3841"/>
        <n v="3842"/>
        <n v="3843"/>
        <n v="3844"/>
        <n v="3845"/>
        <n v="3846"/>
        <n v="3847"/>
        <n v="3848"/>
        <n v="3849"/>
        <n v="3850"/>
        <n v="3851"/>
        <n v="3852"/>
        <n v="3853"/>
        <n v="3854"/>
        <n v="3855"/>
        <n v="3856"/>
        <n v="3857"/>
        <n v="3858"/>
        <n v="3859"/>
        <n v="3860"/>
        <n v="3861"/>
        <n v="3862"/>
        <n v="4605"/>
        <n v="3863"/>
        <n v="3864"/>
        <n v="3865"/>
        <n v="3866"/>
        <n v="3867"/>
        <n v="3868"/>
        <n v="3869"/>
        <n v="3870"/>
        <n v="3871"/>
        <n v="3872"/>
        <n v="3873"/>
        <n v="3874"/>
        <n v="3875"/>
        <n v="3876"/>
        <n v="3877"/>
        <n v="3878"/>
        <n v="3879"/>
        <n v="3880"/>
        <n v="3881"/>
        <n v="3882"/>
        <n v="3883"/>
        <n v="3884"/>
        <n v="3885"/>
        <n v="3886"/>
        <n v="3887"/>
        <n v="3888"/>
        <n v="3889"/>
        <n v="3890"/>
        <n v="3891"/>
        <n v="3892"/>
        <n v="3893"/>
        <n v="3894"/>
        <n v="3895"/>
        <n v="3896"/>
        <n v="3897"/>
        <n v="3898"/>
        <n v="3899"/>
        <n v="3900"/>
        <n v="3901"/>
        <n v="3902"/>
        <n v="3903"/>
        <n v="3904"/>
        <n v="3905"/>
        <n v="3906"/>
        <n v="3907"/>
        <n v="3908"/>
        <n v="3909"/>
        <n v="3910"/>
        <n v="3911"/>
        <n v="3912"/>
        <n v="3913"/>
        <n v="3914"/>
        <n v="3915"/>
        <n v="3916"/>
        <n v="3917"/>
        <n v="3918"/>
        <n v="3919"/>
        <n v="3920"/>
        <n v="3921"/>
        <n v="3922"/>
        <n v="3923"/>
        <n v="3924"/>
        <n v="3925"/>
        <n v="3926"/>
        <n v="3927"/>
        <n v="3928"/>
        <n v="3929"/>
        <n v="3930"/>
        <n v="3931"/>
        <n v="3932"/>
        <n v="3933"/>
        <n v="3934"/>
        <n v="3935"/>
        <n v="3936"/>
        <n v="3937"/>
        <n v="3938"/>
        <n v="3939"/>
        <n v="3940"/>
        <n v="3941"/>
        <n v="3942"/>
        <n v="3943"/>
        <n v="3944"/>
        <n v="6327"/>
        <n v="3945"/>
        <n v="3946"/>
        <n v="3947"/>
        <n v="3948"/>
        <n v="3949"/>
        <n v="3950"/>
        <n v="3951"/>
        <n v="3952"/>
        <n v="3953"/>
        <n v="3954"/>
        <n v="3955"/>
        <n v="3956"/>
        <n v="3957"/>
        <n v="3958"/>
        <n v="3959"/>
        <n v="3960"/>
        <n v="3961"/>
        <n v="3962"/>
        <n v="3963"/>
        <n v="3964"/>
        <n v="3965"/>
        <n v="3966"/>
        <n v="3967"/>
        <n v="3968"/>
        <n v="3969"/>
        <n v="3970"/>
        <n v="3971"/>
        <n v="3972"/>
        <n v="3973"/>
        <n v="3974"/>
        <n v="3975"/>
        <n v="3976"/>
        <n v="3977"/>
        <n v="3978"/>
        <n v="3979"/>
        <n v="3980"/>
        <n v="3981"/>
        <n v="3982"/>
        <n v="3983"/>
        <n v="3984"/>
        <n v="3985"/>
        <n v="3986"/>
        <n v="3987"/>
        <n v="3988"/>
        <n v="3989"/>
        <n v="3990"/>
        <n v="3991"/>
        <n v="3992"/>
        <n v="3993"/>
        <n v="5565"/>
        <n v="3994"/>
        <n v="3995"/>
        <n v="3996"/>
        <n v="3997"/>
        <n v="3998"/>
        <n v="3999"/>
        <n v="4000"/>
        <n v="4001"/>
        <n v="4002"/>
        <n v="4003"/>
        <n v="4004"/>
        <n v="4005"/>
        <n v="4006"/>
        <n v="4007"/>
        <n v="4008"/>
        <n v="4009"/>
        <n v="4010"/>
        <n v="4011"/>
        <n v="4012"/>
        <n v="4013"/>
        <n v="4014"/>
        <n v="4015"/>
        <n v="4016"/>
        <n v="4017"/>
        <n v="4018"/>
        <n v="4019"/>
        <n v="4020"/>
        <n v="4021"/>
        <n v="4022"/>
        <n v="4023"/>
        <n v="4024"/>
        <n v="4025"/>
        <n v="4026"/>
        <n v="4027"/>
        <n v="4028"/>
        <n v="4029"/>
        <n v="4030"/>
        <n v="4031"/>
        <n v="4032"/>
        <n v="4033"/>
        <n v="4034"/>
        <n v="4035"/>
        <n v="4036"/>
        <n v="4037"/>
        <n v="4038"/>
        <n v="4039"/>
        <n v="4040"/>
        <n v="4041"/>
        <n v="6325"/>
        <n v="4042"/>
        <n v="4043"/>
        <n v="4044"/>
        <n v="4045"/>
        <n v="4046"/>
        <n v="4047"/>
        <n v="4048"/>
        <n v="4049"/>
        <n v="4050"/>
        <n v="4051"/>
        <n v="4052"/>
        <n v="4053"/>
        <n v="4054"/>
        <n v="4055"/>
        <n v="4056"/>
        <n v="4057"/>
        <n v="4058"/>
        <n v="4059"/>
        <n v="4060"/>
        <n v="4061"/>
        <n v="4062"/>
        <n v="4063"/>
        <n v="4064"/>
        <n v="4065"/>
        <n v="4066"/>
        <n v="4067"/>
        <n v="4068"/>
        <n v="4069"/>
        <n v="4070"/>
        <n v="4071"/>
        <n v="4072"/>
        <n v="4073"/>
        <n v="4074"/>
        <n v="4075"/>
        <n v="4076"/>
        <n v="4077"/>
        <n v="4078"/>
        <n v="4079"/>
        <n v="4080"/>
        <n v="4081"/>
        <n v="4082"/>
        <n v="4083"/>
        <n v="4084"/>
        <n v="4085"/>
        <n v="4086"/>
        <n v="4087"/>
        <n v="4088"/>
        <n v="4089"/>
        <n v="4090"/>
        <n v="4091"/>
        <n v="4092"/>
        <n v="4093"/>
        <n v="4094"/>
        <n v="4095"/>
        <n v="4096"/>
        <n v="4097"/>
        <n v="4098"/>
        <n v="4099"/>
        <n v="4100"/>
        <n v="4101"/>
        <n v="4102"/>
        <n v="4103"/>
        <n v="4104"/>
        <n v="4105"/>
        <n v="6502"/>
        <n v="4106"/>
        <n v="4107"/>
        <n v="4108"/>
        <n v="4109"/>
        <n v="4110"/>
        <n v="4111"/>
        <n v="4112"/>
        <n v="4113"/>
        <n v="4114"/>
        <n v="4115"/>
        <n v="4116"/>
        <n v="4117"/>
        <n v="4118"/>
        <n v="4119"/>
        <n v="4120"/>
        <n v="4121"/>
        <n v="4122"/>
        <n v="4123"/>
        <n v="4124"/>
        <n v="4125"/>
        <n v="4126"/>
        <n v="4127"/>
        <n v="4128"/>
        <n v="4129"/>
        <n v="4130"/>
        <n v="4131"/>
        <n v="4132"/>
        <n v="4133"/>
        <n v="4134"/>
        <n v="4135"/>
        <n v="4136"/>
        <n v="4137"/>
        <n v="4138"/>
        <n v="4139"/>
        <n v="4140"/>
        <n v="4141"/>
        <n v="4142"/>
        <n v="4143"/>
        <n v="4144"/>
        <n v="4145"/>
        <n v="4146"/>
        <n v="4147"/>
        <n v="4148"/>
        <n v="4149"/>
        <n v="4150"/>
        <n v="4151"/>
        <n v="4152"/>
        <n v="4153"/>
        <n v="4154"/>
        <n v="4155"/>
        <n v="4156"/>
        <n v="4157"/>
        <n v="4158"/>
        <n v="4159"/>
        <n v="4160"/>
        <n v="4161"/>
        <n v="4162"/>
        <n v="4163"/>
        <n v="4164"/>
        <n v="4165"/>
        <n v="4166"/>
        <n v="4167"/>
        <n v="4168"/>
        <n v="4169"/>
        <n v="4170"/>
        <n v="4171"/>
        <n v="4172"/>
        <n v="4173"/>
        <n v="4174"/>
        <n v="4175"/>
        <n v="4176"/>
        <n v="4177"/>
        <n v="4178"/>
        <n v="4179"/>
        <n v="4180"/>
        <n v="4181"/>
        <n v="4606"/>
        <n v="4182"/>
        <n v="4183"/>
        <n v="4184"/>
        <n v="4185"/>
        <n v="4186"/>
        <n v="4187"/>
        <n v="4188"/>
        <n v="4189"/>
        <n v="4190"/>
        <n v="4191"/>
        <n v="4192"/>
        <n v="4193"/>
        <n v="4194"/>
        <n v="4195"/>
        <n v="4196"/>
        <n v="4197"/>
        <n v="4198"/>
        <n v="4199"/>
        <n v="4200"/>
        <n v="4201"/>
        <n v="4202"/>
        <n v="4203"/>
        <n v="4204"/>
        <n v="4205"/>
        <n v="4206"/>
        <n v="4207"/>
        <n v="4208"/>
        <n v="4209"/>
        <n v="4210"/>
        <n v="4211"/>
        <n v="4212"/>
        <n v="4213"/>
        <n v="4214"/>
        <n v="4215"/>
        <n v="4216"/>
        <n v="4217"/>
        <n v="4218"/>
        <n v="4219"/>
        <n v="4220"/>
        <n v="4607"/>
        <n v="4221"/>
        <n v="4222"/>
        <n v="4223"/>
        <n v="4224"/>
        <n v="4225"/>
        <n v="4226"/>
        <n v="4227"/>
        <n v="4228"/>
        <n v="4229"/>
        <n v="4230"/>
        <n v="4231"/>
        <n v="4232"/>
        <n v="4233"/>
        <n v="4234"/>
        <n v="4235"/>
        <n v="6324"/>
        <n v="4236"/>
        <n v="4237"/>
        <n v="4238"/>
        <n v="4239"/>
        <n v="4240"/>
        <n v="4241"/>
        <n v="4242"/>
        <n v="4243"/>
        <n v="4244"/>
        <n v="4245"/>
        <n v="4246"/>
        <n v="4247"/>
        <n v="4248"/>
        <n v="4249"/>
        <n v="4250"/>
        <n v="4251"/>
        <n v="4252"/>
        <n v="4253"/>
        <n v="4254"/>
        <n v="4255"/>
        <n v="4256"/>
        <n v="4257"/>
        <n v="4258"/>
        <n v="4259"/>
        <n v="4260"/>
        <n v="4261"/>
        <n v="4262"/>
        <n v="4263"/>
        <n v="4264"/>
        <n v="4467"/>
        <n v="4265"/>
        <n v="4266"/>
        <n v="4267"/>
        <n v="4268"/>
        <n v="4269"/>
        <n v="4270"/>
        <n v="4271"/>
        <n v="4272"/>
        <n v="4273"/>
        <n v="4274"/>
        <n v="4275"/>
        <n v="4276"/>
        <n v="4277"/>
        <n v="4278"/>
        <n v="4279"/>
        <n v="4280"/>
        <n v="4281"/>
        <n v="4282"/>
        <n v="4283"/>
        <n v="4468"/>
        <n v="4284"/>
        <n v="4285"/>
        <n v="4286"/>
        <n v="4287"/>
        <n v="4288"/>
        <n v="4289"/>
        <n v="4290"/>
        <n v="4291"/>
        <n v="4292"/>
        <n v="4293"/>
        <n v="4294"/>
        <n v="4608"/>
        <n v="4295"/>
        <n v="4296"/>
        <n v="4297"/>
        <n v="4298"/>
        <n v="4299"/>
        <n v="4300"/>
        <n v="4301"/>
        <n v="4302"/>
        <n v="4303"/>
        <n v="4304"/>
        <n v="4305"/>
        <n v="4306"/>
        <n v="4307"/>
        <n v="4308"/>
        <n v="4309"/>
        <n v="4310"/>
        <n v="4311"/>
        <n v="4312"/>
        <n v="4313"/>
        <n v="4314"/>
        <n v="4315"/>
        <n v="4316"/>
        <n v="4317"/>
        <n v="4318"/>
        <n v="4319"/>
        <n v="4320"/>
        <n v="4321"/>
        <n v="4322"/>
        <n v="4323"/>
        <n v="4324"/>
        <n v="4325"/>
        <n v="4326"/>
        <n v="4327"/>
        <n v="4482"/>
        <n v="4804"/>
        <n v="6069"/>
        <n v="4937"/>
        <n v="5508"/>
        <n v="6507"/>
        <n v="6224"/>
        <n v="4634"/>
        <n v="5289"/>
        <n v="5760"/>
        <n v="5079"/>
        <n v="6255"/>
        <n v="5460"/>
        <n v="4502"/>
        <n v="4678"/>
        <n v="5038"/>
        <n v="6269"/>
        <n v="6425"/>
        <n v="6071"/>
        <n v="4727"/>
        <n v="5316"/>
        <n v="5817"/>
        <n v="4889"/>
        <n v="5451"/>
        <n v="4391"/>
        <n v="5914"/>
        <n v="6118"/>
        <n v="5117"/>
        <n v="5118"/>
        <n v="5649"/>
        <n v="6020"/>
        <n v="5778"/>
        <n v="5858"/>
        <n v="5934"/>
        <n v="5979"/>
        <n v="6266"/>
        <n v="5427"/>
        <n v="4435"/>
        <n v="4493"/>
        <n v="4492"/>
        <n v="4677"/>
        <n v="4855"/>
        <n v="4911"/>
        <n v="5037"/>
        <n v="5120"/>
        <n v="6422"/>
        <n v="5745"/>
        <n v="5936"/>
        <n v="5938"/>
        <n v="4328"/>
        <n v="4725"/>
        <n v="4735"/>
        <n v="4991"/>
        <n v="5008"/>
        <n v="5523"/>
        <n v="5398"/>
        <n v="4943"/>
        <n v="4388"/>
        <n v="5149"/>
        <n v="4956"/>
        <n v="5277"/>
        <n v="5168"/>
        <n v="5554"/>
        <n v="5619"/>
        <n v="5604"/>
        <n v="5686"/>
        <n v="5748"/>
        <n v="5971"/>
        <n v="5972"/>
        <n v="6057"/>
        <n v="6275"/>
        <n v="6204"/>
        <n v="6265"/>
        <n v="6262"/>
        <n v="6193"/>
        <n v="6260"/>
        <n v="5193"/>
        <n v="6176"/>
        <n v="4559"/>
        <n v="6012"/>
        <n v="6416"/>
        <n v="5657"/>
        <n v="4973"/>
        <n v="5003"/>
        <n v="5761"/>
        <n v="5574"/>
        <n v="4635"/>
        <n v="5212"/>
        <n v="4775"/>
        <n v="5445"/>
        <n v="5509"/>
        <n v="5620"/>
        <n v="5897"/>
        <n v="4539"/>
        <n v="5185"/>
        <n v="5061"/>
        <n v="5714"/>
        <n v="5849"/>
        <n v="6154"/>
        <n v="5842"/>
        <n v="5107"/>
        <n v="4643"/>
        <n v="5071"/>
        <n v="4902"/>
        <n v="5047"/>
        <n v="4329"/>
        <n v="4663"/>
        <n v="4647"/>
        <n v="5109"/>
        <n v="5110"/>
        <n v="4577"/>
        <n v="5420"/>
        <n v="5151"/>
        <n v="5818"/>
        <n v="6311"/>
        <n v="4965"/>
        <n v="4672"/>
        <n v="5980"/>
        <n v="5575"/>
        <n v="5524"/>
        <n v="5878"/>
        <n v="4330"/>
        <n v="4921"/>
        <n v="4437"/>
        <n v="5152"/>
        <n v="5681"/>
        <n v="5803"/>
        <n v="5843"/>
        <n v="5209"/>
        <n v="5880"/>
        <n v="4331"/>
        <n v="6010"/>
        <n v="6251"/>
        <n v="5810"/>
        <n v="4776"/>
        <n v="5091"/>
        <n v="5622"/>
        <n v="4716"/>
        <n v="4679"/>
        <n v="5290"/>
        <n v="5033"/>
        <n v="5119"/>
        <n v="5923"/>
        <n v="6162"/>
        <n v="4369"/>
        <n v="5146"/>
        <n v="5627"/>
        <n v="6421"/>
        <n v="5824"/>
        <n v="5764"/>
        <n v="6011"/>
        <n v="5974"/>
        <n v="5840"/>
        <n v="6014"/>
        <n v="6039"/>
        <n v="6455"/>
        <n v="5286"/>
        <n v="5379"/>
        <n v="6477"/>
        <n v="6480"/>
        <n v="6511"/>
        <n v="5108"/>
        <n v="5019"/>
        <n v="4551"/>
        <n v="4580"/>
        <n v="4701"/>
        <n v="5032"/>
        <n v="5458"/>
        <n v="6419"/>
        <n v="5736"/>
        <n v="6406"/>
        <n v="5924"/>
        <n v="6171"/>
        <n v="4526"/>
        <n v="6297"/>
        <n v="6310"/>
        <n v="6122"/>
        <n v="4530"/>
        <n v="4747"/>
        <n v="5780"/>
        <n v="5178"/>
        <n v="4989"/>
        <n v="5012"/>
        <n v="5017"/>
        <n v="5751"/>
        <n v="5774"/>
        <n v="5798"/>
        <n v="6066"/>
        <n v="4931"/>
        <n v="5488"/>
        <n v="6271"/>
        <n v="4990"/>
        <n v="5009"/>
        <n v="4505"/>
        <n v="4673"/>
        <n v="6059"/>
        <n v="5496"/>
        <n v="6177"/>
        <n v="6186"/>
        <n v="5291"/>
        <n v="5378"/>
        <n v="5944"/>
        <n v="5393"/>
        <n v="4939"/>
        <n v="5501"/>
        <n v="4403"/>
        <n v="4823"/>
        <n v="5608"/>
        <n v="6423"/>
        <n v="6027"/>
        <n v="5539"/>
        <n v="5540"/>
        <n v="4626"/>
        <n v="5337"/>
        <n v="4332"/>
        <n v="4443"/>
        <n v="4448"/>
        <n v="6538"/>
        <n v="5467"/>
        <n v="5177"/>
        <n v="4809"/>
        <n v="4819"/>
        <n v="4748"/>
        <n v="4878"/>
        <n v="5113"/>
        <n v="5201"/>
        <n v="6006"/>
        <n v="6073"/>
        <n v="6099"/>
        <n v="6274"/>
        <n v="6202"/>
        <n v="4543"/>
        <n v="6474"/>
        <n v="5839"/>
        <n v="4569"/>
        <n v="6336"/>
        <n v="4975"/>
        <n v="5011"/>
        <n v="5691"/>
        <n v="5981"/>
        <n v="6094"/>
        <n v="5591"/>
        <n v="5816"/>
        <n v="5583"/>
        <n v="5982"/>
        <n v="6089"/>
        <n v="4680"/>
        <n v="5034"/>
        <n v="4648"/>
        <n v="5652"/>
        <n v="5503"/>
        <n v="5305"/>
        <n v="5167"/>
        <n v="5411"/>
        <n v="5339"/>
        <n v="5338"/>
        <n v="4364"/>
        <n v="4519"/>
        <n v="5340"/>
        <n v="5900"/>
        <n v="5615"/>
        <n v="6222"/>
        <n v="4445"/>
        <n v="4749"/>
        <n v="4847"/>
        <n v="5598"/>
        <n v="5613"/>
        <n v="5883"/>
        <n v="4721"/>
        <n v="6143"/>
        <n v="6559"/>
        <n v="5126"/>
        <n v="4750"/>
        <n v="5576"/>
        <n v="6216"/>
        <n v="5455"/>
        <n v="5537"/>
        <n v="5741"/>
        <n v="5943"/>
        <n v="6219"/>
        <n v="6394"/>
        <n v="6393"/>
        <n v="6387"/>
        <n v="5084"/>
        <n v="4974"/>
        <n v="5000"/>
        <n v="5341"/>
        <n v="5648"/>
        <n v="6450"/>
        <n v="6429"/>
        <n v="4396"/>
        <n v="4333"/>
        <n v="6100"/>
        <n v="4863"/>
        <n v="5187"/>
        <n v="4936"/>
        <n v="5308"/>
        <n v="6561"/>
        <n v="5647"/>
        <n v="5886"/>
        <n v="5211"/>
        <n v="5998"/>
        <n v="4548"/>
        <n v="4904"/>
        <n v="6249"/>
        <n v="5162"/>
        <n v="5925"/>
        <n v="6055"/>
        <n v="4963"/>
        <n v="4978"/>
        <n v="5014"/>
        <n v="4667"/>
        <n v="5408"/>
        <n v="5671"/>
        <n v="5294"/>
        <n v="4429"/>
        <n v="4966"/>
        <n v="4845"/>
        <n v="6063"/>
        <n v="5739"/>
        <n v="4971"/>
        <n v="5318"/>
        <n v="5609"/>
        <n v="5800"/>
        <n v="5342"/>
        <n v="4444"/>
        <n v="5326"/>
        <n v="5634"/>
        <n v="5721"/>
        <n v="6508"/>
        <n v="6129"/>
        <n v="6446"/>
        <n v="4690"/>
        <n v="4334"/>
        <n v="4453"/>
        <n v="4446"/>
        <n v="5069"/>
        <n v="5276"/>
        <n v="5391"/>
        <n v="5553"/>
        <n v="6276"/>
        <n v="6250"/>
        <n v="4423"/>
        <n v="4651"/>
        <n v="4885"/>
        <n v="5022"/>
        <n v="5573"/>
        <n v="4486"/>
        <n v="4739"/>
        <n v="5387"/>
        <n v="5377"/>
        <n v="5557"/>
        <n v="6280"/>
        <n v="6147"/>
        <n v="5945"/>
        <n v="6428"/>
        <n v="6107"/>
        <n v="6240"/>
        <n v="5582"/>
        <n v="5731"/>
        <n v="5752"/>
        <n v="5753"/>
        <n v="5138"/>
        <n v="4662"/>
        <n v="4574"/>
        <n v="4452"/>
        <n v="5570"/>
        <n v="6257"/>
        <n v="4418"/>
        <n v="4473"/>
        <n v="4475"/>
        <n v="4813"/>
        <n v="5654"/>
        <n v="5661"/>
        <n v="5717"/>
        <n v="5962"/>
        <n v="5958"/>
        <n v="5997"/>
        <n v="6078"/>
        <n v="5740"/>
        <n v="5588"/>
        <n v="5105"/>
        <n v="4484"/>
        <n v="5913"/>
        <n v="4773"/>
        <n v="4874"/>
        <n v="5295"/>
        <n v="5089"/>
        <n v="4960"/>
        <n v="5770"/>
        <n v="5481"/>
        <n v="6513"/>
        <n v="6068"/>
        <n v="4653"/>
        <n v="4794"/>
        <n v="5476"/>
        <n v="5602"/>
        <n v="5926"/>
        <n v="6244"/>
        <n v="5303"/>
        <n v="6555"/>
        <n v="5567"/>
        <n v="5183"/>
        <n v="5983"/>
        <n v="5124"/>
        <n v="5593"/>
        <n v="4783"/>
        <n v="5315"/>
        <n v="5181"/>
        <n v="6412"/>
        <n v="6398"/>
        <n v="5195"/>
        <n v="6529"/>
        <n v="5474"/>
        <n v="5093"/>
        <n v="5526"/>
        <n v="4661"/>
        <n v="4865"/>
        <n v="5768"/>
        <n v="6178"/>
        <n v="6306"/>
        <n v="5912"/>
        <n v="5435"/>
        <n v="5572"/>
        <n v="6417"/>
        <n v="4777"/>
        <n v="5216"/>
        <n v="4934"/>
        <n v="5056"/>
        <n v="5144"/>
        <n v="6018"/>
        <n v="4454"/>
        <n v="5284"/>
        <n v="4979"/>
        <n v="5002"/>
        <n v="5401"/>
        <n v="4799"/>
        <n v="6298"/>
        <n v="6319"/>
        <n v="5755"/>
        <n v="6060"/>
        <n v="5677"/>
        <n v="4850"/>
        <n v="4849"/>
        <n v="6046"/>
        <n v="5197"/>
        <n v="5153"/>
        <n v="5935"/>
        <n v="5952"/>
        <n v="6146"/>
        <n v="4456"/>
        <n v="4508"/>
        <n v="5271"/>
        <n v="4555"/>
        <n v="5199"/>
        <n v="6141"/>
        <n v="4976"/>
        <n v="5001"/>
        <n v="5692"/>
        <n v="4694"/>
        <n v="5230"/>
        <n v="4835"/>
        <n v="5142"/>
        <n v="5932"/>
        <n v="4638"/>
        <n v="4922"/>
        <n v="5444"/>
        <n v="4430"/>
        <n v="6314"/>
        <n v="6062"/>
        <n v="4613"/>
        <n v="5450"/>
        <n v="5586"/>
        <n v="5744"/>
        <n v="5965"/>
        <n v="4384"/>
        <n v="5431"/>
        <n v="6159"/>
        <n v="5851"/>
        <n v="5497"/>
        <n v="5344"/>
        <n v="5351"/>
        <n v="4438"/>
        <n v="5999"/>
        <n v="4335"/>
        <n v="5217"/>
        <n v="5115"/>
        <n v="4955"/>
        <n v="6550"/>
        <n v="6254"/>
        <n v="5154"/>
        <n v="5548"/>
        <n v="5130"/>
        <n v="5698"/>
        <n v="6081"/>
        <n v="6207"/>
        <n v="4614"/>
        <n v="5520"/>
        <n v="5642"/>
        <n v="5689"/>
        <n v="4695"/>
        <n v="6443"/>
        <n v="4660"/>
        <n v="5225"/>
        <n v="5330"/>
        <n v="5645"/>
        <n v="5723"/>
        <n v="6148"/>
        <n v="6226"/>
        <n v="5319"/>
        <n v="5457"/>
        <n v="5735"/>
        <n v="5799"/>
        <n v="6056"/>
        <n v="5596"/>
        <n v="6563"/>
        <n v="6138"/>
        <n v="5815"/>
        <n v="5414"/>
        <n v="6440"/>
        <n v="4578"/>
        <n v="5658"/>
        <n v="5864"/>
        <n v="4962"/>
        <n v="4957"/>
        <n v="5169"/>
        <n v="5545"/>
        <n v="5953"/>
        <n v="5855"/>
        <n v="6546"/>
        <n v="5845"/>
        <n v="6392"/>
        <n v="6040"/>
        <n v="6556"/>
        <n v="4717"/>
        <n v="5137"/>
        <n v="6134"/>
        <n v="6133"/>
        <n v="6132"/>
        <n v="4336"/>
        <n v="4565"/>
        <n v="5175"/>
        <n v="4808"/>
        <n v="4814"/>
        <n v="4820"/>
        <n v="5112"/>
        <n v="5275"/>
        <n v="5419"/>
        <n v="6514"/>
        <n v="6363"/>
        <n v="5890"/>
        <n v="5984"/>
        <n v="6004"/>
        <n v="6077"/>
        <n v="6267"/>
        <n v="4337"/>
        <n v="4487"/>
        <n v="5176"/>
        <n v="4740"/>
        <n v="4751"/>
        <n v="5389"/>
        <n v="5560"/>
        <n v="5794"/>
        <n v="5784"/>
        <n v="6281"/>
        <n v="5505"/>
        <n v="5345"/>
        <n v="5699"/>
        <n v="4549"/>
        <n v="4402"/>
        <n v="4630"/>
        <n v="6299"/>
        <n v="6320"/>
        <n v="4711"/>
        <n v="5322"/>
        <n v="6366"/>
        <n v="5860"/>
        <n v="5875"/>
        <n v="6361"/>
        <n v="6263"/>
        <n v="5612"/>
        <n v="5506"/>
        <n v="4581"/>
        <n v="4537"/>
        <n v="5312"/>
        <n v="5042"/>
        <n v="6562"/>
        <n v="4457"/>
        <n v="5884"/>
        <n v="4528"/>
        <n v="6300"/>
        <n v="6318"/>
        <n v="4424"/>
        <n v="4518"/>
        <n v="4916"/>
        <n v="5885"/>
        <n v="5887"/>
        <n v="4645"/>
        <n v="5123"/>
        <n v="4579"/>
        <n v="4656"/>
        <n v="4844"/>
        <n v="5027"/>
        <n v="6315"/>
        <n v="5432"/>
        <n v="5320"/>
        <n v="4715"/>
        <n v="5827"/>
        <n v="5078"/>
        <n v="4770"/>
        <n v="5025"/>
        <n v="4887"/>
        <n v="5020"/>
        <n v="5911"/>
        <n v="5495"/>
        <n v="5343"/>
        <n v="4890"/>
        <n v="4439"/>
        <n v="4771"/>
        <n v="5080"/>
        <n v="5065"/>
        <n v="6114"/>
        <n v="6246"/>
        <n v="5231"/>
        <n v="4712"/>
        <n v="5584"/>
        <n v="5188"/>
        <n v="5334"/>
        <n v="5314"/>
        <n v="6415"/>
        <n v="4728"/>
        <n v="4932"/>
        <n v="5543"/>
        <n v="6215"/>
        <n v="4744"/>
        <n v="4499"/>
        <n v="5433"/>
        <n v="6243"/>
        <n v="5947"/>
        <n v="5346"/>
        <n v="4458"/>
        <n v="4797"/>
        <n v="4674"/>
        <n v="4465"/>
        <n v="4425"/>
        <n v="4655"/>
        <n v="5478"/>
        <n v="5347"/>
        <n v="4795"/>
        <n v="5461"/>
        <n v="5577"/>
        <n v="5630"/>
        <n v="6409"/>
        <n v="5765"/>
        <n v="5867"/>
        <n v="4723"/>
        <n v="5348"/>
        <n v="4942"/>
        <n v="5475"/>
        <n v="4871"/>
        <n v="5763"/>
        <n v="5136"/>
        <n v="4636"/>
        <n v="4752"/>
        <n v="6558"/>
        <n v="6145"/>
        <n v="4338"/>
        <n v="5679"/>
        <n v="6165"/>
        <n v="5259"/>
        <n v="4938"/>
        <n v="4339"/>
        <n v="4374"/>
        <n v="4510"/>
        <n v="4671"/>
        <n v="5281"/>
        <n v="4869"/>
        <n v="5369"/>
        <n v="5651"/>
        <n v="5978"/>
        <n v="5323"/>
        <n v="4981"/>
        <n v="5010"/>
        <n v="5139"/>
        <n v="5155"/>
        <n v="5775"/>
        <n v="5727"/>
        <n v="5722"/>
        <n v="5955"/>
        <n v="5985"/>
        <n v="6088"/>
        <n v="4702"/>
        <n v="4905"/>
        <n v="5532"/>
        <n v="4722"/>
        <n v="6194"/>
        <n v="5504"/>
        <n v="4546"/>
        <n v="4967"/>
        <n v="6554"/>
        <n v="5452"/>
        <n v="4495"/>
        <n v="5317"/>
        <n v="5402"/>
        <n v="6065"/>
        <n v="4784"/>
        <n v="5743"/>
        <n v="5663"/>
        <n v="5406"/>
        <n v="6551"/>
        <n v="4743"/>
        <n v="5868"/>
        <n v="4616"/>
        <n v="5482"/>
        <n v="6016"/>
        <n v="6021"/>
        <n v="5726"/>
        <n v="5837"/>
        <n v="6517"/>
        <n v="5891"/>
        <n v="5967"/>
        <n v="5841"/>
        <n v="5976"/>
        <n v="6005"/>
        <n v="6013"/>
        <n v="6041"/>
        <n v="6095"/>
        <n v="6225"/>
        <n v="4372"/>
        <n v="4732"/>
        <n v="5180"/>
        <n v="4988"/>
        <n v="5015"/>
        <n v="5569"/>
        <n v="5693"/>
        <n v="5793"/>
        <n v="6277"/>
        <n v="4859"/>
        <n v="5611"/>
        <n v="5787"/>
        <n v="6042"/>
        <n v="4617"/>
        <n v="4692"/>
        <n v="6108"/>
        <n v="6241"/>
        <n v="4714"/>
        <n v="4741"/>
        <n v="6424"/>
        <n v="4964"/>
        <n v="5285"/>
        <n v="4440"/>
        <n v="4883"/>
        <n v="5024"/>
        <n v="5929"/>
        <n v="6008"/>
        <n v="4778"/>
        <n v="5170"/>
        <n v="6328"/>
        <n v="4652"/>
        <n v="5221"/>
        <n v="4970"/>
        <n v="5088"/>
        <n v="5626"/>
        <n v="5521"/>
        <n v="5940"/>
        <n v="5156"/>
        <n v="6130"/>
        <n v="4373"/>
        <n v="4822"/>
        <n v="4753"/>
        <n v="5666"/>
        <n v="5716"/>
        <n v="5862"/>
        <n v="4952"/>
        <n v="6113"/>
        <n v="6245"/>
        <n v="6061"/>
        <n v="4619"/>
        <n v="5359"/>
        <n v="4582"/>
        <n v="5446"/>
        <n v="5512"/>
        <n v="5709"/>
        <n v="4772"/>
        <n v="4395"/>
        <n v="4877"/>
        <n v="4649"/>
        <n v="4620"/>
        <n v="5877"/>
        <n v="5966"/>
        <n v="4730"/>
        <n v="4929"/>
        <n v="6293"/>
        <n v="4631"/>
        <n v="5269"/>
        <n v="4594"/>
        <n v="5471"/>
        <n v="5792"/>
        <n v="4483"/>
        <n v="4665"/>
        <n v="4615"/>
        <n v="4612"/>
        <n v="5236"/>
        <n v="4831"/>
        <n v="6528"/>
        <n v="4900"/>
        <n v="5058"/>
        <n v="5396"/>
        <n v="4527"/>
        <n v="5399"/>
        <n v="6301"/>
        <n v="6317"/>
        <n v="4705"/>
        <n v="5237"/>
        <n v="4910"/>
        <n v="5048"/>
        <n v="5392"/>
        <n v="5395"/>
        <n v="5400"/>
        <n v="5668"/>
        <n v="4729"/>
        <n v="5074"/>
        <n v="4363"/>
        <n v="5449"/>
        <n v="4948"/>
        <n v="5036"/>
        <n v="5633"/>
        <n v="5125"/>
        <n v="5866"/>
        <n v="4687"/>
        <n v="5132"/>
        <n v="5223"/>
        <n v="4494"/>
        <n v="5766"/>
        <n v="5719"/>
        <n v="5931"/>
        <n v="6131"/>
        <n v="4806"/>
        <n v="4980"/>
        <n v="4997"/>
        <n v="4491"/>
        <n v="5456"/>
        <n v="6457"/>
        <n v="6124"/>
        <n v="6447"/>
        <n v="6210"/>
        <n v="5262"/>
        <n v="6466"/>
        <n v="5470"/>
        <n v="5790"/>
        <n v="5846"/>
        <n v="6000"/>
        <n v="4924"/>
        <n v="4621"/>
        <n v="5293"/>
        <n v="5354"/>
        <n v="5353"/>
        <n v="5801"/>
        <n v="5356"/>
        <n v="6482"/>
        <n v="5150"/>
        <n v="4926"/>
        <n v="5054"/>
        <n v="5087"/>
        <n v="5517"/>
        <n v="6410"/>
        <n v="6372"/>
        <n v="4949"/>
        <n v="5206"/>
        <n v="6369"/>
        <n v="6370"/>
        <n v="5430"/>
        <n v="5429"/>
        <n v="5405"/>
        <n v="5157"/>
        <n v="5528"/>
        <n v="5273"/>
        <n v="5081"/>
        <n v="4872"/>
        <n v="4498"/>
        <n v="4459"/>
        <n v="4893"/>
        <n v="5327"/>
        <n v="5641"/>
        <n v="5712"/>
        <n v="5838"/>
        <n v="5802"/>
        <n v="5861"/>
        <n v="5873"/>
        <n v="5874"/>
        <n v="5951"/>
        <n v="5986"/>
        <n v="6149"/>
        <n v="6043"/>
        <n v="6083"/>
        <n v="6287"/>
        <n v="6208"/>
        <n v="6230"/>
        <n v="6127"/>
        <n v="4899"/>
        <n v="5059"/>
        <n v="5535"/>
        <n v="5131"/>
        <n v="4763"/>
        <n v="6180"/>
        <n v="6172"/>
        <n v="4657"/>
        <n v="5265"/>
        <n v="6547"/>
        <n v="6334"/>
        <n v="5336"/>
        <n v="4852"/>
        <n v="5158"/>
        <n v="4340"/>
        <n v="4550"/>
        <n v="6239"/>
        <n v="5568"/>
        <n v="5184"/>
        <n v="5190"/>
        <n v="4341"/>
        <n v="6337"/>
        <n v="5695"/>
        <n v="4789"/>
        <n v="5397"/>
        <n v="5394"/>
        <n v="5077"/>
        <n v="4644"/>
        <n v="5680"/>
        <n v="6418"/>
        <n v="5937"/>
        <n v="6232"/>
        <n v="4754"/>
        <n v="5782"/>
        <n v="4525"/>
        <n v="4766"/>
        <n v="6302"/>
        <n v="6308"/>
        <n v="6121"/>
        <n v="6283"/>
        <n v="6557"/>
        <n v="6332"/>
        <n v="5518"/>
        <n v="6044"/>
        <n v="4399"/>
        <n v="4376"/>
        <n v="4977"/>
        <n v="5013"/>
        <n v="5462"/>
        <n v="5734"/>
        <n v="4542"/>
        <n v="5102"/>
        <n v="4731"/>
        <n v="6168"/>
        <n v="5251"/>
        <n v="4627"/>
        <n v="6371"/>
        <n v="6481"/>
        <n v="6199"/>
        <n v="4583"/>
        <n v="4697"/>
        <n v="5238"/>
        <n v="4833"/>
        <n v="4923"/>
        <n v="5453"/>
        <n v="4693"/>
        <n v="5365"/>
        <n v="5101"/>
        <n v="4764"/>
        <n v="5605"/>
        <n v="4545"/>
        <n v="6483"/>
        <n v="5229"/>
        <n v="5173"/>
        <n v="5550"/>
        <n v="5896"/>
        <n v="4511"/>
        <n v="5949"/>
        <n v="6135"/>
        <n v="5096"/>
        <n v="5385"/>
        <n v="5555"/>
        <n v="6009"/>
        <n v="4371"/>
        <n v="4460"/>
        <n v="4811"/>
        <n v="5417"/>
        <n v="5694"/>
        <n v="6001"/>
        <n v="5436"/>
        <n v="4342"/>
        <n v="4343"/>
        <n v="4471"/>
        <n v="4472"/>
        <n v="4534"/>
        <n v="4524"/>
        <n v="4826"/>
        <n v="4706"/>
        <n v="4830"/>
        <n v="4765"/>
        <n v="4786"/>
        <n v="4832"/>
        <n v="4798"/>
        <n v="4825"/>
        <n v="4840"/>
        <n v="4837"/>
        <n v="4972"/>
        <n v="4843"/>
        <n v="4846"/>
        <n v="4880"/>
        <n v="4982"/>
        <n v="4998"/>
        <n v="5029"/>
        <n v="4954"/>
        <n v="5043"/>
        <n v="5040"/>
        <n v="5062"/>
        <n v="5198"/>
        <n v="5368"/>
        <n v="6303"/>
        <n v="5700"/>
        <n v="6365"/>
        <n v="5715"/>
        <n v="5795"/>
        <n v="5956"/>
        <n v="5919"/>
        <n v="6309"/>
        <n v="6123"/>
        <n v="6105"/>
        <n v="6116"/>
        <n v="6117"/>
        <n v="6120"/>
        <n v="6552"/>
        <n v="6388"/>
        <n v="5220"/>
        <n v="5814"/>
        <n v="5007"/>
        <n v="4512"/>
        <n v="4851"/>
        <n v="5166"/>
        <n v="6017"/>
        <n v="5733"/>
        <n v="5749"/>
        <n v="5892"/>
        <n v="5977"/>
        <n v="6391"/>
        <n v="6045"/>
        <n v="6079"/>
        <n v="6273"/>
        <n v="4344"/>
        <n v="4681"/>
        <n v="4683"/>
        <n v="4703"/>
        <n v="4969"/>
        <n v="5026"/>
        <n v="4538"/>
        <n v="4785"/>
        <n v="4755"/>
        <n v="4838"/>
        <n v="4881"/>
        <n v="4953"/>
        <n v="5063"/>
        <n v="5662"/>
        <n v="6150"/>
        <n v="6155"/>
        <n v="6128"/>
        <n v="5049"/>
        <n v="5675"/>
        <n v="5541"/>
        <n v="6067"/>
        <n v="6212"/>
        <n v="4365"/>
        <n v="6454"/>
        <n v="5145"/>
        <n v="5629"/>
        <n v="5828"/>
        <n v="4345"/>
        <n v="4658"/>
        <n v="6289"/>
        <n v="4927"/>
        <n v="5050"/>
        <n v="5624"/>
        <n v="5514"/>
        <n v="4668"/>
        <n v="6463"/>
        <n v="4793"/>
        <n v="4769"/>
        <n v="5194"/>
        <n v="4523"/>
        <n v="4405"/>
        <n v="4464"/>
        <n v="4447"/>
        <n v="4568"/>
        <n v="5468"/>
        <n v="5791"/>
        <n v="5876"/>
        <n v="6007"/>
        <n v="5104"/>
        <n v="4828"/>
        <n v="4713"/>
        <n v="4842"/>
        <n v="5918"/>
        <n v="5279"/>
        <n v="6553"/>
        <n v="5942"/>
        <n v="4941"/>
        <n v="5331"/>
        <n v="5682"/>
        <n v="5961"/>
        <n v="4584"/>
        <n v="5852"/>
        <n v="4622"/>
        <n v="4585"/>
        <n v="5442"/>
        <n v="4382"/>
        <n v="5771"/>
        <n v="5665"/>
        <n v="5597"/>
        <n v="6459"/>
        <n v="5324"/>
        <n v="5804"/>
        <n v="6022"/>
        <n v="6228"/>
        <n v="5946"/>
        <n v="4386"/>
        <n v="5215"/>
        <n v="4563"/>
        <n v="4669"/>
        <n v="4709"/>
        <n v="4876"/>
        <n v="4945"/>
        <n v="5083"/>
        <n v="5899"/>
        <n v="5869"/>
        <n v="6350"/>
        <n v="6217"/>
        <n v="4431"/>
        <n v="4853"/>
        <n v="5772"/>
        <n v="5805"/>
        <n v="6058"/>
        <n v="4873"/>
        <n v="5767"/>
        <n v="5486"/>
        <n v="5640"/>
        <n v="5639"/>
        <n v="5687"/>
        <n v="5720"/>
        <n v="5857"/>
        <n v="5987"/>
        <n v="6151"/>
        <n v="6033"/>
        <n v="6103"/>
        <n v="4675"/>
        <n v="5148"/>
        <n v="5916"/>
        <n v="4791"/>
        <n v="4387"/>
        <n v="4767"/>
        <n v="6238"/>
        <n v="4818"/>
        <n v="5222"/>
        <n v="5045"/>
        <n v="5030"/>
        <n v="5282"/>
        <n v="5374"/>
        <n v="5655"/>
        <n v="5636"/>
        <n v="5796"/>
        <n v="5797"/>
        <n v="6156"/>
        <n v="6101"/>
        <n v="5599"/>
        <n v="5297"/>
        <n v="4768"/>
        <n v="5421"/>
        <n v="4623"/>
        <n v="4576"/>
        <n v="5128"/>
        <n v="5707"/>
        <n v="4547"/>
        <n v="4906"/>
        <n v="5057"/>
        <n v="5205"/>
        <n v="6109"/>
        <n v="6242"/>
        <n v="6560"/>
        <n v="5491"/>
        <n v="5870"/>
        <n v="4426"/>
        <n v="4726"/>
        <n v="5349"/>
        <n v="4632"/>
        <n v="4401"/>
        <n v="5585"/>
        <n v="5701"/>
        <n v="5730"/>
        <n v="6086"/>
        <n v="5871"/>
        <n v="5811"/>
        <n v="4664"/>
        <n v="5939"/>
        <n v="4346"/>
        <n v="4586"/>
        <n v="5519"/>
        <n v="6189"/>
        <n v="4572"/>
        <n v="6188"/>
        <n v="4864"/>
        <n v="5202"/>
        <n v="5915"/>
        <n v="4914"/>
        <n v="5412"/>
        <n v="5683"/>
        <n v="5756"/>
        <n v="5296"/>
        <n v="5888"/>
        <n v="5384"/>
        <n v="6279"/>
        <n v="5235"/>
        <n v="5234"/>
        <n v="4670"/>
        <n v="5127"/>
        <n v="5485"/>
        <n v="6191"/>
        <n v="4536"/>
        <n v="6465"/>
        <n v="4879"/>
        <n v="4875"/>
        <n v="5239"/>
        <n v="4933"/>
        <n v="5499"/>
        <n v="6539"/>
        <n v="4756"/>
        <n v="5424"/>
        <n v="5785"/>
        <n v="5240"/>
        <n v="4383"/>
        <n v="5321"/>
        <n v="5806"/>
        <n v="6286"/>
        <n v="5422"/>
        <n v="4676"/>
        <n v="4366"/>
        <n v="6075"/>
        <n v="6313"/>
        <n v="5970"/>
        <n v="5542"/>
        <n v="5418"/>
        <n v="5552"/>
        <n v="6115"/>
        <n v="5594"/>
        <n v="4514"/>
        <n v="5266"/>
        <n v="5684"/>
        <n v="4390"/>
        <n v="4810"/>
        <n v="6518"/>
        <n v="6362"/>
        <n v="5959"/>
        <n v="4461"/>
        <n v="4812"/>
        <n v="5416"/>
        <n v="6084"/>
        <n v="6166"/>
        <n v="4520"/>
        <n v="5479"/>
        <n v="5300"/>
        <n v="5527"/>
        <n v="5440"/>
        <n v="6137"/>
        <n v="5376"/>
        <n v="5031"/>
        <n v="5016"/>
        <n v="4432"/>
        <n v="4587"/>
        <n v="5441"/>
        <n v="4476"/>
        <n v="5228"/>
        <n v="5423"/>
        <n v="4688"/>
        <n v="5600"/>
        <n v="5826"/>
        <n v="5094"/>
        <n v="5513"/>
        <n v="6197"/>
        <n v="4507"/>
        <n v="4987"/>
        <n v="4994"/>
        <n v="4918"/>
        <n v="5754"/>
        <n v="5830"/>
        <n v="4466"/>
        <n v="4455"/>
        <n v="5667"/>
        <n v="4704"/>
        <n v="5241"/>
        <n v="5606"/>
        <n v="6164"/>
        <n v="5538"/>
        <n v="5372"/>
        <n v="6157"/>
        <n v="6203"/>
        <n v="5592"/>
        <n v="5621"/>
        <n v="5922"/>
        <n v="6110"/>
        <n v="4928"/>
        <n v="4552"/>
        <n v="4400"/>
        <n v="4490"/>
        <n v="4406"/>
        <n v="5973"/>
        <n v="5328"/>
        <n v="5487"/>
        <n v="5777"/>
        <n v="5725"/>
        <n v="5564"/>
        <n v="5863"/>
        <n v="5856"/>
        <n v="6451"/>
        <n v="5988"/>
        <n v="6076"/>
        <n v="6102"/>
        <n v="6126"/>
        <n v="5669"/>
        <n v="5252"/>
        <n v="5776"/>
        <n v="5371"/>
        <n v="5678"/>
        <n v="5807"/>
        <n v="4996"/>
        <n v="6082"/>
        <n v="6209"/>
        <n v="5551"/>
        <n v="5964"/>
        <n v="5920"/>
        <n v="6181"/>
        <n v="6174"/>
        <n v="5280"/>
        <n v="6136"/>
        <n v="5253"/>
        <n v="5769"/>
        <n v="5808"/>
        <n v="5921"/>
        <n v="6510"/>
        <n v="5848"/>
        <n v="4347"/>
        <n v="4462"/>
        <n v="4992"/>
        <n v="5004"/>
        <n v="5696"/>
        <n v="5302"/>
        <n v="6515"/>
        <n v="5989"/>
        <n v="6091"/>
        <n v="5092"/>
        <n v="4433"/>
        <n v="4379"/>
        <n v="4377"/>
        <n v="4436"/>
        <n v="4554"/>
        <n v="5469"/>
        <n v="4556"/>
        <n v="5466"/>
        <n v="4807"/>
        <n v="4815"/>
        <n v="5549"/>
        <n v="5638"/>
        <n v="5688"/>
        <n v="6096"/>
        <n v="4827"/>
        <n v="5242"/>
        <n v="4860"/>
        <n v="4824"/>
        <n v="4968"/>
        <n v="6307"/>
        <n v="6104"/>
        <n v="4450"/>
        <n v="4774"/>
        <n v="5750"/>
        <n v="6516"/>
        <n v="6153"/>
        <n v="6469"/>
        <n v="6200"/>
        <n v="4575"/>
        <n v="4867"/>
        <n v="5099"/>
        <n v="5064"/>
        <n v="6475"/>
        <n v="5072"/>
        <n v="4573"/>
        <n v="5601"/>
        <n v="6221"/>
        <n v="5226"/>
        <n v="4513"/>
        <n v="4666"/>
        <n v="6175"/>
        <n v="4588"/>
        <n v="4434"/>
        <n v="4392"/>
        <n v="5044"/>
        <n v="4792"/>
        <n v="4411"/>
        <n v="5179"/>
        <n v="5610"/>
        <n v="4598"/>
        <n v="6182"/>
        <n v="4501"/>
        <n v="4684"/>
        <n v="4699"/>
        <n v="5039"/>
        <n v="6420"/>
        <n v="4481"/>
        <n v="5786"/>
        <n v="6331"/>
        <n v="4944"/>
        <n v="6252"/>
        <n v="4983"/>
        <n v="5018"/>
        <n v="5702"/>
        <n v="5425"/>
        <n v="6288"/>
        <n v="6030"/>
        <n v="4779"/>
        <n v="4624"/>
        <n v="4796"/>
        <n v="4427"/>
        <n v="4348"/>
        <n v="4349"/>
        <n v="6237"/>
        <n v="4803"/>
        <n v="5375"/>
        <n v="5635"/>
        <n v="5710"/>
        <n v="5990"/>
        <n v="6098"/>
        <n v="6125"/>
        <n v="5950"/>
        <n v="4477"/>
        <n v="4428"/>
        <n v="4595"/>
        <n v="4780"/>
        <n v="5902"/>
        <n v="5403"/>
        <n v="4700"/>
        <n v="4829"/>
        <n v="5244"/>
        <n v="4861"/>
        <n v="4757"/>
        <n v="4841"/>
        <n v="4917"/>
        <n v="5051"/>
        <n v="5781"/>
        <n v="4394"/>
        <n v="5434"/>
        <n v="4367"/>
        <n v="4368"/>
        <n v="4691"/>
        <n v="4907"/>
        <n v="5141"/>
        <n v="5480"/>
        <n v="4682"/>
        <n v="4886"/>
        <n v="5021"/>
        <n v="5927"/>
        <n v="6167"/>
        <n v="5307"/>
        <n v="5381"/>
        <n v="5413"/>
        <n v="5243"/>
        <n v="4895"/>
        <n v="4441"/>
        <n v="4596"/>
        <n v="4719"/>
        <n v="4903"/>
        <n v="5200"/>
        <n v="5357"/>
        <n v="5587"/>
        <n v="5865"/>
        <n v="4925"/>
        <n v="5533"/>
        <n v="4950"/>
        <n v="5360"/>
        <n v="5443"/>
        <n v="5917"/>
        <n v="6426"/>
        <n v="6333"/>
        <n v="4589"/>
        <n v="4597"/>
        <n v="4720"/>
        <n v="5490"/>
        <n v="5706"/>
        <n v="5889"/>
        <n v="5590"/>
        <n v="5529"/>
        <n v="4560"/>
        <n v="6427"/>
        <n v="5898"/>
        <n v="4870"/>
        <n v="5358"/>
        <n v="5738"/>
        <n v="6304"/>
        <n v="6321"/>
        <n v="5673"/>
        <n v="5844"/>
        <n v="4884"/>
        <n v="5023"/>
        <n v="4531"/>
        <n v="5536"/>
        <n v="5270"/>
        <n v="5233"/>
        <n v="5207"/>
        <n v="4724"/>
        <n v="4745"/>
        <n v="4641"/>
        <n v="4350"/>
        <n v="4522"/>
        <n v="4570"/>
        <n v="4449"/>
        <n v="4535"/>
        <n v="4378"/>
        <n v="4407"/>
        <n v="5789"/>
        <n v="5214"/>
        <n v="4521"/>
        <n v="6464"/>
        <n v="6169"/>
        <n v="4611"/>
        <n v="6023"/>
        <n v="6441"/>
        <n v="5410"/>
        <n v="4897"/>
        <n v="5052"/>
        <n v="6024"/>
        <n v="6444"/>
        <n v="5825"/>
        <n v="5135"/>
        <n v="5854"/>
        <n v="5192"/>
        <n v="4834"/>
        <n v="4896"/>
        <n v="5053"/>
        <n v="6248"/>
        <n v="5881"/>
        <n v="4984"/>
        <n v="5006"/>
        <n v="6549"/>
        <n v="5298"/>
        <n v="4529"/>
        <n v="6305"/>
        <n v="6316"/>
        <n v="4398"/>
        <n v="4463"/>
        <n v="5404"/>
        <n v="5484"/>
        <n v="4351"/>
        <n v="5227"/>
        <n v="5174"/>
        <n v="6236"/>
        <n v="4758"/>
        <n v="6235"/>
        <n v="5653"/>
        <n v="6364"/>
        <n v="5713"/>
        <n v="5779"/>
        <n v="6234"/>
        <n v="4561"/>
        <n v="5415"/>
        <n v="5525"/>
        <n v="5426"/>
        <n v="6144"/>
        <n v="5301"/>
        <n v="5380"/>
        <n v="4708"/>
        <n v="4856"/>
        <n v="5219"/>
        <n v="5041"/>
        <n v="6312"/>
        <n v="6106"/>
        <n v="6032"/>
        <n v="6349"/>
        <n v="5076"/>
        <n v="4625"/>
        <n v="5097"/>
        <n v="4993"/>
        <n v="5005"/>
        <n v="5143"/>
        <n v="5813"/>
        <n v="5812"/>
        <n v="5196"/>
        <n v="5531"/>
        <n v="5182"/>
        <n v="5829"/>
        <n v="5502"/>
        <n v="4646"/>
        <n v="5299"/>
        <n v="5847"/>
        <n v="5762"/>
        <n v="6220"/>
        <n v="5292"/>
        <n v="6211"/>
        <n v="4888"/>
        <n v="5614"/>
        <n v="5085"/>
        <n v="5603"/>
        <n v="4558"/>
        <n v="6414"/>
        <n v="5254"/>
        <n v="4590"/>
        <n v="4908"/>
        <n v="5095"/>
        <n v="5492"/>
        <n v="5676"/>
        <n v="4564"/>
        <n v="4517"/>
        <n v="4759"/>
        <n v="5544"/>
        <n v="6272"/>
        <n v="6205"/>
        <n v="4504"/>
        <n v="4891"/>
        <n v="5438"/>
        <n v="6294"/>
        <n v="4639"/>
        <n v="4821"/>
        <n v="5659"/>
        <n v="4352"/>
        <n v="4404"/>
        <n v="4500"/>
        <n v="4685"/>
        <n v="4781"/>
        <n v="4920"/>
        <n v="5046"/>
        <n v="5122"/>
        <n v="6160"/>
        <n v="5832"/>
        <n v="6035"/>
        <n v="6214"/>
        <n v="5511"/>
        <n v="5086"/>
        <n v="5510"/>
        <n v="5933"/>
        <n v="5522"/>
        <n v="5672"/>
        <n v="5650"/>
        <n v="5255"/>
        <n v="4961"/>
        <n v="5773"/>
        <n v="5823"/>
        <n v="5872"/>
        <n v="6139"/>
        <n v="4698"/>
        <n v="6170"/>
        <n v="6198"/>
        <n v="4696"/>
        <n v="4353"/>
        <n v="4375"/>
        <n v="4489"/>
        <n v="4659"/>
        <n v="4737"/>
        <n v="5171"/>
        <n v="4738"/>
        <n v="5218"/>
        <n v="4882"/>
        <n v="4985"/>
        <n v="4999"/>
        <n v="5388"/>
        <n v="5558"/>
        <n v="5703"/>
        <n v="5991"/>
        <n v="6282"/>
        <n v="4506"/>
        <n v="5493"/>
        <n v="4805"/>
        <n v="5370"/>
        <n v="6080"/>
        <n v="6278"/>
        <n v="6206"/>
        <n v="5464"/>
        <n v="5625"/>
        <n v="6458"/>
        <n v="4478"/>
        <n v="4354"/>
        <n v="4479"/>
        <n v="4816"/>
        <n v="5288"/>
        <n v="5367"/>
        <n v="5819"/>
        <n v="5859"/>
        <n v="4742"/>
        <n v="5646"/>
        <n v="5656"/>
        <n v="5724"/>
        <n v="6512"/>
        <n v="5894"/>
        <n v="6452"/>
        <n v="5975"/>
        <n v="5992"/>
        <n v="6015"/>
        <n v="6097"/>
        <n v="6038"/>
        <n v="6453"/>
        <n v="5904"/>
        <n v="5332"/>
        <n v="5833"/>
        <n v="5895"/>
        <n v="6047"/>
        <n v="6227"/>
        <n v="4802"/>
        <n v="5580"/>
        <n v="5729"/>
        <n v="4628"/>
        <n v="4474"/>
        <n v="5070"/>
        <n v="6152"/>
        <n v="5366"/>
        <n v="5454"/>
        <n v="5631"/>
        <n v="5129"/>
        <n v="4640"/>
        <n v="4787"/>
        <n v="4854"/>
        <n v="5310"/>
        <n v="4898"/>
        <n v="4951"/>
        <n v="5060"/>
        <n v="5361"/>
        <n v="5439"/>
        <n v="5831"/>
        <n v="5960"/>
        <n v="5224"/>
        <n v="5159"/>
        <n v="6335"/>
        <n v="5905"/>
        <n v="6247"/>
        <n v="6258"/>
        <n v="5437"/>
        <n v="5134"/>
        <n v="6074"/>
        <n v="5637"/>
        <n v="5632"/>
        <n v="5500"/>
        <n v="6179"/>
        <n v="6183"/>
        <n v="5213"/>
        <n v="4642"/>
        <n v="5172"/>
        <n v="5274"/>
        <n v="5390"/>
        <n v="5556"/>
        <n v="5993"/>
        <n v="5191"/>
        <n v="6048"/>
        <n v="4707"/>
        <n v="5245"/>
        <n v="4760"/>
        <n v="5758"/>
        <n v="6142"/>
        <n v="6140"/>
        <n v="4710"/>
        <n v="4591"/>
        <n v="4442"/>
        <n v="5515"/>
        <n v="5685"/>
        <n v="5114"/>
        <n v="5571"/>
        <n v="5566"/>
        <n v="4733"/>
        <n v="5670"/>
        <n v="5304"/>
        <n v="4913"/>
        <n v="5309"/>
        <n v="4412"/>
        <n v="5246"/>
        <n v="4839"/>
        <n v="4901"/>
        <n v="4919"/>
        <n v="4355"/>
        <n v="4618"/>
        <n v="6476"/>
        <n v="6292"/>
        <n v="5742"/>
        <n v="5660"/>
        <n v="5272"/>
        <n v="5140"/>
        <n v="5103"/>
        <n v="5459"/>
        <n v="4381"/>
        <n v="4817"/>
        <n v="4848"/>
        <n v="5066"/>
        <n v="5068"/>
        <n v="5373"/>
        <n v="5579"/>
        <n v="6019"/>
        <n v="5728"/>
        <n v="5957"/>
        <n v="6158"/>
        <n v="6087"/>
        <n v="4408"/>
        <n v="4409"/>
        <n v="5407"/>
        <n v="6002"/>
        <n v="4516"/>
        <n v="4356"/>
        <n v="5256"/>
        <n v="4868"/>
        <n v="5472"/>
        <n v="5664"/>
        <n v="5473"/>
        <n v="5759"/>
        <n v="6049"/>
        <n v="4370"/>
        <n v="5247"/>
        <n v="6285"/>
        <n v="6389"/>
        <n v="5737"/>
        <n v="4654"/>
        <n v="5355"/>
        <n v="6291"/>
        <n v="5306"/>
        <n v="5382"/>
        <n v="6050"/>
        <n v="6322"/>
        <n v="6173"/>
        <n v="4782"/>
        <n v="4800"/>
        <n v="4915"/>
        <n v="5073"/>
        <n v="5644"/>
        <n v="6163"/>
        <n v="4557"/>
        <n v="5822"/>
        <n v="4909"/>
        <n v="5350"/>
        <n v="5352"/>
        <n v="6330"/>
        <n v="4488"/>
        <n v="4801"/>
        <n v="5559"/>
        <n v="5111"/>
        <n v="5090"/>
        <n v="5589"/>
        <n v="5628"/>
        <n v="6431"/>
        <n v="5930"/>
        <n v="4650"/>
        <n v="5928"/>
        <n v="6413"/>
        <n v="4940"/>
        <n v="6051"/>
        <n v="4357"/>
        <n v="5329"/>
        <n v="5711"/>
        <n v="5963"/>
        <n v="5941"/>
        <n v="6025"/>
        <n v="5968"/>
        <n v="6052"/>
        <n v="6386"/>
        <n v="6385"/>
        <n v="5248"/>
        <n v="4358"/>
        <n v="4515"/>
        <n v="4562"/>
        <n v="5249"/>
        <n v="4509"/>
        <n v="4480"/>
        <n v="4567"/>
        <n v="4689"/>
        <n v="4736"/>
        <n v="4761"/>
        <n v="5250"/>
        <n v="4788"/>
        <n v="5203"/>
        <n v="5386"/>
        <n v="5595"/>
        <n v="5697"/>
        <n v="5788"/>
        <n v="5994"/>
        <n v="6072"/>
        <n v="6233"/>
        <n v="4485"/>
        <n v="5908"/>
        <n v="6400"/>
        <n v="5498"/>
        <n v="6395"/>
        <n v="5623"/>
        <n v="6408"/>
        <n v="6411"/>
        <n v="6399"/>
        <n v="6405"/>
        <n v="6404"/>
        <n v="6403"/>
        <n v="6253"/>
        <n v="5189"/>
        <n v="4571"/>
        <n v="5106"/>
        <n v="5362"/>
        <n v="5834"/>
        <n v="5287"/>
        <n v="5257"/>
        <n v="5313"/>
        <n v="5674"/>
        <n v="5969"/>
        <n v="6192"/>
        <n v="4389"/>
        <n v="4566"/>
        <n v="5210"/>
        <n v="4637"/>
        <n v="5160"/>
        <n v="4862"/>
        <n v="4958"/>
        <n v="5164"/>
        <n v="5163"/>
        <n v="5165"/>
        <n v="5383"/>
        <n v="5954"/>
        <n v="5893"/>
        <n v="5995"/>
        <n v="6070"/>
        <n v="6390"/>
        <n v="6034"/>
        <n v="6090"/>
        <n v="6037"/>
        <n v="6290"/>
        <n v="6201"/>
        <n v="4790"/>
        <n v="5075"/>
        <n v="6112"/>
        <n v="5428"/>
        <n v="5267"/>
        <n v="4503"/>
        <n v="4686"/>
        <n v="5035"/>
        <n v="6407"/>
        <n v="6187"/>
        <n v="4935"/>
        <n v="4930"/>
        <n v="4946"/>
        <n v="4734"/>
        <n v="4544"/>
        <n v="5516"/>
        <n v="5903"/>
        <n v="5494"/>
        <n v="5820"/>
        <n v="4746"/>
        <n v="5901"/>
        <n v="6449"/>
        <n v="4633"/>
        <n v="5208"/>
        <n v="5325"/>
        <n v="5477"/>
        <n v="5718"/>
        <n v="5835"/>
        <n v="6478"/>
        <n v="4380"/>
        <n v="4858"/>
        <n v="5757"/>
        <n v="5547"/>
        <n v="5996"/>
        <n v="6093"/>
        <n v="4451"/>
        <n v="5705"/>
        <n v="5882"/>
        <n v="4592"/>
        <n v="5067"/>
        <n v="5948"/>
        <n v="5161"/>
        <n v="6190"/>
        <n v="5821"/>
        <n v="5879"/>
        <n v="5809"/>
        <n v="4836"/>
        <n v="6064"/>
        <n v="5578"/>
        <n v="6111"/>
        <n v="6031"/>
        <n v="6028"/>
        <n v="6026"/>
        <n v="6029"/>
        <n v="5100"/>
        <n v="4894"/>
        <n v="6218"/>
        <n v="6213"/>
        <n v="5363"/>
        <n v="5909"/>
        <n v="4397"/>
        <n v="4410"/>
        <n v="4553"/>
        <n v="4359"/>
        <n v="5258"/>
        <n v="4959"/>
        <n v="5055"/>
        <n v="5278"/>
        <n v="5546"/>
        <n v="5747"/>
        <n v="5534"/>
        <n v="6184"/>
        <n v="5311"/>
        <n v="5836"/>
        <n v="6264"/>
        <n v="4986"/>
        <n v="4995"/>
        <n v="6161"/>
        <n v="6185"/>
        <n v="6231"/>
        <n v="6432"/>
        <n v="5082"/>
        <n v="4912"/>
        <n v="6445"/>
        <n v="6036"/>
        <n v="4599"/>
        <n v="6003"/>
        <n v="5507"/>
        <n v="6092"/>
        <n v="5232"/>
        <n v="5098"/>
        <n v="6329"/>
        <n v="5147"/>
        <n v="5907"/>
        <n v="5906"/>
        <n v="5333"/>
        <n v="5483"/>
        <n v="6053"/>
        <n v="6229"/>
        <n v="5186"/>
        <n v="6054"/>
        <n v="4360"/>
        <n v="5607"/>
        <n v="5704"/>
        <n v="6284"/>
        <n v="6548"/>
        <n v="6296"/>
        <n v="5690"/>
        <n v="5204"/>
        <n v="5910"/>
        <n v="6256"/>
        <n v="6442"/>
        <n v="6223"/>
        <n v="4629"/>
        <n v="6401"/>
        <n v="6402"/>
        <n v="6396"/>
        <n v="6397"/>
        <n v="4892"/>
        <n v="4947"/>
        <n v="5133"/>
        <n v="4593"/>
        <n v="4393"/>
        <n v="4857"/>
        <n v="5268"/>
        <n v="6468"/>
        <n v="6268"/>
        <n v="6261"/>
        <n v="5530"/>
        <n v="6195"/>
        <n v="5364"/>
        <n v="5581"/>
        <n v="5732"/>
        <n v="6085"/>
        <n v="5028"/>
        <n v="5409"/>
        <n v="4762"/>
        <n v="5783"/>
        <n v="4609"/>
        <n v="5116"/>
        <n v="6484"/>
        <n v="6448"/>
        <n v="6259"/>
        <n v="5853"/>
        <n v="6338"/>
        <n v="6430"/>
        <n v="5465"/>
        <n v="5746"/>
        <n v="6270"/>
        <n v="4361"/>
        <n v="5448"/>
        <n v="5447"/>
        <n v="4866"/>
        <n v="5335"/>
        <n v="4718"/>
        <n v="5121"/>
        <n v="5489"/>
        <n v="5708"/>
        <n v="5850"/>
        <n v="6119"/>
        <n v="6479"/>
        <n v="4362"/>
        <n v="4385"/>
        <n v="5283"/>
        <n v="6509"/>
        <n v="6351"/>
        <n v="6460"/>
        <n v="6525"/>
        <n v="6543"/>
        <n v="6355"/>
        <n v="6378"/>
        <n v="6438"/>
        <n v="6473"/>
        <n v="6357"/>
        <n v="6544"/>
        <n v="6374"/>
        <n v="6358"/>
        <n v="6353"/>
        <n v="6522"/>
        <n v="6524"/>
        <n v="6346"/>
        <n v="6462"/>
        <n v="6439"/>
        <n v="6527"/>
        <n v="6433"/>
        <n v="6356"/>
        <n v="6461"/>
        <n v="6533"/>
        <n v="6360"/>
        <n v="6467"/>
        <n v="6367"/>
        <n v="6540"/>
        <n v="6542"/>
        <n v="6352"/>
        <n v="6436"/>
        <n v="6487"/>
        <n v="6383"/>
        <n v="6456"/>
        <n v="6537"/>
        <n v="6381"/>
        <n v="6541"/>
        <n v="6375"/>
        <n v="6534"/>
        <n v="6435"/>
        <n v="6470"/>
        <n v="6295"/>
        <n v="6437"/>
        <n v="6535"/>
        <n v="6472"/>
        <n v="6377"/>
        <n v="6485"/>
        <n v="6532"/>
        <n v="6384"/>
        <n v="6368"/>
        <n v="6379"/>
        <n v="6520"/>
        <n v="6382"/>
        <n v="6376"/>
        <n v="6354"/>
        <n v="6536"/>
        <n v="6519"/>
        <n v="6373"/>
        <n v="6486"/>
        <n v="6380"/>
        <n v="6531"/>
        <n v="6347"/>
        <n v="6434"/>
        <n v="6359"/>
        <n v="6471"/>
        <n v="6348"/>
        <n v="6523"/>
        <n v="6545"/>
        <n v="6196"/>
        <n v="6526"/>
        <n v="6521"/>
        <n v="6564"/>
      </sharedItems>
    </cacheField>
    <cacheField name="Meses" numFmtId="0" databaseField="0">
      <fieldGroup base="14">
        <rangePr groupBy="months" startDate="1970-05-15T00:00:00" endDate="2014-09-23T00:00:00"/>
        <groupItems count="14">
          <s v="&lt;15-05-1970"/>
          <s v="jan"/>
          <s v="fev"/>
          <s v="mar"/>
          <s v="abr"/>
          <s v="mai"/>
          <s v="jun"/>
          <s v="jul"/>
          <s v="ago"/>
          <s v="set"/>
          <s v="out"/>
          <s v="nov"/>
          <s v="dez"/>
          <s v="&gt;23-09-2014"/>
        </groupItems>
      </fieldGroup>
    </cacheField>
    <cacheField name="Anos" numFmtId="0" databaseField="0">
      <fieldGroup base="14">
        <rangePr groupBy="years" startDate="1970-05-15T00:00:00" endDate="2014-09-23T00:00:00"/>
        <groupItems count="47">
          <s v="&lt;15-05-1970"/>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gt;23-09-201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João  Pocinho" refreshedDate="42100.676522569447" createdVersion="3" refreshedVersion="4" minRefreshableVersion="3" recordCount="1470" xr:uid="{00000000-000A-0000-FFFF-FFFF01000000}">
  <cacheSource type="worksheet">
    <worksheetSource name="DADOS" r:id="rId2"/>
  </cacheSource>
  <cacheFields count="52">
    <cacheField name="ID" numFmtId="0">
      <sharedItems containsString="0" containsBlank="1" containsNumber="1" containsInteger="1" minValue="1" maxValue="1470"/>
    </cacheField>
    <cacheField name="Nº" numFmtId="0">
      <sharedItems containsString="0" containsBlank="1" containsNumber="1" containsInteger="1" minValue="1" maxValue="84" count="6">
        <m/>
        <n v="1"/>
        <n v="2"/>
        <n v="14"/>
        <n v="10"/>
        <n v="84"/>
      </sharedItems>
    </cacheField>
    <cacheField name="PRODUTOR / BENEFICIÁRIO" numFmtId="0">
      <sharedItems containsBlank="1" count="233">
        <s v="Alfama Films"/>
        <s v="Animais"/>
        <s v="Animanostra"/>
        <s v="Animegas"/>
        <s v="Bando à Parte"/>
        <s v="Black Maria"/>
        <s v="C.R.I.M."/>
        <s v="Ciclope Filmes"/>
        <s v="Cinemate"/>
        <s v="David &amp; Golias"/>
        <s v="Fado Filmes"/>
        <s v="Faux"/>
        <s v="Fernando Matos Silva"/>
        <s v="Filmes do Tejo II"/>
        <s v="Filmógrafo"/>
        <s v="George Felner"/>
        <s v="João Canijo"/>
        <s v="Lx Filmes"/>
        <s v="Midas Filmes"/>
        <s v="MGN Filmes"/>
        <s v="Miguel Clara Vasconcelos"/>
        <s v="Modo Múltiplo"/>
        <s v="Optec"/>
        <s v="O Som e a Fúria"/>
        <s v="Periferia Filmes"/>
        <s v="Persona Non Grata Pictures"/>
        <s v="Pilot Design"/>
        <s v="Possidónio Cachapa"/>
        <s v="Real Ficção"/>
        <s v="Rosa Filmes"/>
        <s v="Sardinha em Lata"/>
        <s v="Stopline Films"/>
        <s v="Terratreme Filmes"/>
        <s v="Toonelada"/>
        <s v="AS Produções"/>
        <s v="Bollywood Pictures"/>
        <s v="Bookcase"/>
        <s v="Duplacena"/>
        <s v="Filmes Liberdade"/>
        <s v="Gafanha Filmes"/>
        <s v="Papaveronoir"/>
        <s v="Take 2000"/>
        <s v="Ukbar Filmes"/>
        <s v="Virtual"/>
        <s v="Zeppelin Filmes"/>
        <s v="VC Filmes"/>
        <s v="Hora Mágica"/>
        <s v="Ar de Filmes"/>
        <s v="Bosque Secreto"/>
        <s v="Alambique Filmes"/>
        <s v="Leopardo Filmes"/>
        <s v="Lanterna de Pedra"/>
        <s v="Clap Filmes"/>
        <s v="V.C. Multimédia"/>
        <s v="Cineclube de Faro"/>
        <s v="Cineclube de Joane"/>
        <s v="Cineclube de Tavira"/>
        <s v="Cineclube do Porto"/>
        <s v="Fila K Cineclube"/>
        <s v="ABC Cine-Clube de Lisboa"/>
        <s v="Cine Clube de Viseu"/>
        <s v="Cineclube da Feira"/>
        <s v="Cineclube da Horta"/>
        <s v="Cineclube de Guimarães"/>
        <s v="Cineclube de Tomar"/>
        <s v="Cineclube de Vila do Conde"/>
        <s v="Cineclube de Torres Novas"/>
        <s v="Cine-Clube de Avanca"/>
        <s v="Cineclube de Aveiro"/>
        <s v="Cineclube de Santarém"/>
        <s v="Milímetro"/>
        <s v="Palha de Abrantes"/>
        <s v="Os Filhos de Lumière"/>
        <s v="Ao Norte"/>
        <s v="S.O.I-R. Joaquim António De Aguiar"/>
        <s v="Medeia Filmes"/>
        <s v="Nascente"/>
        <s v="Emcr Seia Ep"/>
        <s v="Curtas Metragens CRL"/>
        <s v="APORDOC"/>
        <s v="Cinema Novo"/>
        <s v="Fest"/>
        <s v="Janela Indiscreta"/>
        <s v="Zero Em Comportamento"/>
        <s v="Triaxis"/>
        <s v="CTLX"/>
        <s v="CEC/AAC"/>
        <s v="FEST - Associação Cultural"/>
        <s v="Associação Meridional de Cultura"/>
        <s v="Associação Ludotecas do Porto"/>
        <s v="ESMAE"/>
        <s v="UCP"/>
        <s v="CESAP"/>
        <s v="UBI"/>
        <s v="ESTC"/>
        <s v="COFAC/ULHT"/>
        <s v="IPL"/>
        <s v="UNL"/>
        <s v="Casa da Animação"/>
        <s v="FPCC"/>
        <s v="APC"/>
        <s v="Alce Filmes"/>
        <s v="João Nisa Produções "/>
        <s v="Suma Filmes"/>
        <s v="No Land"/>
        <s v="Barca13"/>
        <s v="Trevi Filmes"/>
        <s v="Vende-se Filmes"/>
        <s v="Mutual Respect"/>
        <m/>
        <s v="Jumpcut"/>
        <s v="Camilo Azevedo"/>
        <s v="D&amp;D"/>
        <s v="Maria Moreira da Silva"/>
        <s v="Produções Off"/>
        <s v="Sp Filmes, Lda"/>
        <s v="Atalanta Filmes"/>
        <s v="Opticalprint"/>
        <s v="Madragoa Filmes, SA"/>
        <s v="AVTE - Associação de Vídeo e Televisão Experimental"/>
        <s v="Elias Mocavela"/>
        <s v="APAD - Associação Portuguesa De Argumentistas E Dramaturgos"/>
        <s v="Escola Soares dos Reis"/>
        <s v="Ambar Filmes"/>
        <s v="Gomtch Gomtch"/>
        <s v="Filmes do Gajo"/>
        <s v="Kintop"/>
        <s v="Costa Do Castelo"/>
        <s v="J.C. Oliveira, Lda"/>
        <s v="Solveig Nordlund"/>
        <s v="FF Filmesfundo"/>
        <s v="Vo'arte"/>
        <s v="Laranja Azul"/>
        <s v="Lucinda Filmes"/>
        <s v="Pedro Éfe Filmes e Vídeo"/>
        <s v="HOP!"/>
        <s v="Artistas Unidos"/>
        <s v="Contracosta"/>
        <s v="Portoimagem"/>
        <s v="Luz e Sombra"/>
        <s v="Open Space Studio"/>
        <s v="Take It Easy"/>
        <s v="Amatar Filmes"/>
        <s v="António Maltez"/>
        <s v="Unforgiven"/>
        <s v="Raiva"/>
        <s v="Iniziomédia"/>
        <s v="Oficina de Filmes"/>
        <s v="Utopia Filmes"/>
        <s v="O Pato Profissional"/>
        <s v="Andar Filmes"/>
        <s v="FBF Filmes"/>
        <s v="Tangarina Azul"/>
        <s v="Insectos"/>
        <s v="Filmebase"/>
        <s v="Amatar"/>
        <s v="Continentalfilmes"/>
        <s v="Mediterrânea"/>
        <s v="Luís da Matta Almeida"/>
        <s v="Appia Filmes"/>
        <s v="OH Produções"/>
        <s v="Cordaseca"/>
        <s v="Alfândega Filmes"/>
        <s v="Fábula Filmes"/>
        <s v="Filbox"/>
        <s v="Luba Filmes"/>
        <s v="Nanook"/>
        <s v="Videamus"/>
        <s v="Fábrica de Imagens"/>
        <s v="39 Degraus"/>
        <s v="Pop Fiction"/>
        <s v="Animo Leve"/>
        <s v="Abre-te Césamo"/>
        <s v="Mega T"/>
        <s v="Filmes do Tejo"/>
        <s v="Animatógrafo II"/>
        <s v="Dois Gumes"/>
        <s v="Cinequanon"/>
        <s v="Freeze Filmes"/>
        <s v="Sílvia Pinto Coelho"/>
        <s v="Lightbox"/>
        <s v="Curtas &amp; Longas"/>
        <s v="Rui Vilhena"/>
        <s v="Helena Amaral"/>
        <s v="Mário de Carvalho"/>
        <s v="Inês Carvalho da Silva"/>
        <s v="Europa 7"/>
        <s v="Luís Galvão Telles"/>
        <s v="Outsider Films"/>
        <s v="ZonLusomundo Audiovisuais"/>
        <s v="Plano Obrigatório"/>
        <s v="Associação Académica de Coimbra - Centro de Estudos Cinematográficos (CEC/AAC)"/>
        <s v="Cineclube da Maia"/>
        <s v="Praça Filmes"/>
        <s v="Sparkle Animation"/>
        <s v="Pickle Films"/>
        <s v="Três Vintens"/>
        <s v="Happygénico"/>
        <s v="Luís Mário Lopes"/>
        <s v="Miguel Gonçalves Mendes"/>
        <s v="Festroia"/>
        <s v="Presente, Lda."/>
        <s v="Chiaroscuro"/>
        <s v="Zootrópico"/>
        <s v="FICA"/>
        <s v="Cooperativa Cinema Jovem"/>
        <s v="ZOOM - Associação Cultural"/>
        <s v="Instituto Açoreano de Cultura"/>
        <s v="ACERT"/>
        <s v="Cineclube de Amarante"/>
        <s v="Associação Nova Cultura da Água"/>
        <s v="Delegação Regional de Educação do Algarve"/>
        <s v="Associação Cineclube de Olhão"/>
        <s v="Cineclube de Fafe"/>
        <s v="Cineclube de Olhão"/>
        <s v="Morraceira"/>
        <s v="Legendmain Filmes"/>
        <s v="Cinecool"/>
        <s v="Vendetta Filmes"/>
        <s v="Porto Post Doc"/>
        <s v="Associção INDIE"/>
        <s v="Primeira Idade"/>
        <s v="Instituto Politécnico de Portalegre"/>
        <s v="Instituto Politécnico de Tomar"/>
        <s v="UTAD"/>
        <s v="BA Filmes"/>
        <s v="Individeos"/>
        <s v="NOS Lusomundo Audiovisuais"/>
        <s v="Zêzere"/>
        <s v="Roughcut"/>
        <s v="Cine Clube de Torres Novas" u="1"/>
        <s v="ESAP" u="1"/>
        <s v="Ul" u="1"/>
      </sharedItems>
    </cacheField>
    <cacheField name="PROJETO" numFmtId="0">
      <sharedItems containsBlank="1" containsMixedTypes="1" containsNumber="1" containsInteger="1" minValue="4" maxValue="48" count="1113">
        <s v="Operação Outono"/>
        <s v="Linhas de Wellington"/>
        <s v="Sanguetinta"/>
        <s v="O Canto dos 4 Caminhos"/>
        <s v="Portugal Pequenino"/>
        <s v="Figurões"/>
        <s v="Fado na Noite"/>
        <s v="A Minha Casinha"/>
        <s v="&quot;M&quot;"/>
        <s v="Carrotrope"/>
        <s v="Outro Homem Qualquer"/>
        <s v="O Cinema Morreu!"/>
        <s v="Blackout"/>
        <s v="Manhã de Santo António"/>
        <s v="O Nylon da Minha Aldeia"/>
        <s v="O Que Arde Cura"/>
        <s v="O Ornitólogo"/>
        <s v="Outras Cartas ou o Amor Inventado"/>
        <s v="Grande Hotel"/>
        <s v="Amanhecer a Andar"/>
        <s v="Lembra-me"/>
        <s v="Kali, o Pequeno Vampiro"/>
        <s v="Histórias de Alice"/>
        <s v="Aqui a Batalha de Yaguajay - Sobreviventes"/>
        <s v="Atlântico Pardo"/>
        <s v="Não Esquecerás"/>
        <s v="Onde Tá a Tia? (Crossover)"/>
        <s v="A Morte Definitiva de Lázaro"/>
        <s v="Quase Memória"/>
        <s v="Bobô"/>
        <s v="Cigano"/>
        <s v="Gelo"/>
        <s v="Insensíveis"/>
        <s v="Rosenberg-Loridan-Ivens"/>
        <s v="O Meu Avô Republicano"/>
        <s v="Sob o Olhar Silencioso"/>
        <s v="Yvone Kane"/>
        <s v="Montanha"/>
        <s v="Blind Watching"/>
        <s v="Quatro"/>
        <s v="Só"/>
        <s v="Foi o Fio"/>
        <s v="A Pedra Branca"/>
        <s v="Fátima"/>
        <s v="Cadjique"/>
        <s v="O Antropomorfo"/>
        <s v="Guia de Portugal"/>
        <s v="Quarta Divisão"/>
        <s v="Os Gatos Não Têm Vertigens"/>
        <s v="Voz"/>
        <s v="Vígil"/>
        <s v="Cem Mil Cigarros"/>
        <s v="Tabu"/>
        <s v="Campo de Flamingos Sem Flamingos"/>
        <s v="Entrecampos"/>
        <s v="Gambozinos"/>
        <s v="O Casamento do Nosso Director"/>
        <s v="O Gebo e a Sombra"/>
        <s v="Sinais de Serenidade Por Coisas Sem Sentido"/>
        <s v="Cartas de Guerra"/>
        <s v="O Coveiro"/>
        <s v="Actant"/>
        <s v="O Tesouro"/>
        <s v="Vazante"/>
        <s v="Raquel Silvestre, a Pastora"/>
        <s v="O Gigante"/>
        <s v="Materna Doçura"/>
        <s v="Guerra ou Paz "/>
        <s v="Bafatá Filme Clube"/>
        <s v="João Bénard da Costa"/>
        <s v="Papel de Natal"/>
        <s v="A Montanha"/>
        <s v="O Último Animal"/>
        <s v="Lacrau"/>
        <s v="Revolução Industrial"/>
        <s v="As Cidades e as Trocas"/>
        <s v="A Cidade e o Sol"/>
        <s v="Fábrica de Nada: Entre Cinzeiros e Robots"/>
        <s v="Ruy e a Viagem às Índias"/>
        <s v="Em Câmara Lenta"/>
        <s v="O Refugiado"/>
        <s v="Mulher Sombra"/>
        <s v="Alasca"/>
        <s v="Barba"/>
        <s v="A Última Vez Que Vi Macau"/>
        <s v="Guerra Civil"/>
        <s v="Valsa"/>
        <s v="Alex e Liliane"/>
        <s v="Poesia de Segunda Categoria"/>
        <s v="A Vossa Casa"/>
        <s v="Em Segunda Mão"/>
        <s v="O Grande Kilapy"/>
        <s v="A Tempestade"/>
        <s v="No Meu Lugar"/>
        <s v="O País do Desejo"/>
        <s v="As Doze Estrelas"/>
        <s v="A Minha Banda e Eu"/>
        <s v="A República di Mininus"/>
        <s v="Luz da Manhã"/>
        <s v="Rafa"/>
        <s v="Se Eu Fosse Ladrão…Roubava"/>
        <s v="Capitães da Areia"/>
        <s v="Trabalho de Actriz, Trabalho de Actor"/>
        <s v="A Espada e a Rosa"/>
        <s v="As Ondas"/>
        <s v="Solo"/>
        <s v="A Batalha de Tabatô"/>
        <s v="A Vida do Avesso"/>
        <s v="Não Há Rosas Sem Espinhos"/>
        <s v="Linha Vermelha"/>
        <s v="Crónica Parisiense"/>
        <s v="J.A.C.E."/>
        <s v="Contraluz"/>
        <s v="O Cágado"/>
        <s v="Cruzes de Guerra"/>
        <s v="A Morte de Carlos Gardel"/>
        <s v="A Nau Catrineta"/>
        <s v="África Abençoada"/>
        <s v="Carisma Imbecil"/>
        <s v="Florbela, o Filme "/>
        <s v="Night Train to Lisbon"/>
        <s v="Getúlio"/>
        <s v="A DEFINIR PELA PRODUTORA"/>
        <s v="FP-25"/>
        <s v="A Religiosa Portuguesa"/>
        <s v="Índice Médio de Felicidade"/>
        <s v="O Sonho Americano"/>
        <s v="A Amiga Feia"/>
        <s v="O Homem da Casa"/>
        <s v="I'm Not Here"/>
        <s v="Distribuição 6 CM -MY MUSIC-VACAS-PICKPOCKET-A ÚNICA VEZ -ALGO IMPORTANTE-PAISAGEM URBANA.. "/>
        <s v="O Inimigo Sem Rosto"/>
        <s v="Dotcom"/>
        <s v="O Último Voo do Flamingo"/>
        <s v="5 DOCUMENTÁRIOS PORTUGUESES"/>
        <s v="DISTRIBUIÇÃO DE 7 OBRAS DE CINEMATOGRAFIAS MENOS DIFUNDIDAS"/>
        <s v="DISTRIBUIÇÃO DE OBRAS MENOS DIFUNDIDAS"/>
        <s v="DISTRIBUIÇÃO DE 6 OBRAS MENOS DIFUNDIDAS"/>
        <s v="PROJECTO DE DISTRIBUIÇÃO LANTERNA DE PEDRA FILMES"/>
        <s v="OBRAS MENOS DIFUNDIDAS - CANDIDATURA AGOSTO 2010"/>
        <s v="PACOTE DE FILMES DE CINEMATOGRAFIA MENOS DIFUNDIDA"/>
        <s v="REDE 2011 - CINECLUBE DE FARO"/>
        <s v="REDE 2011 - CINECLUBE DE JOANE"/>
        <s v="REDE 2011 - CINECLUBE DE TAVIRA"/>
        <s v="REDE 2011 - CINECLUBE DO PORTO"/>
        <s v="REDE 2011 - FILA K CINECLUBE"/>
        <s v="REDE 2011 - ABC 60 ANOS DE FILMES - PARTE II"/>
        <s v="REDE 2011 - CINE CLUBE DE VISEU"/>
        <s v="REDE 2011 - CINECLUBE DA FEIRA "/>
        <s v="REDE 2011 - CINECLUBE DA HORTA"/>
        <s v="REDE 2011 - CINECLUBE DE GUIMARÃES"/>
        <s v="REDE 2011 - CINECLUBE DE TOMAR "/>
        <s v="REDE 2011 - CINECLUBE DE VILA DO CONDE"/>
        <s v="REDE 2011 - CINEMA ÀS QUARTAS"/>
        <s v="REDE 2011 - CINEMA EM AVANCA ESTARREJA"/>
        <s v="REDE 2011 - CINEMA EM AVEIRO"/>
        <s v="REDE 2011 - CINEMA NO SÁ"/>
        <s v="REDE 2011 - MILÍMETRO "/>
        <s v="REDE 2011 - O OUTRO CINEMA"/>
        <s v="REDE 2011 - OS CINEASTAS E O CINEMA"/>
        <s v="REDE 2011 - SESSÕES CINECLUBISTAS"/>
        <s v="REDE 2011 - SOIR"/>
        <s v="CINEMA KING - SALA 1"/>
        <s v="CINEMA KING - SALA 2"/>
        <s v="CINEMA KING - SALA 3"/>
        <s v="CINEMA MONUMENTAL - SALA 1"/>
        <s v="CINEMA MONUMENTAL - SALA 3"/>
        <s v="CINEMA SALDANHA RESIDENCE - SALA 1"/>
        <s v="AVANCA 2012/2013/2014"/>
        <s v="CINANIMA 2011/2012/2013 - FESTIVAL INTERNACIONAL DE CINEMA DE ANIMAÇÃO DE ESPINHO "/>
        <s v="CINE'ECO 2010"/>
        <s v="CURTAS VILA DO CONDE 2011/2012/2013 - FESTIVAL INTERNACIONAL DE CINEMA"/>
        <s v="DOCLISBOA 2011/2012/2013"/>
        <s v="ESTORIL FILM FESTIVAL 2012/2013/2014"/>
        <s v="FANTASPORTO 2011/2012/2013 - FESTIVAL INTERNACIONAL DE CINEMA DO PORTO"/>
        <s v="FEST - FESTIVAL INTERNACIONAL CINEMA JOVEM 2012/2013/2014"/>
        <s v="QUEER LISBOA - FESTIVAL DE CINEMA GAY LÉSBICO DE LISBOA 2012/2013/2014"/>
        <s v="FESTIVAL TEMPS D'IMAGES - 2012/2013/2014"/>
        <s v="FESTIVAL TEMPS D'IMAGES 2009-2011"/>
        <s v="FIKE - FESTIVAL INTERNACIONAL DE CURTAS METRAGENS DE ÉVORA"/>
        <s v="FIKE - FESTIVAL INTERNACIONAL DE CURTAS-METRAGENS 2012/2013/2014"/>
        <s v="INDIELISBOA 2011/2012/2013 - FESTIVAL INTERNACIONAL DE CINEMA INDEPENDENTE"/>
        <s v="MONSTRA 2011/2012/2013 - FESTIVAL DE ANIMAÇÃO DE LISBOA "/>
        <s v="MOTELX - FESTIVAL INTERNACIONAL DE CINEMA DE TERROR DE LISBOA 2012/2013/2014"/>
        <s v="QUEER LISBOA - FESTIVAL DE CINEMA GAY E LÉSBICO DE LISBOA"/>
        <s v="CAMINHOS DO CINEMA PORTUGUÊS "/>
        <s v="CAMINHOS DO CINEMA PORTUGUÊS XIX - 2012"/>
        <s v="FAIAL FILMES FEST - AZORES FILM FESTIVAL - 2012"/>
        <s v="FAIAL FILMES FEST - AZORES SHORT FILM FESTIVAL"/>
        <s v="FEST - FESTIVAL INTERNACIONAL CINEMA JOVEM ESPINHO"/>
        <s v="MOTELX 2011- FESTIVAL INTERNACIONAL DE CINEMA DE LISBOA"/>
        <s v="Alvorada Vermelha"/>
        <s v="Conto do Vento"/>
        <s v="Deste Lado da Ressurreição"/>
        <s v="Mercúrio"/>
        <s v="O Barão"/>
        <s v="O Inferno"/>
        <s v="O Que Há de Novo no Amor?"/>
        <s v="Sem Companhia"/>
        <s v="Viagem a Portugal"/>
        <s v="Zoo"/>
        <s v="Candy Riot"/>
        <s v="CINEMA CINEMA"/>
        <s v="CINEMA, CEM ANOS DE JUVENTUDE"/>
        <s v="CINEMA, CINEMA 02"/>
        <s v="ESCOLAS EM GRANDE PLANO"/>
        <s v="FORMAÇÃO EM CINEMA DE ANIMAÇÃO 2011 - 2013"/>
        <s v="O MUNDO MÁGICO DO CINEMA"/>
        <s v="O PRIMEIRO OLHAR - OFICINA DE INICIAÇÃO AO CINEMA PELA PRÁTICA"/>
        <s v="PROJECTO CINEMA PARA AS ESCOLAS "/>
        <s v="SABER E FAZER CINEMA"/>
        <s v="Tudo Tem um Nome, Porquê?"/>
        <s v="A CULPA É DO SISTEMA - ESCOLA SUPERIOR DE MÚSICA E ARTES DO ESPECTÁCULO - IPP"/>
        <s v="ARTUR - UNIVERSIDADE CATÓLICA DO PORTO"/>
        <s v="Castle of Myself"/>
        <s v="VIDA TRAMADA - UNIVERSIDADE DA BEIRA INTERIOR"/>
        <s v="PROTOCOLO ICA / ESCOLA SUPERIOR ARTÍSTICA DO PORTO 2010/2013"/>
        <s v="PROTOCOLO ICA / ESCOLA SUPERIOR DE TEATRO E CINEMA 2010/2013"/>
        <s v="PROTOCOLO ICA / UNIVERSIDADE CATÓLICA DO PORTO -  ESCOLA DE ARTES 2010/2013"/>
        <s v="PROTOCOLO ICA / UNIVERSIDADE DA BEIRA INTERIOR 2010/2013"/>
        <s v="PROTOCOLO ICA / UNIVERSIDADE LUSÓFONA 2010/2013"/>
        <s v="PROTOCOLO ICA /INST. POLITÉC. LEIRIA - ESCOLA SUPERIOR DE ARTE E DESIGN DAS CALDAS DA RAINHA 2010/13"/>
        <s v="PROTOCOLO ICA/ESC. SUP.MÚSICA ARTES DO ESPECT INSTITUTO POLICTÉNICO DO PORTO -2010/2013"/>
        <s v="PROTOCOLO ICA / FCSH da UNIVERSIDADE NOVA DE LISBOA 2007/2010"/>
        <s v="CASA DA ANIMAÇÃO - APOIO AO PLANO DE ACTIVIDADES DE 2011"/>
        <s v="AGÊNCIA DA CURTA METRAGEM - APOIO AO PLANO DE ACTIVIDADES DE 2011"/>
        <s v="APORDOC - APOIO AO PLANO DE ACTIVIDADES DE 2011"/>
        <s v="Apoio Financeiro à Federação Portuguesa de Cineclubes"/>
        <s v="PROTOCOLO APC 2011"/>
        <s v="Florbela, o Filme  "/>
        <s v="Quinze Pontos na Alma"/>
        <s v="Cisne"/>
        <s v="Efeitos Secundários"/>
        <s v="53 Cartas"/>
        <s v="A Imagem"/>
        <s v="A Vingança de Uma Mulher"/>
        <s v="Lianor"/>
        <s v="O Céu de Suely"/>
        <s v="O Cônsul de Bordéus"/>
        <s v="O Jogo"/>
        <s v="Samba Que Mora em Mim"/>
        <s v="A Arca do Éden"/>
        <s v="A Nossa Forma de Vida"/>
        <s v="A Song For a Prostitute"/>
        <s v="Cartas de Angola"/>
        <s v="É na Terra Não É na Lua"/>
        <s v="E o Tempo Passa"/>
        <s v="Nada Fazi"/>
        <s v="O Manuscrito Perdido de Fradique Mendes"/>
        <s v="Orquestra Geração"/>
        <s v="Por Aqui Tudo Bem"/>
        <s v="Quem Vai À Guerra"/>
        <s v="Arena"/>
        <s v="Alfama"/>
        <s v="Li Ké Terra"/>
        <s v="Onde Está Wakasa"/>
        <s v="Liberdade"/>
        <s v="Palácios de Pena"/>
        <s v="Universo de Mya"/>
        <s v="Traces of a Diary"/>
        <s v="A History of a Mutual Respect"/>
        <s v="Sangue do Meu Sangue"/>
        <s v="América"/>
        <s v="Nuvem"/>
        <s v="Verão Invencível"/>
        <s v="3 CM - DODU, O BALÃO, O SAPATEIRO, VIAGEM A CABO VERDE"/>
        <s v="CONCURSO"/>
        <s v="O Estranho Caso de Angélica"/>
        <s v="Quero Ser Uma Estrela"/>
        <s v="Embargo"/>
        <s v="Marginais"/>
        <s v="José e Pilar"/>
        <s v="PROTOCOLO ICA / FCSH da UNIVERSIDADE NOVA DE LISBOA 2010/2013"/>
        <s v="Rio de Prata"/>
        <s v="A Drogaria"/>
        <s v="João"/>
        <s v="Entre Nós"/>
        <s v="Afro Lisboa"/>
        <s v="As Linhas de Torres"/>
        <s v="APOIO FINANCEIRO À EDIÇÃO INTEGRAL DA OBRA DE JOSÉ ÁLVARO MORAIS EM DVD"/>
        <s v="Desinquietações II"/>
        <s v="Noite Escura"/>
        <s v="FESTIVAL INTERNACIONAL DO FILME DE DIVULGAÇÃO CIENTÍFICA - TELECIÊNCIA 2005"/>
        <s v="FESTIVAL MOSTRA DE CINEMA AFRICANO"/>
        <s v="CINECLUBE DE TORRES NOVAS - REDE DE EXIBIÇÃO ALTERNATIVA"/>
        <s v="REDE 2010 - CINECLUBE DA HORTA"/>
        <s v="DE ECRÃ PARA ECRÃ"/>
        <s v="PRODUÇÃO DE FILMES PELOS ALUNOS E REALIZAÇÃO DE ACÇÕES DE FORMAÇÃO"/>
        <s v="Eden"/>
        <s v="Licínio de Azevedo - Crónicas de Moçambique"/>
        <s v="Kolá San Jon É Festa Di Kau Berdi"/>
        <s v="Em Trânsito - José Pedro Croft"/>
        <s v="Mazagão, a Água Que Volta"/>
        <s v="Regresso às Aulas"/>
        <s v="Do Céu e da Terra"/>
        <s v="Fado do Homem Crescido"/>
        <s v="Independência de Espírito"/>
        <s v="My Music"/>
        <s v="Quem É Este Chapéu?"/>
        <s v="Sem Querer"/>
        <s v="Brincarolas"/>
        <s v="Ginjas"/>
        <s v="Vamos Cantar"/>
        <s v="Saltinhos"/>
        <s v="A Divisão Social do Trabalho Segundo Adam Smith"/>
        <s v="Impunidades Criminosas"/>
        <s v="O Dia Mais Feliz da Tua Vida"/>
        <s v="O Vôo da Papoila"/>
        <s v="Estrada de Palha"/>
        <s v="Margarida"/>
        <s v="Paixão"/>
        <s v="Sangue do Meu Sangue "/>
        <s v="John From"/>
        <s v="Tristes Monroes"/>
        <s v="Miel de Naranjas"/>
        <s v="As Ondas de Abril"/>
        <s v="Os Senhores do Areal"/>
        <s v="Alipio"/>
        <s v="Costa dos Esqueletos"/>
        <s v="Chatear-me-ia Morrer Tão Joveeeeem…"/>
        <s v="O Meu Cata-Vento"/>
        <s v="Amélia e Duarte"/>
        <s v="A Casa ou a máquina de habitar"/>
        <s v="Fuligem"/>
        <s v="Ana (Um Palíndromo)"/>
        <s v="Tio Tomás e a Contabilidade dos Dias"/>
        <s v="Dom Fradique"/>
        <s v="Garatujo"/>
        <s v="A Lenda de Kong Kit, o Gangster de Macau"/>
        <s v="A Gruta de Darwin"/>
        <s v="O Medo à Espreita"/>
        <s v="Fazenda Tentativa"/>
        <s v="Outra Forma de Luta"/>
        <s v="Campo"/>
        <s v="Um Filme de Coragem"/>
        <s v="Tara Gandhi"/>
        <s v="A Bela e o Paparazzo"/>
        <s v="Budapeste"/>
        <s v="Dores e Amores "/>
        <s v="Filme do Desassossego"/>
        <s v="Mistérios de Lisboa"/>
        <s v="João Garcia"/>
        <s v="Saudade"/>
        <n v="4"/>
        <s v="A Assassina Pacional Está Louca!"/>
        <s v="A Ria, a Água, o Homem…"/>
        <s v="Agarrado à Rocha"/>
        <s v="Amor Cego"/>
        <s v="Angst"/>
        <s v="As Horas do Douro"/>
        <s v="Como as Serras Crescem"/>
        <s v="Directo"/>
        <s v="E Se…"/>
        <s v="Ema &amp; Gui"/>
        <s v="Entre o Norte e o Sul"/>
        <s v="Foxy &amp; Meg"/>
        <s v="Há Tourada na Aldeia"/>
        <s v="Ilha da Cova da Moura"/>
        <s v="Lisboa-Província"/>
        <s v="Luz Obscura"/>
        <s v="Luz Teimosa"/>
        <s v="Memória de Cão"/>
        <s v="Na Escola"/>
        <s v="O Homem da Cabeça de Papelão"/>
        <s v="O Incêndio"/>
        <s v="Os Milionários"/>
        <s v="Pelas Sombras"/>
        <s v="Pickpocket"/>
        <s v="Retornos"/>
        <s v="Rosto"/>
        <s v="R-XYZ"/>
        <s v="Café"/>
        <s v="Satélites"/>
        <s v="Segredos"/>
        <s v="Senhor X"/>
        <s v="Tóbis Portuguesa"/>
        <s v="Todos Iguais a Dormir"/>
        <s v="Vacas"/>
        <s v="Viagem a Cabo Verde"/>
        <s v="Voodoo"/>
        <s v="Duas Mulheres"/>
        <s v="Desassossego"/>
        <s v="Voa Voa, Num Prédio de Lisboa"/>
        <s v="Como Desenhar Um Círculo Perfeito/How to Draw a Perfect Circle"/>
        <s v="O Meu Pai"/>
        <s v="Nuit de Chien"/>
        <s v="Noite de S. João"/>
        <s v="Kinotel"/>
        <s v="João Sem Medo"/>
        <s v="A Única Vez"/>
        <s v="Algo Importante"/>
        <s v="Mi Vida en Tus Manos"/>
        <s v="O Homem do Realejo"/>
        <s v="Pássaros"/>
        <s v="Passeio de Domingo"/>
        <s v="Um Degrau Pode Ser Um Mundo"/>
        <s v="Um Gato Sem Nome"/>
        <s v="As Máquinas de Maria"/>
        <s v="Sem Companhia Além do Medo"/>
        <s v="Estrela do Guadiana"/>
        <s v="Para Que Este Mundo Não Acabe"/>
        <s v="António Sena a Mão Esquiva"/>
        <s v="Paul, o Meu Tio da América"/>
        <s v="A Meio da Noite"/>
        <s v="Os Olhos do Farol"/>
        <s v="A Esperança Está Onde Menos Se Espera"/>
        <s v="Águas Mil"/>
        <s v="Assalto a Santa Maria"/>
        <s v="Bazar"/>
        <s v="Cinerama"/>
        <s v="Morrer Como Um Homem"/>
        <s v="Os Sorrisos do Destino"/>
        <s v="Singularidades de Uma Rapariga Loira"/>
        <s v="O Acidente"/>
        <s v="Arca d'Água"/>
        <s v="Auto do Cordeiro "/>
        <s v="Canção de Amor e Saúde"/>
        <s v="Castelos no Ar"/>
        <s v="Dia Triunfal"/>
        <s v="O Espelho Lento"/>
        <s v="Perdida Mente"/>
        <s v="Tony"/>
        <s v="Um Roupão Vermelho Sangue"/>
        <n v="48"/>
        <s v="A Cidade dos Mortos"/>
        <s v="Dundo, Memória Colonial"/>
        <s v="Fantasia Lusitana"/>
        <s v="Muitos Dias Tem o Mês"/>
        <s v="Mãe Fátima"/>
        <s v="Ne Change Rien"/>
        <s v="El Justiceiro"/>
        <s v="O Pão dos Justos"/>
        <s v="Fados"/>
        <s v="A Fábrica de Nada"/>
        <s v="Cândido, ou o Optimismo no Amor, no Cinema e Em Terramotos"/>
        <s v="O Voo da Galinha Pedrês"/>
        <s v="O Sapateiro"/>
        <s v="Guisado de Galinha"/>
        <s v="Red Cross"/>
        <s v="Terapia da Chave"/>
        <s v="Angelina Vidal, Mulher e Cidadã"/>
        <s v="Polaris"/>
        <s v="O Bairro"/>
        <s v="Ana Vieira - Filmar o Invisível"/>
        <s v="Pedaço de Terra"/>
        <s v="O Medo"/>
        <s v="A Valsa - Poema Coreográfico"/>
        <s v="Iec Long"/>
        <s v="Coro dos Amantes"/>
        <s v="Rei Inútil"/>
        <s v="Ponto Morto"/>
        <s v="Luminita"/>
        <s v="A Crise Global do Sistema Financeiro"/>
        <s v="Cinzas e Brazas"/>
        <s v="Bela Vista, um Fim de Mundo"/>
        <s v="Cão Procura Cadela. Mulher Procura Cão. Homem Procura Mulher"/>
        <s v="Provas, Exorcismos"/>
        <s v="João e o Pesadelo de João"/>
        <s v="Era Uma Vez o Cinema"/>
        <s v="Sombra Branca"/>
        <s v="Fado e Fantasmas"/>
        <s v="JSM por JSM: ou os Que Vieram Antes"/>
        <s v="Volta à Terra"/>
        <s v="A Toca do Lobo"/>
        <s v="A Corte do Norte"/>
        <s v="O Julgamento"/>
        <s v="Um Amor de Perdição"/>
        <s v="Call Girl"/>
        <s v="A Zona"/>
        <s v="Pedro Paramo"/>
        <s v="The Inner Life of Martin Frost"/>
        <s v="A Primeira Missa"/>
        <s v="Entre a Dor e o Nada"/>
        <s v="A Bela América"/>
        <s v="Entre os Dedos"/>
        <s v="Adeus, Até Amanhã Terra África"/>
        <s v="Visões de Madredeus"/>
        <s v="Álvaro Lapa: A Literatura"/>
        <s v="Ruas da Amargura"/>
        <s v="Vai Com o Vento"/>
        <s v="Diário de Uma Inspectora do Livro de Recordes"/>
        <s v="Cinema KING  - Sala 1"/>
        <s v="Cinema KING  - Sala 2"/>
        <s v="Cinema KING  - Sala 3"/>
        <s v="Cinema Monumental - Sala 2"/>
        <s v="Teatro do Campo Alegre"/>
        <s v="Além das Pontes"/>
        <s v="Diários Suspensos"/>
        <s v="As Crónicas de Polyaris"/>
        <s v="Silêncios do Olhar"/>
        <s v="The Man With a Box"/>
        <s v="Bê-Á-Bá"/>
        <s v="Eu Quero Ser"/>
        <s v="Mulher "/>
        <s v="Melodia Amarga"/>
        <s v="Januário e a Guerra"/>
        <s v="Dificilmente o que Habita Perto da Origem Abandona o Lugar"/>
        <s v="O Tapete Voador"/>
        <s v="Ruínas"/>
        <s v="Retrato de Inverno de Uma Paisagem Ardida"/>
        <s v="Crime Abismo Azul Remorso Físico"/>
        <s v="1 Motivo"/>
        <s v="A Visita"/>
        <s v="Alpha"/>
        <s v="A Casa da Montanha"/>
        <s v="A Felicidade"/>
        <s v="Paisagem Urbana Com Rapariga e Avião"/>
        <s v="Fantasia de Carnaval"/>
        <s v="A Rua"/>
        <s v="O Matricida"/>
        <s v="Meu Coelho Branco"/>
        <s v="Velocidade de Sedimentação"/>
        <s v="Aqua"/>
        <s v="Um Mundo Catita"/>
        <s v="Corações Plásticos"/>
        <s v="Dora"/>
        <s v="Arte de Roubar"/>
        <s v="Contrato"/>
        <s v="100 Volta"/>
        <s v="O Último Condenado À Morte"/>
        <s v="Veneno Cura"/>
        <s v="Aquele Querido Mês de Agosto"/>
        <s v="4 Copas"/>
        <s v="A Ilha dos Escravos"/>
        <s v="Todos os Passos"/>
        <s v="No Ponto Mais Alto da Lua"/>
        <s v="Cães Marinheiros"/>
        <s v="Zé Pimpão, o Acelera"/>
        <s v="Ossudo"/>
        <s v="Cândido"/>
        <s v="História de um Caramelo"/>
        <s v="Porca Miséria"/>
        <s v="A Religiosa II"/>
        <s v="In Silentiu"/>
        <s v="O Trabalho do Corpo"/>
        <s v="Blind Runner"/>
        <s v="U Omãi Qe Dava Pulus"/>
        <s v="As Duas Faces da Guerra"/>
        <s v="Paul Author"/>
        <s v="Sobre o Lado Esquerdo"/>
        <s v="Milú - A Menina da Rádio"/>
        <s v="Diva"/>
        <s v="EX"/>
        <s v="Côa - O Rio Das Mil Gravuras"/>
        <s v="A Ilha dos Meninos Perdidos"/>
        <s v="Odisseia"/>
        <s v="Manual do Sentimento Doméstico"/>
        <s v="Estação"/>
        <s v="Antes de Amanhã"/>
        <s v="O Senso dos Desatinados"/>
        <s v="Arquivo"/>
        <s v="Deus Não Quis"/>
        <s v="Instantes"/>
        <s v="Europa 2007"/>
        <s v="Procura-se Amigo"/>
        <s v="China, China"/>
        <s v="Sobe, Adensa, Esgarça, Desce"/>
        <s v="A Cura"/>
        <s v="The End"/>
        <s v="A Sereia"/>
        <s v="O Agente de Filipe II"/>
        <s v="Agora Tu"/>
        <s v="Dive: Approach and Exit"/>
        <s v="Cristóvão Colombo, o Inigma"/>
        <s v="Mal Nascida"/>
        <s v="O Capacete Dourado"/>
        <s v="Lobos"/>
        <s v="Suícidio Encomendado"/>
        <s v="Goodnight Irene"/>
        <s v="O Mistério da Estrada de Sintra"/>
        <s v="A Outra Margem"/>
        <s v="Daqui P'ra Frente"/>
        <s v="Turno da Noite"/>
        <s v="Stuart"/>
        <s v="Serão"/>
        <s v="Sem Dúvida... Amanhã"/>
        <s v="Selo ou não Sê-lo"/>
        <s v="O Sonho de Uma Noite de São João"/>
        <s v="O Pescador de Sonhos"/>
        <s v="Até ao Tecto do Mundo"/>
        <s v="Jantar em Lisboa"/>
        <s v="Histórias de Molero"/>
        <s v="Histórias a Passo de Cágado"/>
        <s v="As Aventuras do Patinho"/>
        <s v="A Noiva do Gigante"/>
        <s v="A Culpa"/>
        <n v="28"/>
        <s v="Um Pouco Mais Pequeno Que o Indiana"/>
        <s v="Sombras"/>
        <s v="Pátria Incerta"/>
        <s v="Pão Nosso"/>
        <s v="Olhar o Cinema Português"/>
        <s v="Movimentos Perpétuos"/>
        <s v="Margem Atlântica"/>
        <s v="Logo Existo"/>
        <s v="Goa"/>
        <s v="Ensaio Sobre o Teatro"/>
        <s v="Encontros"/>
        <s v="Drop"/>
        <s v="Diu"/>
        <s v="Damão"/>
        <s v="Concierges"/>
        <s v="Cartas a Uma Ditadura"/>
        <s v="Bubbles"/>
        <s v="Brava Dança"/>
        <s v="A Olhar o Mar"/>
        <s v="À Flor da Pele"/>
        <s v="A Festa"/>
        <s v="À Espera da Europa"/>
        <s v="Sangue Sobre Vermelho"/>
        <s v="Realce"/>
        <s v="Rapace"/>
        <s v="Primeiro Voo"/>
        <s v="Perímetro"/>
        <s v="O Caminho Perdido"/>
        <s v="O Beijo"/>
        <s v="Janelas Verdes"/>
        <s v="História Desgraçada"/>
        <s v="Estados da Matéria"/>
        <s v="Cowboys Na António Maria Cardoso"/>
        <s v="O Cânticos das Criaturas"/>
        <s v="Ao Fundo do Túnel"/>
        <s v="3 Caminheiros"/>
        <s v="20.13"/>
        <s v="Viúva Rica Solteira não Fica"/>
        <s v="Veneno da Madrugada"/>
        <s v="Transe"/>
        <s v="Terra Sonânbula"/>
        <s v="O Jardim do Outro Homem"/>
        <s v="L'Étrangére"/>
        <s v="La Vie Privée"/>
        <s v="La Caja - Quatro Mulheres e o Morto"/>
        <s v="Juventude em Marcha"/>
        <s v="Body Rice"/>
        <s v="Belle Toujours"/>
        <s v="Atrás das Nuvens"/>
        <s v="A Noite dos Girassóis"/>
        <s v="98 Octanas"/>
        <s v="Esta Noite"/>
        <s v="Alice"/>
        <s v="Coisa Ruim"/>
        <s v="Diário de Um Novo Mundo"/>
        <s v="Espelho Mágico"/>
        <s v="Lavado em Lágrimas"/>
        <s v="Manô"/>
        <s v="O Carro de Pedais"/>
        <s v="Comboio da Canhoca"/>
        <s v="O Fatalista"/>
        <s v="O Olhar Vítreo"/>
        <s v="Odete"/>
        <s v="Pele"/>
        <s v="Sorte Nula"/>
        <s v="Um Rio"/>
        <s v="Um Tiro no Escuro"/>
        <s v="A Estrela"/>
        <s v="A Rapariga da Mão Morta"/>
        <s v="Alguém Olhará Por Ti"/>
        <s v="Cega Paixão"/>
        <s v="Crónica Feminina"/>
        <s v="Entre o Desejo e o Destino: Uma Árvore"/>
        <s v="Glamour"/>
        <s v="Nunca Estou Onde Pensas Que Estou"/>
        <s v="O Serial Killer"/>
        <s v="Os Caminheiros"/>
        <s v="Parte de Mim"/>
        <s v="Retrato da Velha Enquanto Senhora"/>
        <s v="Salitre"/>
        <s v="Tatana"/>
        <s v="Uma Noite ao Acaso"/>
        <s v="Álvaro Cunhal"/>
        <s v="Cá Dentro"/>
        <s v="Carta de Chamada"/>
        <s v="Doutor Estranho Amor"/>
        <s v="Estórias da Pintura"/>
        <s v="O Escritor Prodigioso"/>
        <s v="Repórter X Reaparece"/>
        <s v="Sub Express"/>
        <s v="A Luz da Ria Formosa"/>
        <s v="Eduardo Luiz"/>
        <s v="Ilha de Moçambique"/>
        <s v="Malaca - A Porta Para o Oriente Sem Fim"/>
        <s v="Tomai Lá do O'Neill"/>
        <s v="Com Uma Sombra Na Alma"/>
        <s v="Estratégias Para Uma Vida"/>
        <s v="História Trágica Com Final Feliz"/>
        <s v="Draculinha - O Vampiro"/>
        <s v="Vamos Contar Histórias"/>
        <s v="A Cara Que Mereces"/>
        <s v="A Costa dos Murmúrios"/>
        <s v="A Viagem de Carol"/>
        <s v="Adriana"/>
        <s v="Kiss Me"/>
        <s v="Lá Fora"/>
        <s v="Maria e as Outras"/>
        <s v="O Diabo a Quatro"/>
        <s v="O Herói"/>
        <s v="O Milagre Segundo Salomé"/>
        <s v="O Quinto Império"/>
        <s v="Ordo"/>
        <s v="Querença"/>
        <s v="Treze Badaladas"/>
        <s v="Vanitas"/>
        <s v="A Casa Esquecida"/>
        <s v="A Olhar Para Cima"/>
        <s v="A6-13"/>
        <s v="Amanhã"/>
        <s v="As Minhas Férias"/>
        <s v="B.D."/>
        <s v="Da Minha Janela"/>
        <s v="De Manhã"/>
        <s v="Dia de Feira"/>
        <s v="Figuras Obrigatórias"/>
        <s v="Lastro"/>
        <s v="O Estratagema do Amor"/>
        <s v="O Outro Lado do Arco-Iris"/>
        <s v="Os Meus Espelhos"/>
        <s v="Pastoral"/>
        <s v="A Piscina"/>
        <s v="Portalinho"/>
        <s v="Quem É Ricardo"/>
        <s v="Tomás e a Alma"/>
        <s v="Undo"/>
        <s v="W"/>
        <s v="Buenos Aires Hora Zero"/>
        <s v="Duas Histórias de Prisão"/>
        <s v="Durante o Fim"/>
        <s v="Marrabenta"/>
        <s v="No Jardim do Mundo"/>
        <s v="Lisboetas"/>
        <s v="O Arquiteto e a Cidade Velha"/>
        <s v="Projecto Etiópia"/>
        <s v="A Praça"/>
        <s v="A Utopia do Padre Himalaya"/>
        <s v="Conversas com Glicínia"/>
        <s v="Curiua-Catu"/>
        <s v="Macau Sem Regresso"/>
        <s v="Prova de Contacto"/>
        <s v="A Cor Negra"/>
        <s v="A Dama da Lapa"/>
        <s v="Sem Respirar"/>
        <s v="Vulgares"/>
        <s v="Dez Contos"/>
        <s v="Bom Dia Benjamim!"/>
        <s v="Móli"/>
        <s v="Caminhos da Alma"/>
        <s v="Os Maias - (Alguns) Episódios da Vida Romântica"/>
        <s v="As Mil e Uma Noites"/>
        <s v="É o Amor"/>
        <s v="Mozungo"/>
        <s v="Posto Avançado do Progresso"/>
        <s v="Jogo de Mente"/>
        <s v="O Som e a Fúria apresenta 3 Curtas-Metragens"/>
        <s v="Um Gato Sem Nome, Zé e o Pinguim, Histórias Desencatadas, Dá-me Luz"/>
        <s v="Fragmentos de Uma Observação Participativa"/>
        <s v="A Arca do Éden "/>
        <s v="Tabatô"/>
        <s v="Terra de Ninguém"/>
        <s v="Um Fim do Mundo"/>
        <s v="Virgem Margarida"/>
        <s v="O Regresso"/>
        <s v="Do Outro Lado do Mundo"/>
        <s v="Um Grupo Especial"/>
        <s v="Poros"/>
        <s v="Rosebud"/>
        <s v="Doces Tormentas"/>
        <s v="A Jóia da Aliança"/>
        <s v="Grã Trabalho é Viver"/>
        <s v="Maria e o Mar"/>
        <s v="Baptismo de Sangue"/>
        <s v="Além, na Trapobana"/>
        <s v="Alberto Carneiro"/>
        <s v="Eretz Benguela"/>
        <s v="Um Tempo Que Passou"/>
        <s v="Multidões"/>
        <s v="Da Prisão"/>
        <s v="Viúvas"/>
        <s v="Belinvicta"/>
        <s v="E de Cornos e Cascos Vão os Anjos"/>
        <s v="Melpomina"/>
        <m/>
        <s v="Caloiros"/>
        <s v="Jogos de Amor"/>
        <s v="O Diário de Link"/>
        <s v="Os Meninos da Bola"/>
        <n v="8"/>
        <s v="Alambique - 7 Filmes"/>
        <n v="7"/>
        <n v="5"/>
        <s v="Versailles"/>
        <s v="Rede 2013 - Cine Clube de Viseu"/>
        <s v="Rede 2013 - ABC 63 Anos de Filmes"/>
        <s v="Rede 2013 - Cinema Avanca Estarreja"/>
        <s v="Rede 2013 - Cineclube de Guimarães"/>
        <s v="Rede 2013 - Cineclube de Faro"/>
        <s v="Rede 2013 - Cineclube de Joane"/>
        <s v="Rede 2013 - Sessões Cineclubistas"/>
        <s v="Rede 2013 - Cineclube de Tavira"/>
        <s v="Rede 2013 - Cinema às Sextas"/>
        <s v="Rede 2013 - O Outro Cinema"/>
        <s v="Rede 2013 - Cineclube da Feira"/>
        <s v="Rede 2013 - SOIR"/>
        <s v="Rede 2013 - Cineclube do Porto"/>
        <s v="Rede 2013 - Fila K Cineclube"/>
        <s v="Rede 2013 - Milímetro"/>
        <s v="Rede 2013 - Cineclube de Santarém"/>
        <s v="Rede 2013 - Cinema no Aveirense"/>
        <s v="Rede 2013 - 20 Anos de Cinema Português"/>
        <s v="Rede 2013 - Cinema Extraordinário"/>
        <s v="Rede 2013 - Cinema em Conversa"/>
        <s v="Amapola"/>
        <s v="E Agora? Lembra-me"/>
        <s v="Deportado"/>
        <s v="Soldado Milhões"/>
        <s v="Arranhando o Céu"/>
        <s v="Juventude Brava"/>
        <s v="Debaixo do Céu"/>
        <s v="Curtas de Vila do Conde - 2013"/>
        <s v="O Sentido da Vida/The Meaning of the Life"/>
        <s v="Rosas de Esmera"/>
        <s v="Correspondência"/>
        <s v="Brazil Revisited"/>
        <s v="O Vôo do Crocodilo - O Timor de Ruy Cinatti"/>
        <s v="O Grande Circo Místico"/>
        <s v="História de Uma Surfista"/>
        <s v="No Quarto Escuro"/>
        <s v="A Vida Invisível"/>
        <s v="Redemption"/>
        <s v="Estilhaços"/>
        <s v="Palavra"/>
        <s v="Surpresa"/>
        <s v="Os Prisioneiros"/>
        <s v="Entre Linhas"/>
        <s v="El Dorado - La Rinconada"/>
        <s v="O Espectador Espantado"/>
        <s v="Ama-San"/>
        <s v="Seara de Vento"/>
        <s v="Zeus"/>
        <s v="Lamento da Vida Jovem"/>
        <s v="Cinzento e Negro"/>
        <s v="Pontes de Sarajevo"/>
        <s v="The Giacomo Variations / As Variações de Giacomo"/>
        <s v="Coração e Lume"/>
        <s v="Al Berto, As Mãos Nunca Mentem"/>
        <s v="Esta É a Madrugada que Eu Esperava"/>
        <s v="Campo de Sangue"/>
        <s v="O Evangelho Segundo Jesus Cristo"/>
        <s v="Flor e Eclipse"/>
        <s v="Cara a Cara "/>
        <s v="4 Curtas"/>
        <s v="Agência da CURTA METRAGEM - APOIO AO PLANO DE ACTIVIDADES DE 2013"/>
        <s v="CASA DA ANIMAÇÃO - APOIO AO PLANO DE ACTIVIDADES DE 2013"/>
        <s v="Plano de Actividades - 2013"/>
        <s v="Zero Em Comportamento I"/>
        <s v="Cara a Cara"/>
        <s v="Cinanima - 2013"/>
        <s v="DocLisboa - 2013"/>
        <s v="FantasPorto - 2013"/>
        <s v="Festrioa - 2013"/>
        <s v="Fim de Citação"/>
        <s v="Fuso - Anual de Vídeo Arte Internacional de Lisboa"/>
        <s v="IndieLisboa - 2013"/>
        <s v="Monstra - 2013"/>
        <s v="O Novo Testamento de Jesus Cristo Segundo João"/>
        <s v="O Corpo de Afonso"/>
        <s v="Vida Activa"/>
        <s v="A Mãe e o Mar"/>
        <s v="Taprobana"/>
        <s v="Sr. Passageiro"/>
        <s v="A Caixa Preta"/>
        <s v="A Casa D'Ela"/>
        <s v="Os Livros Que Devoraram o Meu Pai"/>
        <s v="Comboio de Sal e Açucar"/>
        <s v="Na Memória do Presente"/>
        <s v="Operação Angola"/>
        <s v=" Lundu, Fado e Samba"/>
        <s v="Bijagós - Arquipélago das Ilhas Sagradas"/>
        <s v="Casa Decana"/>
        <s v="Na Mira do Laço"/>
        <s v="Sonho Longínquo no Equador"/>
        <s v="Comboios e Fantasmas"/>
        <s v="O Dia do Meu Casamento"/>
        <s v="A Caverna"/>
        <s v="Feitos e Ditos de Nasreddin II"/>
        <s v="O Rebocador"/>
        <s v="Paul"/>
        <s v="Abismo"/>
        <s v="Bolor Negro"/>
        <s v="Espírito Santo"/>
        <s v="Maria do Mar"/>
        <s v="Primeiro Amor"/>
        <s v="São Miguel Arcanjo, nº 5"/>
        <s v="Triplo A"/>
        <s v="O Corcunda"/>
        <s v="Rede 2013 - Cineclube de Vila do Conde"/>
        <s v="24º FESTROIA - Festival Internacional de Cinema de Setubal"/>
        <s v="ANIMATU - Festival de Cinema de Animação Digital"/>
        <s v="AVANCA'08"/>
        <s v="CINE'ECO"/>
        <s v="FEST"/>
        <s v="FESTIVAL TEMPS D'IMAGE"/>
        <s v="FICA 2008"/>
        <s v="FIKE 2008"/>
        <s v="IMAGO 2008"/>
        <s v="XV EDIÇÃO DOS CAMINHOS DO CINEMA PORTUGUÊS"/>
        <s v="5º INDIELISBOA"/>
        <s v="DOCLISBOA"/>
        <s v="FANTASPORTO"/>
        <s v="Curtas de Vila do Conde"/>
        <s v="CINANIMA"/>
        <s v="Sala King 2"/>
        <s v="Sala King 3"/>
        <s v="Cine Clube de Viseu - REAC 2007"/>
        <s v="ABC - 57º Aniversário"/>
        <s v="Cinema no CCA"/>
        <s v="Exibição de Cinema Não-Comercial"/>
        <s v="RAEC CCF 2007"/>
        <s v="Sociedade Operária de Instrução e Recreio Joaquim António D'Aguiar"/>
        <s v="Cineclube de Tavira - RAEC"/>
        <s v="Sessões Cineclubistas"/>
        <s v="Cineclube de Joane - Rede 2007"/>
        <s v="Rede ZOOM 2007"/>
        <s v="Cinema Alternativo"/>
        <s v="Rede de Exibição Não-Comercial"/>
        <s v="Cineclube de Aveiro"/>
        <s v="Sala de Cinemacert, 10 anos a mostrar cinema"/>
        <s v="Cineclube da Feira - REDE 07"/>
        <s v="Cinema Alternativo na Ilha do Faial - Promoção e Consolidação de Públicos"/>
        <s v="Cinema às Quartas"/>
        <s v="Exibição Não Comercial em Vila do Conde"/>
        <s v="Cineclube de Amarante 1995-2007"/>
        <s v="ANIMAR 3"/>
        <s v="Projeto Cinema para as Escolas"/>
        <s v="Operação Água"/>
        <s v="Programa JCE"/>
        <s v="Apoio à Distribuição 2007"/>
        <s v="Sala King 1"/>
        <s v="Sala Cinema Porto 4"/>
        <s v="Sala Cinema Monumental 3"/>
        <s v="Sala Cinema Monumental 1"/>
        <s v="Exibição Não Comercial (REDE) 2008"/>
        <s v="Exibição Não Comercial"/>
        <s v="Cineclube de Joane - REDE 2008"/>
        <s v="Rede Alternativa ZOOM 2008"/>
        <s v="Rede Alternativa de Exibição Cinematográfica 2008"/>
        <s v="REDE 2008"/>
        <s v="Rede Alternativa de Exibição Cinematográfica - 2008"/>
        <s v="ABC - REDE 2008"/>
        <s v="RAEC 2008"/>
        <s v="Cineclube de Olhão"/>
        <s v="Sala Cinema Acert"/>
        <s v="Cineclube da Feira - REDE 2008"/>
        <s v="Caminhos do Cinema Português XVI"/>
        <s v="IMAGO - Festival Internacional de Cinema Jovem"/>
        <s v="Festroia - Candidatura Plurianual - 2009-2010-2011"/>
        <s v="Avanca 09 a 11"/>
        <s v="As Nossas Histórias Dão Um Filme"/>
        <s v="Formações da Monstra"/>
        <s v="ANIMAR 4"/>
        <s v="5 Filmes"/>
        <s v="Rede 2009"/>
        <s v="Sala King  1"/>
        <s v="Cinema Cidade do Porto - Sala 4"/>
        <s v="Cinema Cidade do Porto - Sala 3"/>
        <s v="Projeto de Distribuição de 5 filmes"/>
        <s v="Cinema Fonte Nova - sala 2"/>
        <s v="Cinema Monumental - sala 4"/>
        <s v="As Minhas Mãos Não Ardem?"/>
        <s v="Entre Quinara e Cobiana"/>
        <s v="Escola de Cinema"/>
        <s v="Os Inimputáveis"/>
        <s v="Cavalo Dinheiro"/>
        <s v="Virados do Avesso"/>
        <s v="Um Animal Amarelo"/>
        <s v="Um Certo Joaquim"/>
        <s v="Cinema Ideal 2014"/>
        <s v="Cinema Nimas"/>
        <s v="Monumental - Sala 1"/>
        <s v="Monumental - Sala 3"/>
        <s v="Distribuição 11 obras"/>
        <s v="Distribuição 12 obras"/>
        <s v="Distribuição 14 obras"/>
        <s v="Distribuição  7 obras"/>
        <s v="Distribuição 5 obras"/>
        <s v="Distribuição 6 obras"/>
        <s v="Distribuição 7 obras"/>
        <s v="ABC - Mais de 60 anos de filmes"/>
        <s v="Cine Clube de Viseu - 2014/2015"/>
        <s v="Exibição Alternativa em Vila do Cone"/>
        <s v="Avanca Estarreja"/>
        <s v="Cineclube da Feira - 2014/2015"/>
        <s v="O Outro Cinema"/>
        <s v="Cineclube de Joane - 2014/2015"/>
        <s v="A Promover a Cultura Cinematográfica e a Cinefilia desde 1958"/>
        <s v="Cineclube de Faro - 2014/2015"/>
        <s v="Cineclube do Porto - 2014/2015"/>
        <s v="Cineclube de Tavira - 2014/2015"/>
        <s v="Teatro Aveirense"/>
        <s v="Milímetro - 2014/2015"/>
        <s v="Rossio - Cineclubeinformal, Irregular e Itinerante"/>
        <s v="Cinema Extraordinário - 2014/2015"/>
        <s v="Há Filmes na Baixa!"/>
        <s v="Cineclube da Maia - 2014/2015"/>
        <s v="20 Anos de Cinema Português"/>
        <s v="Fila K Cineclube - 2014/2015"/>
        <s v="Guerra ou Paz"/>
        <s v="Florbela"/>
        <s v="Agência da Curta Metragem"/>
        <s v="Portugalfilm"/>
        <s v="APORDOC-Projeto de Divulgação e Promoção Internacional de Obras Nacionais"/>
        <s v="Casa da Animação 2014-2016"/>
        <s v="Os Maias"/>
        <s v="False Twins"/>
        <s v="Pecado Fatal"/>
        <s v="Miami"/>
        <s v="Outono"/>
        <s v="Sara e a Sua Mãe"/>
        <s v="Alentejo, Alentejo"/>
        <s v="Meio Campo"/>
        <s v="Boa Noite Cinderela"/>
        <s v="A Caça Revoluções"/>
        <s v="Variações de Casanova/The Casanova Variations"/>
        <s v="O Canto dos 4 Caminhso"/>
        <s v="De Armas e Bagagens"/>
        <s v="Percepção Delicada de Um Raio de Luz"/>
        <s v="Famel Top Secret"/>
        <s v="Lisbon Revisited"/>
        <s v="Cosmos"/>
        <s v="O Velho do Restelo"/>
        <s v="9 Dedos"/>
        <s v="Filmes Departamento de Artes da Imagem"/>
        <s v="Produzir e Criar Cinema 14/16"/>
        <s v="Apoio à Criação de Obras Cinematográficas dos Estudantes da ESTC"/>
        <s v="Escola das Artes"/>
        <s v="Curtas Metragens de Animação"/>
        <s v="Produções UBICINEMA"/>
        <s v="Projectos Audiovisuais Curriculares "/>
        <s v="Um Outro Olhar"/>
        <s v="UTAD"/>
        <s v="O Mundo à Nossa Volta"/>
        <s v="Também Nós"/>
        <s v="Formação em Cinema de Animação! - 2014"/>
        <s v="Apordoc - Projeto Educativo"/>
        <s v="Curtas Vila do Conde - Festival Internacional de Cinema"/>
        <s v="IndieLisboa - 2014"/>
        <s v="Monstra - Festival de Animação de Lisboa"/>
        <s v="Cinamina - 2015/2017"/>
        <s v="Lisbon &amp; Estoril Film Festival"/>
        <s v="QUEER Lisboa 2015/2017"/>
        <s v="FEST - Festival Novos Cineastes | Novo Cinema"/>
        <s v="Caminhos do Cinema Português"/>
        <s v="Avanca 2015/2017"/>
        <s v="31º Festroia"/>
        <s v="Motelx"/>
        <s v="Encontros de Cinema de Viana"/>
        <s v="Temps D'Images Lisboa"/>
        <s v="Mariphasa"/>
        <s v="Amor Amor"/>
        <s v="O Indispensável Treino da Vagueza"/>
        <s v="Plano de Cinema C.R.I.M."/>
        <s v="Ruth"/>
        <s v="4 x Longas"/>
        <s v="Animais - Projetos 2014"/>
        <s v="Plano de Cinema - Bando à Parte"/>
        <s v="Plano de Cinema - Terratreme"/>
        <s v="Soldado"/>
        <s v="Fado Camané"/>
        <s v="Extinção"/>
        <s v="Ornamento e Crime"/>
        <s v="Capitão Falcão o Filme"/>
        <s v="Alto Bairro"/>
        <s v="O Campo à Beira Mar"/>
        <s v="Uma Rapariga da Sua Idade"/>
        <s v="A casa das Mães"/>
        <s v="O Ilha dos Ausentes"/>
        <s v="Depois do Silêncio"/>
        <s v="Os Dias ao Espelho"/>
        <s v="Estive em Lisboa e Lembrei de Você"/>
        <s v="Colo"/>
        <s v="Ramiro"/>
        <s v="Rabo de peixe"/>
        <s v="Desenvolvimento Audiovisual e Multimédia - Fado Filmes"/>
        <s v="Leonor Teles"/>
        <s v="Plano Terratreme Filmes"/>
        <s v="Moulla"/>
        <s v="A Sonolenta"/>
        <s v="4 Estados da Matéria"/>
        <s v="Das Gavetas Nascem Sons"/>
        <s v="Água Mole em Terra Dura"/>
        <s v="Amo-te Cigarra"/>
        <s v="Última Chamada"/>
        <s v="A Herdade"/>
        <s v="A Lei das Séries"/>
        <s v="A Ordem Moral"/>
        <s v="A Angustia do Condutor no Momento da Fuga"/>
        <s v="O Primeiro Verão"/>
        <s v="Lei da Gravidade"/>
        <s v="Triângulo Dourado"/>
        <s v="Onde o Meu Amigo Pintou um Quadro"/>
        <s v="Silêncios de Um Gesto"/>
        <s v="O Breviário"/>
        <s v="A Arte de Morrer Longe"/>
        <s v="Lupo"/>
        <s v="Último Macho Man"/>
        <s v="Casamento Nos Açores"/>
        <s v="Asilo"/>
        <s v="Alientejo"/>
        <s v="8816 Versos"/>
        <s v="John África na Terra dos Leões"/>
        <s v="Tarrafal - Um Campo em Morte Lenta"/>
        <s v="Prétu Funguli"/>
        <s v="Eu, Augusto dos Anjos  – António Nobre, Só"/>
        <s v="Caminhos Magnéticos"/>
        <s v="Morrer Por Amor"/>
      </sharedItems>
    </cacheField>
    <cacheField name="id_filme" numFmtId="3">
      <sharedItems containsString="0" containsBlank="1" containsNumber="1" containsInteger="1" minValue="136" maxValue="13633"/>
    </cacheField>
    <cacheField name="FILME" numFmtId="0">
      <sharedItems count="591">
        <s v="Operação Outono"/>
        <s v="Linhas de Wellington"/>
        <s v="Sanguetinta"/>
        <s v="O Canto dos 4 Caminhos"/>
        <s v="Id Sem Filme"/>
        <s v="Fado na Noite"/>
        <s v="A Minha Casinha"/>
        <s v="&quot;M&quot;"/>
        <s v="Carrotrope"/>
        <s v="Outro Homem Qualquer"/>
        <s v="Cinema"/>
        <s v="Blackout"/>
        <s v="Manhã de Santo António"/>
        <s v="O Nylon da Minha Aldeia"/>
        <s v="O Que Arde Cura"/>
        <s v="Outras Cartas ou o Amor Inventado"/>
        <s v="Amanhecer a Andar"/>
        <s v="E Agora? Lembra-me"/>
        <s v="Kali, le petit vampire"/>
        <s v="Aqui a Batalha de Yaguajay - Sobreviventes"/>
        <s v="Onde Está a Tia? (Crossover)"/>
        <s v="Bobô"/>
        <s v="Cigano"/>
        <s v="Gelo"/>
        <s v="Insensibles"/>
        <s v="Estação Treblinka"/>
        <s v="O Meu Avô Republicano"/>
        <s v="Sob o Olhar Silencioso"/>
        <s v="Yvone Kane"/>
        <s v="Montanha"/>
        <s v="Imagine"/>
        <s v="Quatro"/>
        <s v="Só"/>
        <s v="Foi o Fio"/>
        <s v="Cadjique"/>
        <s v="O Antropomorfo"/>
        <s v="Guia de Portugal"/>
        <s v="Quarta Divisão"/>
        <s v="Os Gatos não Têm Vertigens"/>
        <s v="Vígil"/>
        <s v="Cavalo Dinheiro"/>
        <s v="Tabu"/>
        <s v="Campo de Flamingos Sem Flamingos"/>
        <s v="Entrecampos"/>
        <s v="Gambozinos"/>
        <s v="O Gebo e a Sombra"/>
        <s v="Sinais de Serenidade Por Coisas Sem Sentido"/>
        <s v="O Coveiro"/>
        <s v="O Tesouro"/>
        <s v="Vazante"/>
        <s v="Raquel Silvestre a Pastora"/>
        <s v="O Gigante"/>
        <s v="Guerra ou Paz"/>
        <s v="Bafatá Filme Clube"/>
        <s v="João Bénard da Costa"/>
        <s v="Papel de Natal"/>
        <s v="Estrada 47"/>
        <s v="Lacrau"/>
        <s v="Industrial Revolution"/>
        <s v="As Cidades e as Trocas"/>
        <s v="A Cidade e o Sol"/>
        <s v="A Fábrica"/>
        <s v="Em Câmara Lenta"/>
        <s v="O Refugiado"/>
        <s v="Mulher Sombra"/>
        <s v="Alasca"/>
        <s v="Barba"/>
        <s v="A Última Vez Que Vi Macau"/>
        <s v="Guerra Civil"/>
        <s v="Valsa"/>
        <s v="Alex e Liliane"/>
        <s v="Poesia de Segunda Categoria"/>
        <s v="A Vossa Casa"/>
        <s v="Em Segunda Mão"/>
        <s v="O Grande Kilapy"/>
        <s v="A Tempestade"/>
        <s v="No Meu Lugar"/>
        <s v="País do Desejo"/>
        <s v="As Doze Estrelas"/>
        <s v="A Minha Banda e Eu"/>
        <s v="A República di Mininus"/>
        <s v="Luz da Manhã"/>
        <s v="Rafa"/>
        <s v="Se eu fosse Ladrão… Roubava"/>
        <s v="Capitães da Areia"/>
        <s v="Trabalho de Actriz, Trabalho de Actor"/>
        <s v="A Espada e a Rosa"/>
        <s v="As Ondas"/>
        <s v="Solo"/>
        <s v="A Batalha de Tabatô"/>
        <s v="A Vida do Avesso"/>
        <s v="Não Há Rosa sem Espinhos"/>
        <s v="Linha Vermelha"/>
        <s v="Crónica Parisiense"/>
        <s v="J.A.C.E."/>
        <s v="Contraluz"/>
        <s v="O Cágado"/>
        <s v="A Morte de Carlos Gardel"/>
        <s v="A Nau Catrineta"/>
        <s v="África Abençoada"/>
        <s v="Florbela"/>
        <s v="Night Train to Lisbon"/>
        <s v="Getúlio"/>
        <s v="A Religiosa Portuguesa"/>
        <s v="53 Cartas"/>
        <s v="A Imagem"/>
        <s v="A Vingança de Uma Mulher"/>
        <s v="Lianor"/>
        <s v="O Céu de Suely"/>
        <s v="O Cônsul de Bordéus"/>
        <s v="O Jogo"/>
        <s v="O Samba Que Mora em Mim"/>
        <s v="A Drogaria"/>
        <s v="Entre Nós"/>
        <s v="Afro Lisboa"/>
        <s v="Desinquietações II"/>
        <s v="A Arca do Éden"/>
        <s v="Cartas de Angola"/>
        <s v="Éden"/>
        <s v="Licínio de Azevedo - Crónicas de Moçambique"/>
        <s v="Kolá San Jon é Festa di Kau Berdi"/>
        <s v="Quem Vai à Guerra"/>
        <s v="Em Trânsito - José Pedro Croft"/>
        <s v="Mazagão, A Água Que Volta"/>
        <s v="Regresso às Aulas"/>
        <s v="Do Céu e da Terra"/>
        <s v="Fado do Homem Crescido"/>
        <s v="Independência de Espírito"/>
        <s v="My Music"/>
        <s v="Quem é este Chapéu?"/>
        <s v="Sem Querer"/>
        <s v="Brincarolas"/>
        <s v="Ginjas"/>
        <s v="Vamos Cantar"/>
        <s v="Saltinhos"/>
        <s v="A Divisão Social do Trabalho - Adam Smith"/>
        <s v="Impunidades Criminosas"/>
        <s v="O Dia Mais Feliz da Tua Vida"/>
        <s v="O Vôo da Papoila"/>
        <s v="Zoo"/>
        <s v="Estrada de Palha"/>
        <s v="Virgem Margarida"/>
        <s v="Paixão"/>
        <s v="Sangue do Meu Sangue"/>
        <s v="Cisne"/>
        <s v="Alda e Maria – Por Aqui Tudo Bem"/>
        <s v="John From"/>
        <s v="Miel de Naranjas"/>
        <s v="Les grandes ondes (à l'ouest)"/>
        <s v="A Causa e a Sombra"/>
        <s v="De Armas e Bagagens"/>
        <s v="Amélia &amp; Duarte"/>
        <s v="Fuligem"/>
        <s v="Ana (Um Palíndromo)"/>
        <s v="A Bela e o Paparazzo"/>
        <s v="América"/>
        <s v="Budapest"/>
        <s v="Dores e Amores"/>
        <s v="E o Tempo Passa"/>
        <s v="Embargo"/>
        <s v="Filme Do Desassossego"/>
        <s v="Marginais"/>
        <s v="Mistérios de Lisboa"/>
        <s v="O Barão"/>
        <s v="O Estranho Caso de Angélica"/>
        <s v="O Que Há de Novo no Amor?"/>
        <s v="O Último Voo do Flamingo"/>
        <s v="Quero Ser Uma Estrela"/>
        <s v="Quinze Pontos na Alma"/>
        <s v="Voyage au Portugal"/>
        <s v="Wakasa"/>
        <s v="4"/>
        <s v="A Assassina Passional Está Louca!"/>
        <s v="A Ria, a Água, o Homem..."/>
        <s v="Agarrado à Rocha"/>
        <s v="Alfama"/>
        <s v="Amor Cego"/>
        <s v="Angst"/>
        <s v="As Horas do Douro"/>
        <s v="Como as Serras Crescem"/>
        <s v="Conto do Vento"/>
        <s v="Snipers"/>
        <s v="E Se..."/>
        <s v="Ema &amp; Gui"/>
        <s v="Entre o Norte e o Sul"/>
        <s v="Foxy &amp; Meg"/>
        <s v="Há Tourada Na Aldeia"/>
        <s v="Ilha da Cova da Moura"/>
        <s v="José e Pilar"/>
        <s v="Lisboa-Província"/>
        <s v="Luz Obscura"/>
        <s v="Luz Teimosa"/>
        <s v="Memória de Cão"/>
        <s v="Na Escola"/>
        <s v="O Homem da Cabeça de Papelão"/>
        <s v="Incêndio"/>
        <s v="O Manuscrito Perdido"/>
        <s v="Os Milionários"/>
        <s v="Pelas Sombras"/>
        <s v="Pickpocket"/>
        <s v="Retornos"/>
        <s v="A Vida Invisível"/>
        <s v="Raio - XYZ"/>
        <s v="Café"/>
        <s v="Satélites"/>
        <s v="Segredos"/>
        <s v="Senhor X"/>
        <s v="Tóbis Portuguesa"/>
        <s v="Todos Iguais a Dormir"/>
        <s v="Traces of a Diary"/>
        <s v="Universo De Mya"/>
        <s v="Vacas"/>
        <s v="Viagem a Cabo Verde"/>
        <s v="Voodoo"/>
        <s v="Duas Mulheres"/>
        <s v="Desassossego"/>
        <s v="Voa Voa, Num Prédio de Lisboa"/>
        <s v="Como Desenhar um Círculo Perfeito"/>
        <s v="Nuit de chien"/>
        <s v="Kinotel"/>
        <s v="João Sem Medo"/>
        <s v="A Única Vez"/>
        <s v="Algo Importante"/>
        <s v="Mi Vida En Tus Manos"/>
        <s v="O Homem do Realejo"/>
        <s v="Pássaros"/>
        <s v="Passeio de Domingo"/>
        <s v="Um Degrau Pode Ser Um Mundo"/>
        <s v="Um gato sem nome"/>
        <s v="As Máquinas de Maria"/>
        <s v="Sem Companhia"/>
        <s v="A Estrela do Guadiana"/>
        <s v="Para Que Este Mundo Não Acabe"/>
        <s v="António Sena - A Mão Esquiva"/>
        <s v="Paul, o Meu Tio da América"/>
        <s v="A Meio da Noite"/>
        <s v="Os Olhos do Farol"/>
        <s v="A Esperança Está Onde Menos Se Espera"/>
        <s v="Deste Lado da Ressurreição"/>
        <s v="Águas Mil"/>
        <s v="Assalto ao Santa Maria"/>
        <s v="Bazar"/>
        <s v="Cinerama"/>
        <s v="Morrer Como Um Homem"/>
        <s v="Os Sorrisos do Destino"/>
        <s v="Singularidades de uma Rapariga Loura"/>
        <s v="O Acidente"/>
        <s v="Arca d'Água"/>
        <s v="Arena"/>
        <s v="Auto do Cordeiro"/>
        <s v="Canção de Amor e Saúde"/>
        <s v="Castelos no Ar"/>
        <s v="Dia Triunfal"/>
        <s v="O Espelho Lento"/>
        <s v="Perdida Mente"/>
        <s v="Tony"/>
        <s v="Um Roupão Vermelho Sangue"/>
        <s v="48"/>
        <s v="A Cidade dos Mortos"/>
        <s v="Dundo, Memória Colonial"/>
        <s v="Fantasia Lusitana"/>
        <s v="Muitos Dias Tem o Mês"/>
        <s v="Mãe Fátima"/>
        <s v="Ne Change Rien"/>
        <s v="El Justiceiro"/>
        <s v="Sapateiro"/>
        <s v="Guisado de Galinha"/>
        <s v="O Inimigo Sem Rosto"/>
        <s v="La Valse"/>
        <s v="Iec Long"/>
        <s v="Coro dos Amantes"/>
        <s v="Rei Inútil"/>
        <s v="Ponto Morto"/>
        <s v="Luminita(estreou com a LM &quot;Quando a Noite Cai em Bucareste ou Metabolismo&quot;)"/>
        <s v="Cinzas e Brazas"/>
        <s v="Um Fim do Mundo"/>
        <s v="Sobre El Cielo"/>
        <s v="O Pesadelo de João"/>
        <s v="Era uma Vez o Cinema"/>
        <s v="Volta à Terra"/>
        <s v="A Corte do Norte"/>
        <s v="Julgamento"/>
        <s v="Um Amor de Perdição"/>
        <s v="Call Girl"/>
        <s v="Efeitos Secundários"/>
        <s v="A Zona"/>
        <s v="The Inner Life of Martin Frost"/>
        <s v="Entre os Dedos"/>
        <s v="Adeus Até Amanhã"/>
        <s v="Álvaro Lapa: A Literatura"/>
        <s v="Ruas da Amargura"/>
        <s v="Vai Com o Vento"/>
        <s v="Diário de uma Inspectora do Livro de Recordes"/>
        <s v="As Crónicas de Polyaris"/>
        <s v="Bê-á-Bá"/>
        <s v="Eu Quero Ser"/>
        <s v="Mulher"/>
        <s v="Melodia Amarga"/>
        <s v="Januário e a Guerra"/>
        <s v="Dificilmente o Que Habita Perto da Origem Abandona o Lugar"/>
        <s v="O Tapete Voador"/>
        <s v="Ruínas"/>
        <s v="Retrato De Inverno De Uma Paisagem Ardida"/>
        <s v="Crime Abismo Azul Remorso Físico"/>
        <s v="1 Motivo"/>
        <s v="A Visita"/>
        <s v="Alpha"/>
        <s v="A Casa da Montanha"/>
        <s v="A Felicidade"/>
        <s v="Paisagem Urbana com Rapariga e Avião"/>
        <s v="Fantasia de Carnaval"/>
        <s v="A Rua"/>
        <s v="O Matricida"/>
        <s v="Meu Coelho Branco"/>
        <s v="Velocidade de Sedimentação"/>
        <s v="Aqua"/>
        <s v="Um Mundo Catita"/>
        <s v="Corações Plásticos"/>
        <s v="Dora"/>
        <s v="Arte de Roubar"/>
        <s v="Contrato"/>
        <s v="100 Volta"/>
        <s v="O Último Condenado à Morte"/>
        <s v="Veneno Cura"/>
        <s v="Aquele Querido Mês de Agosto"/>
        <s v="4 Copas"/>
        <s v="A Ilha dos Escravos"/>
        <s v="Todos os Passos"/>
        <s v="No Ponto Mais Alto da Lua"/>
        <s v="Cães Marinheiros"/>
        <s v="Zé Pimpão, o «Acelera»"/>
        <s v="Ossudo"/>
        <s v="Cândido"/>
        <s v="História de um Caramelo"/>
        <s v="Porca Miséria"/>
        <s v="A Religiosa II"/>
        <s v="In Silentiu"/>
        <s v="O Trabalho do Corpo"/>
        <s v="Blind Runner: An Artist Under Surveillance"/>
        <s v="U Omãi Qe Dava Pulus"/>
        <s v="As Duas Faces da Guerra"/>
        <s v="Paul Author"/>
        <s v="Sobre O Lado Esquerdo"/>
        <s v="Milú, a Menina da Rádio"/>
        <s v="Diva: Simplesmente Uma Homenagem"/>
        <s v="Ex"/>
        <s v="Côa - O Rio das Mil Gravuras"/>
        <s v="A Ilha dos Meninos Perdidos"/>
        <s v="Odisseia"/>
        <s v="Manual do Sentimento Doméstico"/>
        <s v="Estação"/>
        <s v="Antes de Amanhã"/>
        <s v="O Senso dos Desatinados"/>
        <s v="Arquivo"/>
        <s v="Deus Não Quis"/>
        <s v="Instantes"/>
        <s v="Europa 2007"/>
        <s v="Procura-se Amigo"/>
        <s v="China China"/>
        <s v="Sobe, Adensa, Esgarça, Desce"/>
        <s v="A Cura"/>
        <s v="The End"/>
        <s v="Sereia"/>
        <s v="O Agente de Filipe II"/>
        <s v="Agora Tu"/>
        <s v="Cristóvão Colombo - O Enigma"/>
        <s v="Mal Nascida"/>
        <s v="O Capacete Dourado"/>
        <s v="Lobos"/>
        <s v="Suicídio Encomendado"/>
        <s v="Goodnight Irene"/>
        <s v="O Mistério da Estrada de Sintra"/>
        <s v="A Outra Margem"/>
        <s v="Dot.com"/>
        <s v="Daqui P'ra Frente"/>
        <s v="O Turno da Noite"/>
        <s v="Stuart"/>
        <s v="Serão"/>
        <s v="Sem Dúvida, Amanhã"/>
        <s v="Selo ou Não Sê-lo"/>
        <s v="El sueño de una noche de San Juan"/>
        <s v="O Pescador de Sonhos"/>
        <s v="Até ao Tecto do Mundo"/>
        <s v="Jantar em Lisboa"/>
        <s v="Histórias de Molero"/>
        <s v="Histórias a passo de cágado"/>
        <s v="As Aventuras do Patinho"/>
        <s v="A Noiva do Gigante"/>
        <s v="A Culpa"/>
        <s v="28"/>
        <s v="Um Pouco Mais Pequeno Que o Indiana"/>
        <s v="Sombras - Um Filme Sonâmbulo"/>
        <s v="Pátria Incerta"/>
        <s v="Pão Nosso"/>
        <s v="Olhar o Cinema Português: 1896-2006"/>
        <s v="Movimentos Perpétuos: Cine-Tributo a Carlos Paredes"/>
        <s v="Margem Atlântica"/>
        <s v="Logo Existo"/>
        <s v="Goa"/>
        <s v="Ensaio Sobre o Teatro"/>
        <s v="Encontros"/>
        <s v="Drop"/>
        <s v="Diu"/>
        <s v="Damão"/>
        <s v="Concierges"/>
        <s v="Cartas a Uma Ditadura"/>
        <s v="Bubbles"/>
        <s v="Brava Dança"/>
        <s v="A Olhar o Mar"/>
        <s v="À flor da Pele"/>
        <s v="A Festa"/>
        <s v="À Espera da Europa"/>
        <s v="Sangue Sobre Vermelho"/>
        <s v="Realce"/>
        <s v="Rapace"/>
        <s v="Primeiro Vôo"/>
        <s v="Perímetro"/>
        <s v="O Caminho Perdido"/>
        <s v="O Beijo"/>
        <s v="Janelas Verdes"/>
        <s v="História Desgraçada"/>
        <s v="Estados da Matéria"/>
        <s v="Cowboys na António Maria Cardoso"/>
        <s v="Cántico das criaturas"/>
        <s v="Ao Fundo do Túnel"/>
        <s v="3 Caminheiros"/>
        <s v="20,13"/>
        <s v="Viúva Rica Solteira Não Fica"/>
        <s v="O Veneno da Madrugada"/>
        <s v="Transe"/>
        <s v="Terra Sonâmbula"/>
        <s v="O Jardim do Outro Homem"/>
        <s v="L'étrangère"/>
        <s v="La vie privée"/>
        <s v="La caja"/>
        <s v="Juventude Em Marcha"/>
        <s v="Body Rice"/>
        <s v="Belle Toujours"/>
        <s v="Atrás das Nuvens"/>
        <s v="La noche de los girasoles"/>
        <s v="98 Octanas"/>
        <s v="Alice"/>
        <s v="Coisa Ruim"/>
        <s v="Diário de Um Novo Mundo"/>
        <s v="Espelho Mágico"/>
        <s v="Lavado em Lágrimas"/>
        <s v="Manô"/>
        <s v="El coche de pedales"/>
        <s v="Comboio da Canhoca"/>
        <s v="O Fatalista"/>
        <s v="Der gläserne Blick"/>
        <s v="Odete"/>
        <s v="Pele"/>
        <s v="Sorte Nula"/>
        <s v="Um Rio"/>
        <s v="Um Tiro no Escuro"/>
        <s v="A Estrela"/>
        <s v="A Rapariga da Mão Morta"/>
        <s v="Alguém Olhará Por Ti"/>
        <s v="Cega Paixão"/>
        <s v="Crónica Feminina"/>
        <s v="Entre o Desejo e o Destino"/>
        <s v="Glamour"/>
        <s v="Nunca Estou Onde Pensas Que Estou"/>
        <s v="O Serial Killer"/>
        <s v="Os Caminheiros"/>
        <s v="Parte de Mim"/>
        <s v="Retrato da Velha Enquanto Senhora"/>
        <s v="Salitre"/>
        <s v="Tatana"/>
        <s v="Uma Noite ao Acaso"/>
        <s v="Álvaro Cunhal"/>
        <s v="Cá Dentro"/>
        <s v="Carta de Chamada"/>
        <s v="Doutor Estranho Amor"/>
        <s v="Estórias da Pintura"/>
        <s v="O Escritor Prodigioso"/>
        <s v="Repórter X Reaparece"/>
        <s v="Sud express"/>
        <s v="A Luz na Ria Formosa"/>
        <s v="Eduardo Luiz"/>
        <s v="Ilha de Moçambique"/>
        <s v="Malaca - A Porta Para o Oriente Sem Fim"/>
        <s v="Tomai Lá do O'Neill"/>
        <s v="Com Uma Sombra na Alma"/>
        <s v="Estratégias Para Uma Vida"/>
        <s v="História Trágica com Final Feliz"/>
        <s v="Draculinha - O Vampiro"/>
        <s v="Vamos Contar Histórias"/>
        <s v="A Cara que Mereces"/>
        <s v="A Costa dos Murmúrios"/>
        <s v="El viaje de Carol"/>
        <s v="Adriana"/>
        <s v="Kiss Me"/>
        <s v="Lá Fora"/>
        <s v="Maria e as Outras"/>
        <s v="O Diabo a Quatro"/>
        <s v="O Herói"/>
        <s v="O Milagre Segundo Salomé"/>
        <s v="O Quinto Império - Ontem Como Hoje"/>
        <s v="Ordo"/>
        <s v="Querença"/>
        <s v="Trece Campanadas"/>
        <s v="Vanitas"/>
        <s v="A Casa Esquecida"/>
        <s v="A Olhar Para Cima"/>
        <s v="A6-13"/>
        <s v="Amanhã"/>
        <s v="As Minhas Férias"/>
        <s v="B.D."/>
        <s v="Da Minha Janela"/>
        <s v="De Manhã"/>
        <s v="Dia de Feira"/>
        <s v="Figuras Obrigatórias"/>
        <s v="Lastro"/>
        <s v="O Estratagema do Amor"/>
        <s v="O Outro Lado do Arco-Íris"/>
        <s v="Os meus Espelhos"/>
        <s v="Pastoral"/>
        <s v="A Piscina"/>
        <s v="Portalinho"/>
        <s v="Quem É Ricardo?"/>
        <s v="Tomás e a Alma"/>
        <s v="Undo - Um Conto de Fadas do Século XXI"/>
        <s v="W"/>
        <s v="Buenos Aires Hora Zero"/>
        <s v="Duas Histórias de Prisão"/>
        <s v="Durante o Fim"/>
        <s v="Marrabenta Stories"/>
        <s v="No Jardim do Mundo"/>
        <s v="Lisboetas"/>
        <s v="O Arquitecto e a Cidade Velha"/>
        <s v="Projecto Etiópia"/>
        <s v="A Praça"/>
        <s v="A Utopia do Padre Himalaya"/>
        <s v="Conversas com Glícínia"/>
        <s v="Curiua-Catu"/>
        <s v="Macau Sem Regresso"/>
        <s v="Prova de Contacto"/>
        <s v="A Cor Negra"/>
        <s v="A Dama da Lapa"/>
        <s v="Sem Respirar"/>
        <s v="Vulgares"/>
        <s v="Dez Contos"/>
        <s v="Bom Dia Benjamim!"/>
        <s v="Móli"/>
        <s v="Os Maias - Cenas da Vida Romântica"/>
        <s v="Grazing the Sky"/>
        <s v="Cara a Cara"/>
        <s v="Posto-Avançado de Progresso"/>
        <s v="Os Prisioneiros"/>
        <s v="Pontes de Sarajevo"/>
        <s v="Casanova Variations"/>
        <s v="Na Memória do Presente"/>
        <s v="Os Escultores de Espíritos"/>
        <s v="O Rebocador"/>
        <s v="Bolor Negro"/>
        <s v="Primeiro Amor"/>
        <s v="São Miguel Arcanjo nº 5"/>
        <s v="Virados do Avesso"/>
        <s v="Fado Camané"/>
        <s v="Alto Bairro"/>
        <s v="Meio Campo"/>
        <s v="O Indispensável Treino da Vagueza"/>
        <s v="« EX »" u="1"/>
        <e v="#N/A" u="1"/>
        <s v="Rosto" u="1"/>
        <s v="The Giacomo Variations / As Variações de Giacomo" u="1"/>
        <s v="Por Aqui Tudo Bem" u="1"/>
        <s v="A Assassina Passional Está Louca! " u="1"/>
        <s v="Os Maias (Alguns) Episódios da Vida Romântica" u="1"/>
        <s v="Cântico das Criaturas" u="1"/>
        <s v="Arranhando o Céu" u="1"/>
        <s v="Kali, o Pequeno Vampiro" u="1"/>
        <s v="Directo" u="1"/>
        <s v="Luminita" u="1"/>
        <s v="Singularidades de Uma Rapariga Loira" u="1"/>
        <s v="O Olhar Vítreo" u="1"/>
        <s v="Pesadelo de João" u="1"/>
        <s v="Cem Mil Cigarros" u="1"/>
        <s v="O Carro de Pedais" u="1"/>
        <s v="Meu Coelho Branco " u="1"/>
        <s v="A Noite dos Girassóis" u="1"/>
        <s v="Zé Pimpão, o «Acelera» " u="1"/>
        <s v="A Divisão Social do Trabalho Segundo Adam Smith" u="1"/>
        <s v="Olhar o Cinema Português" u="1"/>
        <s v="Sangue Sobre Vermelho " u="1"/>
        <s v="O Cinema Morreu!" u="1"/>
        <s v="Não Há Rosas Sem Espinhos" u="1"/>
        <s v="R-xyz" u="1"/>
        <s v="La république des enfants" u="1"/>
      </sharedItems>
    </cacheField>
    <cacheField name="SUB-PROJETO (SUB-AREA)" numFmtId="0">
      <sharedItems containsBlank="1"/>
    </cacheField>
    <cacheField name="EX" numFmtId="0">
      <sharedItems containsBlank="1" containsMixedTypes="1" containsNumber="1" containsInteger="1" minValue="6" maxValue="2005"/>
    </cacheField>
    <cacheField name="CONCURSO" numFmtId="0">
      <sharedItems containsBlank="1" count="5">
        <s v="1º"/>
        <s v="ÚNICO"/>
        <s v="2º"/>
        <m/>
        <s v="3º"/>
      </sharedItems>
    </cacheField>
    <cacheField name="DATA DE ABERTURA" numFmtId="14">
      <sharedItems containsNonDate="0" containsDate="1" containsString="0" containsBlank="1" minDate="1997-09-23T00:00:00" maxDate="2015-01-13T00:00:00"/>
    </cacheField>
    <cacheField name="ANO DE ABERTURA" numFmtId="0">
      <sharedItems containsMixedTypes="1" containsNumber="1" containsInteger="1" minValue="1997" maxValue="2015" count="20">
        <n v="2009"/>
        <n v="2011"/>
        <n v="2008"/>
        <n v="2010"/>
        <n v="2006"/>
        <n v="2004"/>
        <n v="2005"/>
        <n v="2007"/>
        <s v=""/>
        <n v="2003"/>
        <n v="2012"/>
        <n v="2013"/>
        <n v="1999"/>
        <n v="1998"/>
        <n v="2002"/>
        <n v="2000"/>
        <n v="2001"/>
        <n v="1997"/>
        <n v="2014"/>
        <n v="2015"/>
      </sharedItems>
    </cacheField>
    <cacheField name="DATA DE ENCERRAMENTO" numFmtId="14">
      <sharedItems containsDate="1" containsBlank="1" containsMixedTypes="1" minDate="2004-02-16T00:00:00" maxDate="2015-03-07T00:00:00"/>
    </cacheField>
    <cacheField name="DATA HOMOLOGAÇÃO/ DESPACHO" numFmtId="14">
      <sharedItems containsNonDate="0" containsDate="1" containsString="0" containsBlank="1" minDate="1997-12-18T00:00:00" maxDate="2015-04-01T00:00:00"/>
    </cacheField>
    <cacheField name="ANO APOIO" numFmtId="1">
      <sharedItems containsBlank="1" containsMixedTypes="1" containsNumber="1" containsInteger="1" minValue="1997" maxValue="2015" count="21">
        <n v="2009"/>
        <n v="2011"/>
        <n v="2010"/>
        <n v="2007"/>
        <n v="2006"/>
        <n v="2004"/>
        <n v="2005"/>
        <n v="2008"/>
        <s v=""/>
        <m/>
        <n v="2012"/>
        <n v="2013"/>
        <n v="1999"/>
        <n v="1998"/>
        <n v="2003"/>
        <n v="2000"/>
        <n v="2014"/>
        <n v="2002"/>
        <n v="2001"/>
        <n v="1997"/>
        <n v="2015"/>
      </sharedItems>
    </cacheField>
    <cacheField name="ÁREA" numFmtId="0">
      <sharedItems count="7">
        <s v="CINEMA"/>
        <s v="DISTRIBUIÇÃO"/>
        <s v="EXIBIÇÃO"/>
        <s v="PROMOÇÃO"/>
        <s v="FORMAÇÃO"/>
        <s v="AUDIOVISUAL E MULTIMÉDIA"/>
        <e v="#N/A"/>
      </sharedItems>
    </cacheField>
    <cacheField name="ÁREA APOIO" numFmtId="0">
      <sharedItems containsBlank="1" count="10">
        <s v="PRODUÇÃO"/>
        <s v="CRIAÇÃO"/>
        <s v="DISTRIBUIÇÃO"/>
        <s v="EXIBIÇÃO"/>
        <s v="PROMOÇÃO"/>
        <s v="FORMAÇÃO"/>
        <s v="PARCERIAS"/>
        <s v="INOVAÇÃO"/>
        <e v="#N/A"/>
        <m u="1"/>
      </sharedItems>
    </cacheField>
    <cacheField name="PROGRAMA DE APOIO" numFmtId="0">
      <sharedItems containsBlank="1" count="46">
        <s v="LM FICÇÃO"/>
        <s v="ANIMAÇÃO"/>
        <s v="DESENVOLVIMENTO DE ANIMAÇÃO"/>
        <s v="CURTAS-METRAGENS DE FICÇÃO"/>
        <s v="DOCUMENTÁRIOS"/>
        <s v="DESENVOLVIMENTO DE DOCUMENTÁRIOS"/>
        <s v="PROTOCOLO LUSO-BRASILEIRO"/>
        <s v="ESCRITA DE ARGUMENTO"/>
        <s v="COPRODUÇÕES PLP"/>
        <s v="LM FICÇÃO - DIRETO"/>
        <s v="COPRODUÇÕES MINORITÁRIAS"/>
        <s v="LM FICÇÃO - 1ª OBRAS"/>
        <s v="COMPLEMENTAR"/>
        <s v="DISTRIBUIÇÃO DE OBRAS APOIADAS PELO ICA "/>
        <s v="AUTOMÁTICO PRODUÇÃO"/>
        <s v="AUTOMÁTICO CRIAÇÃO"/>
        <s v="DISTRIBUIÇÃO FORA DE PORTUGAL"/>
        <s v="DISTRIBUIÇÃO DE OUTRAS OBRAS NACIONAIS E MENOS DIFUNDIDAS"/>
        <s v="EXIBIÇÃO NÃO COMERCIAL (REDE)"/>
        <s v="EXIBIÇÃO COMERCIAL"/>
        <s v="FESTIVAIS NACIONAIS"/>
        <s v="PROMOÇÃO EM FESTIVAIS"/>
        <s v="PROGRAMA VER"/>
        <s v="PROTOCOLOS COM O ENSINO SUPERIOR"/>
        <s v="ASSOCIAÇÕES/PARCERIAS"/>
        <s v="PROMOÇÃO INTERNACIONAL DE OBRAS NACIONAIS"/>
        <s v="DOCUMENTÁRIOS - DIRETO"/>
        <s v="APOIO A ENTIDADES"/>
        <s v="PROTOCOLO DISTRIBUIDORES"/>
        <s v="EXIBIÇÃO NÃO COMERCIAL (PIC)"/>
        <s v="LM ANIMAÇÃO"/>
        <s v="CM ANIMAÇÃO"/>
        <s v="FINALIZAÇÃO DE OBRAS"/>
        <s v="INOVAÇÃO"/>
        <s v="PRODUÇÃO"/>
        <s v="EXIBIÇÃO"/>
        <s v="EXIBIÇÃO EM CIRCUITOS ALTERNATIVOS"/>
        <s v="PROMOÇÃO INTERNACIONAL DE OBRAS NACIONAIS - ENTIDADES DO SETOR"/>
        <s v="COPRODUÇÃO LUSO-FRANCÊS"/>
        <s v="FORMAÇÃO ESTUDANTES"/>
        <s v="FORMAÇÃO INFANTOJUVENIL"/>
        <s v="ESCRITA E DESENVOLVIMENTO"/>
        <m/>
        <s v="ESCRITA DE ARGUMENTOS" u="1"/>
        <s v="DISTRIBUIÇÃO DE OUTRAS OBRAS NACIONAIS E DE CINEMATOGRAFIAS MENOS DIFUNDIDAS" u="1"/>
        <s v="AUTOMÁTICO" u="1"/>
      </sharedItems>
    </cacheField>
    <cacheField name="PROGRAMA DE APOIO_x000a_(AGRUPADO)" numFmtId="0">
      <sharedItems containsBlank="1" count="6">
        <m/>
        <s v="DESENVOLVIMENTO DE ANIMAÇÃO"/>
        <s v="DESENVOLVIMENTO DE DOCUMENTÁRIOS"/>
        <s v="ESCRITA DE ARGUMENTOS"/>
        <s v="DESENVOLVIMENTO DE PROJETO"/>
        <s v="ESCRITA E DESENVOLVIMENTO"/>
      </sharedItems>
    </cacheField>
    <cacheField name="DATA DO ACORDO PRÉ-PRODUÇÃO" numFmtId="0">
      <sharedItems containsNonDate="0" containsDate="1" containsString="0" containsBlank="1" minDate="2001-12-26T00:00:00" maxDate="2008-03-19T00:00:00"/>
    </cacheField>
    <cacheField name="DATA DO CONTRATO" numFmtId="0">
      <sharedItems containsDate="1" containsBlank="1" containsMixedTypes="1" minDate="1997-12-05T00:00:00" maxDate="2015-12-10T00:00:00"/>
    </cacheField>
    <cacheField name="APOIO ICA" numFmtId="167">
      <sharedItems containsString="0" containsBlank="1" containsNumber="1" minValue="275" maxValue="2434000" count="342">
        <n v="600000"/>
        <n v="645000"/>
        <n v="75000"/>
        <n v="20000"/>
        <n v="70000"/>
        <n v="39000"/>
        <n v="67193.64"/>
        <n v="37808"/>
        <n v="69330"/>
        <n v="45000"/>
        <n v="44500"/>
        <n v="42000"/>
        <n v="41000"/>
        <n v="8000"/>
        <n v="65000"/>
        <n v="55000"/>
        <n v="80400"/>
        <n v="130687.59"/>
        <n v="8200"/>
        <n v="9000"/>
        <n v="106353"/>
        <n v="450000"/>
        <n v="54000"/>
        <n v="650000"/>
        <n v="100000"/>
        <n v="59500"/>
        <n v="22500"/>
        <n v="500000"/>
        <n v="170000"/>
        <n v="53863.33"/>
        <n v="36540"/>
        <n v="7500"/>
        <n v="9500"/>
        <n v="60000"/>
        <n v="700000"/>
        <n v="79452"/>
        <n v="80000"/>
        <n v="8250"/>
        <n v="27500"/>
        <n v="35000"/>
        <n v="125000"/>
        <n v="110670"/>
        <n v="66000"/>
        <n v="116877.04"/>
        <n v="555000"/>
        <n v="10000"/>
        <n v="630000"/>
        <n v="90000"/>
        <n v="31026.36"/>
        <n v="2000"/>
        <n v="19614"/>
        <n v="67500"/>
        <n v="43000"/>
        <n v="110295"/>
        <n v="102944"/>
        <n v="44000"/>
        <n v="102071.64"/>
        <n v="460000"/>
        <n v="35500"/>
        <n v="57481.599999999999"/>
        <n v="130000"/>
        <n v="2500"/>
        <n v="30589.17"/>
        <n v="114731.53"/>
        <n v="195000"/>
        <n v="1000"/>
        <n v="109875"/>
        <n v="75877.77"/>
        <n v="64216.14"/>
        <n v="94543.58"/>
        <n v="6000"/>
        <n v="6354.6"/>
        <n v="75761.87"/>
        <n v="1312.3"/>
        <n v="3487.71"/>
        <n v="40000"/>
        <n v="4000"/>
        <n v="5575"/>
        <n v="12500"/>
        <n v="35926.239999999998"/>
        <n v="50000"/>
        <n v="15000"/>
        <n v="48000"/>
        <n v="4960"/>
        <n v="5240"/>
        <n v="4700"/>
        <n v="4600"/>
        <n v="4690"/>
        <n v="5040"/>
        <n v="4870"/>
        <n v="3880"/>
        <n v="4770"/>
        <n v="3690"/>
        <n v="5150"/>
        <n v="4330"/>
        <n v="25000"/>
        <n v="105000"/>
        <n v="210000"/>
        <n v="300000"/>
        <n v="150000"/>
        <n v="37500"/>
        <n v="500"/>
        <n v="750"/>
        <n v="300"/>
        <n v="36000"/>
        <n v="43500"/>
        <n v="13873"/>
        <n v="21000"/>
        <n v="13500"/>
        <n v="46500"/>
        <n v="49500"/>
        <n v="4500"/>
        <n v="11000"/>
        <n v="8765"/>
        <n v="6500"/>
        <n v="7250"/>
        <n v="30000"/>
        <n v="63000"/>
        <n v="60461.25"/>
        <n v="85500"/>
        <n v="11274.27"/>
        <n v="53500"/>
        <n v="5000"/>
        <n v="570000"/>
        <n v="118285.02"/>
        <n v="109800"/>
        <n v="1700"/>
        <n v="275"/>
        <n v="826"/>
        <n v="808"/>
        <n v="2820"/>
        <n v="1523.5"/>
        <n v="3847.8"/>
        <n v="4230"/>
        <n v="7000"/>
        <n v="400"/>
        <n v="840.52"/>
        <n v="400000"/>
        <n v="1000000"/>
        <n v="1200000"/>
        <n v="12000"/>
        <n v="3000"/>
        <n v="3740.98"/>
        <n v="39903.83"/>
        <n v="34915.85"/>
        <n v="28186.89"/>
        <n v="2317.19"/>
        <n v="6760.6"/>
        <n v="2250"/>
        <n v="17250"/>
        <n v="52500"/>
        <n v="37301.5"/>
        <n v="96480"/>
        <n v="110000"/>
        <n v="36200"/>
        <n v="72949.2"/>
        <n v="200000"/>
        <n v="36500"/>
        <n v="250000"/>
        <n v="111600"/>
        <n v="124000"/>
        <n v="53000"/>
        <n v="24000"/>
        <n v="9700"/>
        <n v="9300"/>
        <n v="5300"/>
        <n v="8600"/>
        <n v="8500"/>
        <n v="112500"/>
        <n v="116785"/>
        <n v="143711"/>
        <n v="106732.63"/>
        <n v="34576.67"/>
        <n v="30970.83"/>
        <m/>
        <n v="41300"/>
        <n v="37780"/>
        <n v="41899"/>
        <n v="9460"/>
        <n v="120000"/>
        <n v="648437.27"/>
        <n v="56000"/>
        <n v="30720"/>
        <n v="88440"/>
        <n v="49790"/>
        <n v="550000"/>
        <n v="35913.449999999997"/>
        <n v="44200"/>
        <n v="7014.7"/>
        <n v="16414"/>
        <n v="28000"/>
        <n v="8300"/>
        <n v="38000"/>
        <n v="2400000"/>
        <n v="350000"/>
        <n v="455334.05"/>
        <n v="320000"/>
        <n v="187500"/>
        <n v="180000"/>
        <n v="1400000"/>
        <n v="59000"/>
        <n v="57000"/>
        <n v="55865.36"/>
        <n v="120600"/>
        <n v="44891.81"/>
        <n v="55865.39"/>
        <n v="15961.53"/>
        <n v="49868"/>
        <n v="49879.79"/>
        <n v="648500"/>
        <n v="149639.37"/>
        <n v="31798.37"/>
        <n v="19500"/>
        <n v="47884.6"/>
        <n v="41899.019999999997"/>
        <n v="29304.38"/>
        <n v="449000"/>
        <n v="448918.11"/>
        <n v="356972.22"/>
        <n v="19951.919999999998"/>
        <n v="33968"/>
        <n v="32000"/>
        <n v="47485.56"/>
        <n v="29927.87"/>
        <n v="99759.58"/>
        <n v="22259.4"/>
        <n v="21372.9"/>
        <n v="19884.57"/>
        <n v="22850"/>
        <n v="50836.84"/>
        <n v="1958.2"/>
        <n v="13000"/>
        <n v="58049.54"/>
        <n v="59080"/>
        <n v="17500"/>
        <n v="14350"/>
        <n v="9760"/>
        <n v="8325"/>
        <n v="7213.78"/>
        <n v="5500"/>
        <n v="5400"/>
        <n v="5200"/>
        <n v="5100"/>
        <n v="4800"/>
        <n v="4400"/>
        <n v="4300"/>
        <n v="4200"/>
        <n v="4100"/>
        <n v="3500"/>
        <n v="17154.34"/>
        <n v="110521.66"/>
        <n v="290"/>
        <n v="17000"/>
        <n v="83000"/>
        <n v="77500"/>
        <n v="57500"/>
        <n v="556964.80000000005"/>
        <n v="372.41"/>
        <n v="298.3"/>
        <n v="9525"/>
        <n v="52000"/>
        <n v="47500"/>
        <n v="1461.52"/>
        <n v="18000"/>
        <n v="42500"/>
        <n v="41500"/>
        <n v="750000"/>
        <n v="490000"/>
        <n v="4900"/>
        <n v="345000"/>
        <n v="375000"/>
        <n v="340000"/>
        <n v="233000"/>
        <n v="4452"/>
        <n v="4895"/>
        <n v="4894"/>
        <n v="4984"/>
        <n v="6900"/>
        <n v="15850"/>
        <n v="13689"/>
        <n v="12732"/>
        <n v="10829"/>
        <n v="6250"/>
        <n v="5750"/>
        <n v="4750"/>
        <n v="165000"/>
        <n v="11250"/>
        <n v="11750"/>
        <n v="6220"/>
        <n v="5780"/>
        <n v="5553"/>
        <n v="5333"/>
        <n v="5113"/>
        <n v="4887"/>
        <n v="4667"/>
        <n v="4447"/>
        <n v="3554"/>
        <n v="154625"/>
        <n v="306933.36"/>
        <n v="145074.57"/>
        <n v="23983.13"/>
        <n v="224008.94"/>
        <n v="117813.38"/>
        <n v="800000"/>
        <n v="230000"/>
        <n v="2434000"/>
        <n v="235626.76"/>
        <n v="18750"/>
        <n v="82500"/>
        <n v="8700"/>
        <n v="3700"/>
        <n v="34650"/>
        <n v="1400"/>
        <n v="1300"/>
        <n v="4372"/>
        <n v="2450"/>
        <n v="52495.5"/>
        <n v="2501.5"/>
        <n v="292500"/>
        <n v="282000"/>
        <n v="270000"/>
        <n v="259500"/>
        <n v="255000"/>
        <n v="22000"/>
        <n v="1800"/>
        <n v="140000"/>
        <n v="56500"/>
        <n v="109000"/>
        <n v="16000"/>
        <n v="6750"/>
        <n v="108000"/>
        <n v="99645"/>
        <n v="91307.199999999997"/>
        <n v="72800"/>
        <n v="53247.8"/>
        <n v="3333"/>
        <n v="700"/>
        <n v="1500"/>
        <n v="14250"/>
        <n v="259625.60000000001" u="1"/>
        <n v="43273" u="1"/>
        <n v="127087.23" u="1"/>
      </sharedItems>
    </cacheField>
    <cacheField name="APOIO ICA FINAL" numFmtId="167">
      <sharedItems containsString="0" containsBlank="1" containsNumber="1" minValue="0" maxValue="688060"/>
    </cacheField>
    <cacheField name="APOIO RTP" numFmtId="167">
      <sharedItems containsString="0" containsBlank="1" containsNumber="1" minValue="0" maxValue="140000"/>
    </cacheField>
    <cacheField name="APOIO PROTOCOLO DISTRIBUIDORES (1)" numFmtId="167">
      <sharedItems containsString="0" containsBlank="1" containsNumber="1" minValue="25000" maxValue="79807.66" count="8">
        <m/>
        <n v="79807.66"/>
        <n v="75000"/>
        <n v="30000"/>
        <n v="25000"/>
        <n v="29879.79"/>
        <n v="69831.710000000006"/>
        <n v="50000"/>
      </sharedItems>
    </cacheField>
    <cacheField name="EMPRÉSTIMOS (2)" numFmtId="167">
      <sharedItems containsNonDate="0" containsString="0" containsBlank="1" count="1">
        <m/>
      </sharedItems>
    </cacheField>
    <cacheField name="APOIO TOTAL" numFmtId="167">
      <sharedItems containsSemiMixedTypes="0" containsString="0" containsNumber="1" minValue="0" maxValue="2434000"/>
    </cacheField>
    <cacheField name="A PAGAR ICA" numFmtId="167">
      <sharedItems containsString="0" containsBlank="1" containsNumber="1" minValue="0" maxValue="2434000"/>
    </cacheField>
    <cacheField name="A PAGAR RTP" numFmtId="167">
      <sharedItems containsString="0" containsBlank="1" containsNumber="1" containsInteger="1" minValue="0" maxValue="120000" count="23">
        <n v="0"/>
        <m/>
        <n v="120000"/>
        <n v="9000"/>
        <n v="90000"/>
        <n v="15000"/>
        <n v="11900"/>
        <n v="3000"/>
        <n v="100000"/>
        <n v="4000"/>
        <n v="24800"/>
        <n v="10600"/>
        <n v="14000"/>
        <n v="8600"/>
        <n v="8400"/>
        <n v="8000"/>
        <n v="7800"/>
        <n v="12000"/>
        <n v="11200"/>
        <n v="8800"/>
        <n v="11800"/>
        <n v="11400"/>
        <n v="10800"/>
      </sharedItems>
    </cacheField>
    <cacheField name="A PAGAR TOTAL" numFmtId="167">
      <sharedItems containsSemiMixedTypes="0" containsString="0" containsNumber="1" minValue="0" maxValue="2434000"/>
    </cacheField>
    <cacheField name="SITUAÇÃO" numFmtId="0">
      <sharedItems containsBlank="1" count="15">
        <s v="CONCLUÍDO"/>
        <s v="FASE DE RODAGEM"/>
        <s v="OUTRAS SITUAÇÕES"/>
        <s v="PÓS-PRODUÇÃO"/>
        <s v="CONCLUÍDO (cvp)"/>
        <s v="DESISTÊNCIA"/>
        <s v="PRÉ-PRODUÇÃO"/>
        <s v="ANULADO"/>
        <s v="EM DESENVOLVIMENTO"/>
        <s v="A DECORRER"/>
        <s v="CONCURSO CONCLUÍDO"/>
        <s v="EM PRODUÇÃO"/>
        <s v="A CONTRATUALIZAR"/>
        <m/>
        <s v="CONCURSO A DECORRER"/>
      </sharedItems>
      <fieldGroup par="51"/>
    </cacheField>
    <cacheField name="SITUAÇÃO JURÍDICA" numFmtId="0">
      <sharedItems containsBlank="1" count="3">
        <m/>
        <s v="SUSPENSO"/>
        <s v="ANULADO"/>
      </sharedItems>
    </cacheField>
    <cacheField name="DATA INÍCIO DE RODAGEM" numFmtId="14">
      <sharedItems containsNonDate="0" containsDate="1" containsString="0" containsBlank="1" minDate="2001-09-03T00:00:00" maxDate="2014-11-20T00:00:00"/>
    </cacheField>
    <cacheField name="DATA FIM DE RODAGEM" numFmtId="14">
      <sharedItems containsDate="1" containsBlank="1" containsMixedTypes="1" minDate="2005-09-07T00:00:00" maxDate="2014-12-21T00:00:00"/>
    </cacheField>
    <cacheField name="PAÍSES DE RODAGEM" numFmtId="14">
      <sharedItems containsBlank="1" count="27">
        <m/>
        <s v="PT"/>
        <s v="PT, FR, BE, CV, RU, AO"/>
        <s v="GW"/>
        <s v="PT, AG, BE, FR"/>
        <s v="BR"/>
        <s v="PT, AO"/>
        <s v="MZ"/>
        <s v="PT, GW"/>
        <s v="GR, TR, NL"/>
        <s v="PT, CH"/>
        <s v="PT, NOR"/>
        <s v="PT, AGO, CUB"/>
        <s v="CV"/>
        <s v="PT, CV, NL, US"/>
        <s v="PT, ES"/>
        <s v="PT, BR, MA"/>
        <s v="PT, BR, "/>
        <s v="BR, Hungria"/>
        <s v="JP"/>
        <s v="PT, EUA"/>
        <s v="PT, LY"/>
        <s v="PT, BR"/>
        <s v="PT, DE"/>
        <s v="RO"/>
        <s v="PT, FR"/>
        <s v="Portugal"/>
      </sharedItems>
    </cacheField>
    <cacheField name="DATA DE ENTREGA DA CÓPIA" numFmtId="0">
      <sharedItems containsNonDate="0" containsDate="1" containsString="0" containsBlank="1" minDate="1996-12-31T00:00:00" maxDate="2015-04-01T00:00:00"/>
    </cacheField>
    <cacheField name="OBSERVAÇÕES" numFmtId="0">
      <sharedItems containsBlank="1" containsMixedTypes="1" containsNumber="1" minValue="58.18" maxValue="111" count="14">
        <m/>
        <s v="Ex Produtora Periferia"/>
        <s v="no esig está uma prestação por efectuar"/>
        <s v="confirmar"/>
        <s v="duração 3x 13'"/>
        <s v="duraçõ 2x 26'"/>
        <s v="duração 30 x 2'"/>
        <s v="duração 5x7'"/>
        <s v="Concurso 2005"/>
        <n v="58.18"/>
        <n v="111"/>
        <s v="apoiado pelo protocolo MC/Distribuidores"/>
        <s v="Apoio total 776 050 € ???"/>
        <s v="Não foram entregues candidaturas"/>
      </sharedItems>
    </cacheField>
    <cacheField name="ATUALIZAÇÃO" numFmtId="0">
      <sharedItems containsDate="1" containsBlank="1" containsMixedTypes="1" minDate="2010-10-26T00:00:00" maxDate="2015-04-07T00:00:00"/>
    </cacheField>
    <cacheField name="TIPO GRAF" numFmtId="0">
      <sharedItems count="7">
        <s v="FICÇÃO LONGA"/>
        <s v="ANIMAÇÃO"/>
        <s v="FICÇÃO CURTA"/>
        <s v="DOCUMENTÁRIO"/>
        <s v="ARGUMENTO "/>
        <s v=" "/>
        <s v="ARGUMENTO LONGA"/>
      </sharedItems>
    </cacheField>
    <cacheField name="INDICE PRODUTOR" numFmtId="0">
      <sharedItems count="24">
        <s v="A"/>
        <s v="B"/>
        <s v="C"/>
        <s v="D"/>
        <s v="F"/>
        <s v="G"/>
        <s v="J"/>
        <s v="L"/>
        <s v="M"/>
        <s v="O"/>
        <s v="P"/>
        <s v="R"/>
        <s v="S"/>
        <s v="T"/>
        <s v="U"/>
        <s v="V"/>
        <s v="Z"/>
        <s v="H"/>
        <s v="N"/>
        <s v="E"/>
        <s v="I"/>
        <s v=""/>
        <s v="K"/>
        <s v="3"/>
      </sharedItems>
    </cacheField>
    <cacheField name="INDICE PROJECTO" numFmtId="0">
      <sharedItems/>
    </cacheField>
    <cacheField name="ANO ENTREGA" numFmtId="0">
      <sharedItems containsSemiMixedTypes="0" containsString="0" containsNumber="1" containsInteger="1" minValue="1900" maxValue="2015" count="16">
        <n v="2012"/>
        <n v="2013"/>
        <n v="2011"/>
        <n v="1900"/>
        <n v="2014"/>
        <n v="2015"/>
        <n v="2009"/>
        <n v="2010"/>
        <n v="2006"/>
        <n v="2001"/>
        <n v="1999"/>
        <n v="1996"/>
        <n v="2004"/>
        <n v="2008"/>
        <n v="2007"/>
        <n v="2005"/>
      </sharedItems>
    </cacheField>
    <cacheField name="SITUAÇÃO AGRUPADO" numFmtId="172">
      <sharedItems count="3">
        <s v="DEFINITIVOS"/>
        <e v="#N/A"/>
        <s v="PREVISIONAIS"/>
      </sharedItems>
    </cacheField>
    <cacheField name="REALIZADOR" numFmtId="0">
      <sharedItems containsBlank="1" count="422">
        <s v="Bruno de Almeida"/>
        <s v="Valeria Sarmiento"/>
        <s v="Filipe Abranches"/>
        <s v="Nuno Amorim"/>
        <s v="Paulo Patrício"/>
        <s v="André Carrilho"/>
        <s v="Fernando Relvas"/>
        <s v="Raquel Atalaia"/>
        <s v="Joana Bartolomeu"/>
        <s v="António Carlos Pinto"/>
        <s v="Luís Soares"/>
        <s v="Rodrigo Areias"/>
        <s v="João Figueiras"/>
        <s v="João Pedro Rodrigues"/>
        <s v="Possidónio Cachapa"/>
        <s v="João Rui Guerra da Mata"/>
        <s v="Leonor Noivo"/>
        <s v="Sílvia Firmino"/>
        <s v="Joaquim Pinto"/>
        <s v="Regina Pessoa"/>
        <s v="Oswaldo Caldeira"/>
        <s v="Angelo Torres"/>
        <s v="João Mário Grilo"/>
        <s v="Nicolau Breyner"/>
        <s v="Solveig Nordlund"/>
        <s v="Ruy Guerra"/>
        <s v="Inês Oliveira"/>
        <s v="David Bonneville"/>
        <s v="Luís Galvão Teles"/>
        <s v="Juan Carlos Medina"/>
        <s v="Sérgio Tréfaut"/>
        <s v="Fernando Matos Silva"/>
        <s v="Margarida Cardoso"/>
        <s v="João Salaviza"/>
        <s v="Andrzej Jakimowski"/>
        <s v="João Botelho"/>
        <s v="Nuno Fragata"/>
        <s v="Patrícia Figueiredo"/>
        <s v="George Felner"/>
        <s v="João Canijo"/>
        <s v="Sana Na N'Hada"/>
        <s v="Vítor Alves / Miguel Aguiar"/>
        <s v="Joaquim Leitão"/>
        <s v="António-Pedro Vasconcelos"/>
        <s v="Miguel Clara Vasconcelos"/>
        <s v="Rita Cruchinho Neves"/>
        <s v="Pedro Costa"/>
        <s v="Miguel Gomes"/>
        <s v="André Príncipe"/>
        <s v="João Rosas"/>
        <s v="João Nicolau"/>
        <s v="Mariana Teixeira Ricardo"/>
        <s v="Manoel de Oliveira"/>
        <s v="Sandro Aguilar"/>
        <s v="Ivo M.Ferreira"/>
        <s v="André Gil Mata"/>
        <s v="Azinheira"/>
        <s v="Jean-Luc Bouvret"/>
        <s v="Pedro Flores"/>
        <s v="Marina Palácio"/>
        <s v="Júlio Vanzeler / Luís da Matta Almeida"/>
        <s v="Rui Simões"/>
        <s v="Silas Tiny"/>
        <s v="Manuel Mozos"/>
        <s v="José Miguel Ribeiro"/>
        <s v="Vicente Ferraz"/>
        <s v="Leonel Vieira"/>
        <s v="João Vladimiro"/>
        <s v="Tiago Hespanha / Frederico Lobo"/>
        <s v="Luísa Homem / Pedro Pinho"/>
        <s v="Jorge de Silva Melo "/>
        <s v="João Morais Ribeiro"/>
        <s v="Fernando Lopes"/>
        <s v="Rui Cardoso"/>
        <s v="Joana Imaginário"/>
        <s v="Miguel Seabra Lopes"/>
        <s v="Paulo Abreu"/>
        <s v="João Pedro Rodrigues / João Rui Guerra da Mata"/>
        <s v="Pedro Caldas"/>
        <s v="Pedro Palma"/>
        <s v="Fernando Centeio"/>
        <s v="Miguel Ribeiro"/>
        <s v="Catarina Ruivo"/>
        <s v="Zézé Gamboa"/>
        <s v="Teresa Garcia"/>
        <s v="Eduardo Valente"/>
        <s v="Paulo Caldas"/>
        <s v="Luiz Alberto Pereira"/>
        <s v="Kiluanje Liberdade / Inês Gonçalves"/>
        <s v="Flora Gomes"/>
        <s v="Cláudia Varejão"/>
        <s v="Paulo Rocha"/>
        <s v="Cecília Amado"/>
        <s v="Miguel Fonseca"/>
        <s v="Mariana Gaivão"/>
        <s v="João Viana"/>
        <s v="Hugo Martins"/>
        <s v="José Filipe Costa"/>
        <s v="Luís Miguel Correia"/>
        <s v="Menelaos Karamaghiolis"/>
        <s v="Fernando Fragata"/>
        <s v="Pedro Lino"/>
        <s v="Rita Palma"/>
        <s v="Artur Correia"/>
        <s v="Aminata Embaló"/>
        <s v="Sérgio Bianchi"/>
        <s v="Vicente Alves do Ó"/>
        <s v="Bille August"/>
        <m/>
        <s v="João Jardim"/>
        <s v=""/>
        <s v="Rui Cardoso Martins"/>
        <s v="Eugène Green"/>
        <s v="David Machado"/>
        <s v="Tino Navarro"/>
        <s v="Tiago R. Santos"/>
        <s v="Maria de Medeiros"/>
        <s v="Igor Pitta Simões"/>
        <s v="João Nisa"/>
        <s v="Rita Azevedo Gomes "/>
        <s v="Edgar Feldman"/>
        <s v="Karim Aïnouz"/>
        <s v="João Correa"/>
        <s v="Júlio Alves"/>
        <s v="Geórgia Guerra Peixe"/>
        <s v="Elsa Bruxelas"/>
        <s v="Maria Moreira da Silva"/>
        <s v="Ariel de Bigault"/>
        <s v="Luís Filipe Rocha"/>
        <s v="Mário Vasques Neves"/>
        <s v="Marcelo Félix"/>
        <s v="Dulce Fernandes"/>
        <s v="Daniel Blaufuks"/>
        <s v="Marta Pessoa"/>
        <s v="Ricardo Leite"/>
        <s v="Joana Cunha Ferreira"/>
        <s v="Isabel Aboim Inglez"/>
        <s v="Pedro Brito"/>
        <s v="Marta Monteiro"/>
        <s v="Tiago Albuquerque / João Braz"/>
        <s v="Joana Toste"/>
        <s v="João Fazenda"/>
        <s v="Graça Gomes"/>
        <s v="Zepe"/>
        <s v="Vitor Lopes"/>
        <s v="Luís da Matta Almeida"/>
        <s v="Fátima Ribeiro"/>
        <s v="Sol De Carvalho"/>
        <s v="Adriano Luz"/>
        <s v="Nuno Portugal"/>
        <s v="Margarida Leitão"/>
        <s v="Licínio Azevedo"/>
        <s v="Margarida Gil"/>
        <s v="Teresa Villaverde"/>
        <s v="Maria Esperança Pascoal"/>
        <s v="Gabriel Abrantes"/>
        <s v="Imanol Uribe"/>
        <s v="Lionel David Baier"/>
        <s v="Jorge António"/>
        <s v="Tiago Afonso"/>
        <s v="Ana Martins"/>
        <s v="Mário Carvalho"/>
        <s v="Alice Guimarães / Mónica Santos"/>
        <s v="Catarina Romano"/>
        <s v="David Doutel / Vasco Sá"/>
        <s v="António Costa Valente"/>
        <s v="Susana de Sousa Dias / Ansgar Schaefer"/>
        <s v="João Pinto Nogueira (Pinconé)"/>
        <s v="Tiago Hespanha"/>
        <s v="Jorge Eduardo Gil Pelicano"/>
        <s v="Walter Carvalho"/>
        <s v="Ricardo Pinto e Silva"/>
        <s v="Alberto Seixas Santos"/>
        <s v="António Ferreira"/>
        <s v="Hugo Diogo"/>
        <s v="Raul Ruiz"/>
        <s v="Edgar Pêra"/>
        <s v="Hugo Martins / Tiago Nunes / Hugo Alves / Rui Santos / Mónica Batista / Patrícia Raposo"/>
        <s v="João Ribeiro"/>
        <s v="José Carlos de Oliveira"/>
        <s v="José Fernandes"/>
        <s v="Luís Francisco"/>
        <s v="Rita Nunes"/>
        <s v="Manuel Matos Barbosa"/>
        <s v="António da Cunha Telles"/>
        <s v="Iana /João Viana"/>
        <s v="Paulo Filipe Monteiro"/>
        <s v="Graça Castanheira"/>
        <s v="Joana Pontes"/>
        <s v="Maria João Soares"/>
        <s v="Nelson Martins"/>
        <s v="Luís Alvarães"/>
        <s v="Sandra Santos"/>
        <s v="Nuno Beato"/>
        <s v="Francisco Manso"/>
        <s v="André Dias"/>
        <s v="Pedro Sena Nunes"/>
        <s v="Miguel Gonçalves Mendes"/>
        <s v="Susana Nobre"/>
        <s v="Susana de Sousa Dias"/>
        <s v="Luís Alves De Matos"/>
        <s v="Jorge Cramez"/>
        <s v="José Barahoma"/>
        <s v="Catarina Mourão"/>
        <s v="João Figueiros"/>
        <s v="Luís Avilés Baqueiro"/>
        <s v="Vítor Gonçalves"/>
        <s v="Sérgio Brás D'Almeida"/>
        <s v="José Maria Vaz da Silva"/>
        <s v="Gonçalo Galvão Telles"/>
        <s v="Pedro Éfe"/>
        <s v="Jeanne Waltz"/>
        <s v="Marco Martins"/>
        <s v="Lorenzo Innocenti"/>
        <s v="Werner Schroeter"/>
        <s v="Christine Reeh"/>
        <s v="Vitor Hugo Rocha"/>
        <s v="Daniel Lima"/>
        <s v="Carlos Cruz"/>
        <s v="Marta Madureira"/>
        <s v="João Trabulo"/>
        <s v="Francisco Villa-Lobos"/>
        <s v="Fernando José Saraiva"/>
        <s v="Pedro Serrazina"/>
        <s v="Joaquim Sapinho"/>
        <s v="Ivo M. Ferreira"/>
        <s v="Patrícia Plattner"/>
        <s v="André Marques"/>
        <s v="Pedro Rocha Nogueira"/>
        <s v="Bruno Lourenço"/>
        <s v="Susana Sousa Dias"/>
        <s v="Diana Adringa"/>
        <s v="Tiago Sousa"/>
        <s v="Luísa Costa Gomes"/>
        <s v="Jorge Silva Melo"/>
        <s v="Paolo Marinou-Blanco"/>
        <s v="Hugo Viera da Silva"/>
        <s v="Tiago Guedes"/>
        <s v="Telmo Churro"/>
        <s v="André Godinho"/>
        <s v="Pedro Pinho"/>
        <s v="Jorge Quintela"/>
        <s v="Francisco Botelho"/>
        <s v="Luis Alves de Matos"/>
        <s v="João Pedro Plácido / Laurence Ferreira Barbosa"/>
        <s v="Mário Barroso"/>
        <s v="Paulo Rebelo"/>
        <s v="Mateo Gil"/>
        <s v="Paul Auster"/>
        <s v="Ana Carolina Teixeira Soares"/>
        <s v="Alberto Graça"/>
        <s v="Tiago Guedes / Frederico Serra"/>
        <s v="António Escudeiro"/>
        <s v="Tiago Albuquerque"/>
        <s v="Pierre-Marie Goulet"/>
        <s v="José Nascimento"/>
        <s v="Ricardo Blanco"/>
        <s v="Irina Calado"/>
        <s v="Pedro Moura"/>
        <s v="André Ruivo"/>
        <s v="Olga Ramos"/>
        <s v="Inês Sapeta Dias"/>
        <s v="Nuno Tudela"/>
        <s v="Rita Teles"/>
        <s v="Nuno Canavarro"/>
        <s v="João Paulo Oliveira"/>
        <s v="Silvio Varela Sousa"/>
        <s v="António Duarte"/>
        <s v="Leonardo António"/>
        <s v="Filipe Melo"/>
        <s v="Daniel Souza"/>
        <s v="Raquel Freire"/>
        <s v="José Miguel Ribeiro, Marina Palácio"/>
        <s v="André Ferrão"/>
        <s v="André Letria"/>
        <s v="Pedro Teixeira"/>
        <s v="Joaquim Pinto, Nuno Leonel"/>
        <s v="Clídio Nódio"/>
        <s v="Pedro  Éfe"/>
        <s v="Francisco Xavier Moulens"/>
        <s v="Paulo Guilherme"/>
        <s v="Vitor Moreira"/>
        <s v="João Pedro Rodrigues, João Rui Guerra da Mata "/>
        <s v="Ana Eliseu"/>
        <s v="Vitor Candeias"/>
        <s v="José Diogo Gonçalves"/>
        <s v="Artur Serra Araújo"/>
        <s v="Jorge Paixão da Costa"/>
        <s v="Carlos Fernandes"/>
        <s v="Ángel de La Cruz"/>
        <s v="António Costa Valente, Carlos Silva Vítor Lopes"/>
        <s v="Afonso Cruz"/>
        <s v="Irina Calado, Carlos Fernandes"/>
        <s v="José Xavier"/>
        <s v="Inês Gonçalves, Vasco Pimentel"/>
        <s v="Mónica Ferreira, João Luz"/>
        <s v="Graça Castalheira"/>
        <s v="Andreia Barbosa"/>
        <s v="Inês de Medeiros"/>
        <s v="Paulo Lopes, Helena Lopes"/>
        <s v="Jorge Parreirinha Pires, José Francisco Pinheiro Câmara"/>
        <s v="Pedro Neves"/>
        <s v="Joana Ferreira"/>
        <s v="Pedro Baptista"/>
        <s v="João Carrilho"/>
        <s v="Nuno Bernardo"/>
        <s v="Joâo Guerra"/>
        <s v="João Pupo"/>
        <s v="João Guerra"/>
        <s v="José Fonseca e Costa"/>
        <s v="Teresa Prata"/>
        <s v="Florence Colombani"/>
        <s v="Zina Modiano"/>
        <s v="Juan Carlos Falcón"/>
        <s v="Hugo Vieira da Silva"/>
        <s v="Jorge Queiroga"/>
        <s v="Jorge Sanchez-Cabezudo"/>
        <s v="Tiago Guedes Frederico Serra"/>
        <s v="Paulo Nascimeto"/>
        <s v="Rosa Coutinho Cabral"/>
        <s v="Ramón Barea"/>
        <s v="Orlando Fortunato"/>
        <s v="Markus Heltschi"/>
        <s v="Fernando Vendrell"/>
        <s v="Carmen Castello-Branco"/>
        <s v="Gonçalo C. Luz"/>
        <s v="João Costa Menezes"/>
        <s v="Luís Campos Brás"/>
        <s v="Nuno Ramos de Almeida"/>
        <s v="José Neves"/>
        <s v="Cristina Ferreira Gomes"/>
        <s v="Leonor Areal"/>
        <s v="Alexandre Reina"/>
        <s v="Gabriel Velázquez Martin"/>
        <s v="Fernando Galrito, João Ramos Almeida"/>
        <s v="João Gorjão Clara"/>
        <s v="Silvino Fernandes, Paulo Sousa"/>
        <s v="António Campelo"/>
        <s v="José de Sá Caetano"/>
        <s v="Alice de Andrade"/>
        <s v="Laurence Ferreira Barbosa"/>
        <s v="José Edgar Feldman"/>
        <s v="Xavier Villaverde"/>
        <s v="Raquel Jacinto"/>
        <s v="Jacinto Lucas Pires"/>
        <s v="Luís Fonseca"/>
        <s v="Carlos Braga"/>
        <s v="Ricardo Aibéo"/>
        <s v="Iana Viana, João Viana"/>
        <s v="Paulo belém"/>
        <s v="Ginette Lavigne"/>
        <s v="Karen Boswall"/>
        <s v="Maya Rosa"/>
        <s v="Catarina Alves Costa"/>
        <s v="Carlos Barreto"/>
        <s v="Michaele Boganim"/>
        <s v="Silvino Fernandes"/>
        <s v="Frederico Fonseca, Vitor Martins"/>
        <s v="Jorge Mateus"/>
        <s v="João Nuno Pinto"/>
        <s v="Leandro Ferreira"/>
        <s v="José Luís G. Berlenga"/>
        <s v="Helvécio Ratton"/>
        <s v="Alexandre Siqueira"/>
        <s v="Alice Vieira / Jorge Paixão"/>
        <s v="Horácio Alcalá"/>
        <s v="Nicholas Oulman"/>
        <s v="Luis Filipe Rocha"/>
        <s v="Daniela Thomas"/>
        <s v="Cacá Diegues"/>
        <s v="Júlio Vanzeler "/>
        <s v="Margarida Madeira"/>
        <s v="Paulo D'Alva"/>
        <s v="Salomé Lamas"/>
        <s v="Teresa Villaverde e outros"/>
        <s v="Michael Sturminger"/>
        <s v="António Cabrita"/>
        <s v="Luís Mário Lopes"/>
        <s v="Zepe / Cátia Salgueiro"/>
        <s v="Humberto Santana / João Fazenda / Tiago Albuquerque / Alex Gozbiau"/>
        <s v="João Sodré"/>
        <s v="Luís Correia / Sana Na N'hada"/>
        <s v="Gonçalo Megre"/>
        <s v="Hamilton Trindade"/>
        <s v="João Canijo / Anabela Neves Moreira"/>
        <s v="Marcelo Felix"/>
        <s v="Gabriel Abrantes / Bem Rivers"/>
        <s v="Filipa César"/>
        <s v="Rui Santos"/>
        <s v="Felipe Bragança"/>
        <s v="Marcelo Gomes"/>
        <s v="Andjrzej Zulawski"/>
        <s v="Jaime Mateus"/>
        <s v="F.J.Ossang"/>
        <s v="Andrzej Zulawski"/>
        <s v="Leonor Pinhão"/>
        <s v="João Leitão"/>
        <s v="Márcio Laranjeira"/>
        <s v="Philippe Costantini"/>
        <s v="Pedro Amorim"/>
        <s v="José Vieira"/>
        <s v="Filipe Reis / João Miller Guerra"/>
        <s v="Inês Gil"/>
        <s v="Ângelo Fernandes"/>
        <s v="Carlos Saboga / Mário Barroso"/>
        <s v="Miguel Filipe Pires de Matos"/>
        <s v="Alexandre Ramires, Laura Gonçalves"/>
        <s v="Francisco Lança"/>
        <s v="Sara Barbas"/>
        <s v="Joana Areal"/>
        <s v="Carlos Saboga"/>
        <s v="Rui Carlos Martins"/>
        <s v="Rita Marrafa de Carvalho / Ana Sofia Vila Maior"/>
        <s v="Zara Pinto"/>
        <s v="Filipe Santos"/>
        <s v="Ian Velloza"/>
        <s v="Filipa Reis / João Miller Guerra"/>
        <s v="João Paradela"/>
        <s v="Pedro Bastos"/>
        <s v="Gabriel Abranches" u="1"/>
        <s v="Alice Azevedo / Mónica Santos" u="1"/>
        <s v="Pedro Costa e outros" u="1"/>
      </sharedItems>
    </cacheField>
    <cacheField name="REALIZADOR ICAM" numFmtId="0">
      <sharedItems/>
    </cacheField>
    <cacheField name="DURAÇÃO" numFmtId="173">
      <sharedItems containsDate="1" containsMixedTypes="1" minDate="1899-12-31T00:00:00" maxDate="1899-12-30T04:32:00" count="248">
        <d v="1899-12-30T01:32:00"/>
        <d v="1899-12-30T02:31:00"/>
        <d v="1899-12-30T00:12:30"/>
        <d v="1899-12-30T00:08:00"/>
        <s v=""/>
        <d v="1899-12-30T00:11:04"/>
        <d v="1899-12-30T00:00:00"/>
        <d v="1899-12-30T00:09:27"/>
        <d v="1899-12-30T00:07:40"/>
        <d v="1899-12-30T00:10:33"/>
        <d v="1899-12-30T00:11:17"/>
        <d v="1899-12-30T00:32:34"/>
        <d v="1899-12-30T00:24:44"/>
        <d v="1899-12-30T00:30:00"/>
        <d v="1899-12-30T00:25:56"/>
        <d v="1899-12-30T00:51:00"/>
        <d v="1899-12-30T01:37:00"/>
        <d v="1899-12-30T02:44:00"/>
        <d v="1899-12-30T00:09:25"/>
        <d v="1899-12-30T00:51:39"/>
        <d v="1899-12-30T00:24:00"/>
        <d v="1899-12-30T01:40:00"/>
        <d v="1899-12-30T00:18:00"/>
        <d v="1899-12-30T01:20:00"/>
        <d v="1899-12-30T01:16:30"/>
        <d v="1899-12-30T01:06:40"/>
        <d v="1899-12-30T01:25:00"/>
        <d v="1899-12-30T01:57:00"/>
        <d v="1899-12-30T01:27:42"/>
        <d v="1899-12-30T01:45:00"/>
        <d v="1899-12-30T00:06:40"/>
        <d v="1899-12-30T00:05:14"/>
        <d v="1899-12-30T01:53:00"/>
        <d v="1899-12-30T00:17:30"/>
        <d v="1899-12-30T01:56:00"/>
        <d v="1899-12-30T02:04:00"/>
        <d v="1899-12-30T01:43:00"/>
        <d v="1899-12-30T00:32:00"/>
        <d v="1899-12-30T01:31:06"/>
        <d v="1899-12-30T00:28:00"/>
        <d v="1899-12-30T00:13:34"/>
        <d v="1899-12-30T00:55:00"/>
        <d v="1899-12-30T00:13:06"/>
        <d v="1899-12-30T00:07:00"/>
        <d v="1899-12-30T00:10:35"/>
        <d v="1899-12-30T01:17:35"/>
        <d v="1899-12-30T01:30:00"/>
        <d v="1899-12-30T00:40:00"/>
        <d v="1899-12-30T01:47:00"/>
        <d v="1899-12-30T01:39:00"/>
        <d v="1899-12-30T01:13:00"/>
        <d v="1899-12-30T00:58:07"/>
        <d v="1899-12-30T00:17:11"/>
        <d v="1899-12-30T02:00:00"/>
        <d v="1899-12-30T00:12:13"/>
        <d v="1899-12-30T00:07:39"/>
        <d v="1899-12-30T00:21:00"/>
        <d v="1899-12-30T00:22:00"/>
        <d v="1899-12-30T00:44:24"/>
        <d v="1899-12-30T00:15:40"/>
        <d v="1899-12-30T00:56:00"/>
        <d v="1899-12-30T01:50:00"/>
        <d v="1899-12-30T00:40:55"/>
        <d v="1899-12-30T01:27:00"/>
        <d v="1899-12-30T01:02:13"/>
        <d v="1899-12-30T01:18:00"/>
        <d v="1899-12-30T00:17:12"/>
        <d v="1899-12-30T00:24:15"/>
        <d v="1899-12-30T01:36:00"/>
        <d v="1899-12-30T01:22:02"/>
        <d v="1899-12-30T02:20:00"/>
        <d v="1899-12-30T01:33:22"/>
        <d v="1899-12-30T00:13:00"/>
        <d v="1899-12-30T01:17:53"/>
        <d v="1899-12-30T00:23:24"/>
        <d v="1899-12-30T02:22:00"/>
        <d v="1899-12-30T00:10:00"/>
        <d v="1899-12-30T01:15:00"/>
        <d v="1899-12-30T00:04:25"/>
        <d v="1899-12-30T00:52:00"/>
        <d v="1899-12-30T01:59:00"/>
        <d v="1899-12-30T01:51:00"/>
        <d v="1899-12-30T01:41:00"/>
        <d v="1899-12-30T00:20:33"/>
        <d v="1899-12-30T00:20:15"/>
        <d v="1899-12-30T00:23:00"/>
        <d v="1899-12-30T00:21:57"/>
        <d v="1899-12-30T01:12:00"/>
        <d v="1899-12-30T00:15:00"/>
        <d v="1899-12-30T00:59:00"/>
        <d v="1899-12-30T00:45:00"/>
        <d v="1899-12-30T01:03:00"/>
        <d v="1899-12-30T01:04:00"/>
        <d v="1899-12-30T01:27:52"/>
        <d v="1899-12-30T01:00:33"/>
        <d v="1899-12-30T02:10:00"/>
        <d v="1899-12-30T00:26:58"/>
        <d v="1899-12-30T00:58:00"/>
        <d v="1899-12-30T00:16:18"/>
        <d v="1899-12-30T00:07:19"/>
        <d v="1899-12-30T00:10:30"/>
        <d v="1899-12-30T00:09:07"/>
        <d v="1899-12-30T00:04:59"/>
        <d v="1899-12-30T00:08:51"/>
        <d v="1899-12-30T00:03:00"/>
        <d v="1899-12-30T00:02:00"/>
        <d v="1899-12-30T01:00:00"/>
        <d v="1899-12-30T00:35:36"/>
        <d v="1899-12-30T00:15:08"/>
        <d v="1899-12-30T00:14:00"/>
        <d v="1899-12-30T01:42:00"/>
        <d v="1899-12-30T01:34:00"/>
        <d v="1899-12-30T01:36:04"/>
        <d v="1899-12-30T01:12:52"/>
        <d v="1899-12-30T00:06:00"/>
        <d v="1899-12-30T00:11:00"/>
        <d v="1899-12-30T02:32:00"/>
        <d v="1899-12-30T01:58:00"/>
        <d v="1899-12-30T01:07:00"/>
        <d v="1899-12-30T04:32:00"/>
        <d v="1899-12-30T02:01:00"/>
        <d v="1899-12-30T01:54:00"/>
        <d v="1899-12-30T00:50:57"/>
        <d v="1899-12-30T00:47:00"/>
        <d v="1899-12-30T00:05:00"/>
        <d v="1899-12-30T00:23:43"/>
        <d v="1899-12-30T01:14:00"/>
        <d v="1899-12-30T00:28:47"/>
        <d v="1899-12-30T00:12:00"/>
        <d v="1899-12-30T00:13:26"/>
        <d v="1899-12-30T00:48:00"/>
        <d v="1899-12-30T01:35:00"/>
        <d v="1899-12-30T00:17:00"/>
        <d v="1899-12-30T01:17:00"/>
        <d v="1899-12-30T01:21:00"/>
        <d v="1899-12-30T01:24:00"/>
        <d v="1899-12-30T00:20:00"/>
        <d v="1899-12-30T01:31:00"/>
        <d v="1899-12-30T00:04:00"/>
        <d v="1899-12-30T00:16:00"/>
        <d v="1899-12-30T00:09:36"/>
        <d v="1899-12-30T00:17:18"/>
        <d v="1899-12-30T00:21:20"/>
        <d v="1899-12-30T00:03:50"/>
        <d v="1899-12-30T01:33:00"/>
        <d v="1899-12-30T00:05:40"/>
        <d v="1899-12-30T00:07:34"/>
        <d v="1899-12-30T00:08:30"/>
        <d v="1899-12-30T00:05:25"/>
        <d v="1899-12-30T00:06:57"/>
        <d v="1899-12-30T00:19:53"/>
        <d v="1899-12-30T00:11:23"/>
        <d v="1899-12-30T01:22:00"/>
        <d v="1899-12-30T00:52:57"/>
        <d v="1899-12-30T00:53:00"/>
        <d v="1899-12-30T00:33:00"/>
        <d v="1899-12-30T00:16:27"/>
        <d v="1899-12-30T02:02:00"/>
        <d v="1899-12-30T02:13:00"/>
        <d v="1899-12-30T01:38:00"/>
        <d v="1899-12-30T00:35:00"/>
        <d v="1899-12-30T00:07:50"/>
        <d v="1899-12-30T00:22:25"/>
        <d v="1899-12-30T00:25:00"/>
        <d v="1899-12-30T00:15:53"/>
        <d v="1899-12-30T01:32:50"/>
        <d v="1899-12-30T01:02:00"/>
        <d v="1899-12-30T01:00:42"/>
        <d v="1899-12-30T01:21:32"/>
        <d v="1899-12-30T00:27:00"/>
        <d v="1899-12-30T00:31:24"/>
        <d v="1899-12-30T00:22:37"/>
        <d v="1899-12-30T00:33:15"/>
        <d v="1899-12-30T00:20:54"/>
        <d v="1899-12-30T00:22:35"/>
        <d v="1899-12-30T02:04:22"/>
        <d v="1899-12-30T02:25:00"/>
        <d v="1899-12-30T01:34:50"/>
        <d v="1899-12-30T01:35:52"/>
        <d v="1899-12-30T01:48:00"/>
        <d v="1899-12-30T00:58:18"/>
        <d v="1899-12-30T00:11:38"/>
        <d v="1899-12-30T00:15:18"/>
        <d v="1899-12-30T00:44:00"/>
        <d v="1899-12-30T00:12:25"/>
        <d v="1899-12-30T00:09:00"/>
        <d v="1899-12-30T00:16:38"/>
        <d v="1899-12-30T00:28:30"/>
        <d v="1899-12-30T00:16:34"/>
        <d v="1899-12-30T00:20:13"/>
        <d v="1899-12-30T02:27:00"/>
        <d v="1899-12-30T00:07:07"/>
        <d v="1899-12-30T00:43:00"/>
        <d v="1899-12-30T00:50:00"/>
        <d v="1899-12-30T01:15:50"/>
        <d v="1899-12-30T00:54:00"/>
        <d v="1899-12-30T00:51:38"/>
        <d v="1899-12-30T00:16:21"/>
        <d v="1899-12-30T00:25:25"/>
        <d v="1899-12-30T00:32:12"/>
        <d v="1899-12-30T00:15:41"/>
        <d v="1899-12-30T00:19:00"/>
        <d v="1899-12-30T00:19:44"/>
        <d v="1899-12-30T00:18:40"/>
        <d v="1899-12-30T00:33:40"/>
        <d v="1899-12-30T00:29:40"/>
        <d v="1899-12-30T00:14:45"/>
        <d v="1899-12-30T00:15:26"/>
        <d v="1899-12-30T01:23:00"/>
        <d v="1899-12-30T01:46:00"/>
        <d v="1899-12-30T00:11:21"/>
        <d v="1899-12-30T00:10:58"/>
        <d v="1899-12-30T00:10:20"/>
        <d v="1899-12-30T00:01:20"/>
        <d v="1899-12-30T00:07:10"/>
        <d v="1899-12-30T01:08:00"/>
        <d v="1899-12-30T00:57:00"/>
        <d v="1899-12-30T00:54:25"/>
        <d v="1899-12-30T00:49:39"/>
        <d v="1899-12-30T01:01:00"/>
        <d v="1899-12-30T01:19:00"/>
        <d v="1899-12-30T02:15:00"/>
        <d v="1899-12-30T02:06:00"/>
        <d v="1899-12-30T02:35:00"/>
        <d v="1899-12-30T02:03:00"/>
        <d v="1899-12-30T02:17:00"/>
        <d v="1899-12-30T01:52:00"/>
        <d v="1899-12-30T01:28:00"/>
        <d v="1899-12-30T01:49:00"/>
        <d v="1899-12-30T00:15:50"/>
        <d v="1899-12-30T00:26:00"/>
        <d v="1899-12-30T00:41:00"/>
        <d v="1899-12-30T00:54:41"/>
        <d v="1899-12-30T00:07:26"/>
        <d v="1899-12-30T02:07:00"/>
        <d v="1899-12-30T01:55:00"/>
        <d v="1899-12-30T00:34:00"/>
        <d v="1899-12-30T00:31:00"/>
        <d v="1899-12-30T00:33:26"/>
        <d v="1899-12-30T00:37:00"/>
        <d v="1899-12-30T01:09:00"/>
        <d v="1899-12-30T01:10:00"/>
        <d v="1899-12-30T01:05:00"/>
        <d v="1899-12-30T00:09:54"/>
        <d v="1899-12-30T00:07:06"/>
        <d v="1899-12-30T00:14:39"/>
        <d v="1899-12-30T00:29:00"/>
        <n v="0" u="1"/>
      </sharedItems>
    </cacheField>
    <cacheField name="ANO PRODUÇÃO" numFmtId="0">
      <sharedItems containsSemiMixedTypes="0" containsString="0" containsNumber="1" containsInteger="1" minValue="0" maxValue="2015" count="19">
        <n v="2012"/>
        <n v="2014"/>
        <n v="0"/>
        <n v="2013"/>
        <n v="2015"/>
        <n v="2011"/>
        <n v="2009"/>
        <n v="2010"/>
        <n v="2007"/>
        <n v="2006"/>
        <n v="2001"/>
        <n v="1999"/>
        <n v="1996"/>
        <n v="2003"/>
        <n v="2008"/>
        <n v="2005"/>
        <n v="2004"/>
        <n v="2002"/>
        <n v="1989"/>
      </sharedItems>
    </cacheField>
    <cacheField name="TIPO" numFmtId="0">
      <sharedItems containsBlank="1" count="5">
        <s v="FICÇÃO"/>
        <s v="ANIMAÇÃO"/>
        <s v="DOCUMENTÁRIO"/>
        <s v="ARGUMENTO"/>
        <m/>
      </sharedItems>
    </cacheField>
    <cacheField name="METRAGEM" numFmtId="0">
      <sharedItems containsBlank="1" count="4">
        <s v="LONGA"/>
        <s v="CURTA"/>
        <s v="SÉRIE"/>
        <m/>
      </sharedItems>
    </cacheField>
    <cacheField name="EPISÓDIOS" numFmtId="0">
      <sharedItems containsString="0" containsBlank="1" containsNumber="1" containsInteger="1" minValue="3" maxValue="108" count="14">
        <m/>
        <n v="15"/>
        <n v="3"/>
        <n v="26"/>
        <n v="5"/>
        <n v="52"/>
        <n v="25"/>
        <n v="20"/>
        <n v="6"/>
        <n v="8"/>
        <n v="65"/>
        <n v="10"/>
        <n v="108"/>
        <n v="13"/>
      </sharedItems>
    </cacheField>
    <cacheField name="DI" numFmtId="14">
      <sharedItems containsSemiMixedTypes="0" containsNonDate="0" containsDate="1" containsString="0" minDate="1899-12-30T00:00:00" maxDate="2014-11-20T00:00:00"/>
    </cacheField>
    <cacheField name="DF" numFmtId="14">
      <sharedItems containsSemiMixedTypes="0" containsNonDate="0" containsDate="1" containsString="0" minDate="1899-12-30T00:00:00" maxDate="2014-12-21T00:00:00"/>
    </cacheField>
    <cacheField name="SITUAÇÃO2" numFmtId="0" databaseField="0">
      <fieldGroup base="29">
        <discretePr count="15">
          <x v="0"/>
          <x v="4"/>
          <x v="11"/>
          <x v="3"/>
          <x v="11"/>
          <x v="13"/>
          <x v="2"/>
          <x v="8"/>
          <x v="5"/>
          <x v="12"/>
          <x v="10"/>
          <x v="1"/>
          <x v="6"/>
          <x v="7"/>
          <x v="9"/>
        </discretePr>
        <groupItems count="14">
          <s v="CONCLUÍDO"/>
          <s v="EM PRODUÇÃO"/>
          <s v="PRÉ-PRODUÇÃO"/>
          <s v="PÓS-PRODUÇÃO"/>
          <s v="FASE DE RODAGEM"/>
          <s v="EM DESENVOLVIMENTO"/>
          <s v="A CONTRATUALIZAR"/>
          <m/>
          <s v="ANULADO"/>
          <s v="CONCURSO A DECORRER"/>
          <s v="CONCURSO CONCLUÍDO"/>
          <s v="Agrupar1"/>
          <s v="A DECORRER"/>
          <s v="DESISTÊNCIA"/>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64">
  <r>
    <x v="0"/>
    <n v="1"/>
    <x v="0"/>
    <x v="0"/>
    <s v="CM"/>
    <s v="S"/>
    <x v="0"/>
    <x v="0"/>
    <x v="0"/>
    <m/>
    <x v="0"/>
    <m/>
    <x v="0"/>
    <x v="0"/>
    <x v="0"/>
    <d v="2011-11-06T00:00:00"/>
    <x v="0"/>
    <x v="0"/>
    <m/>
    <s v="Foco Portugal: In Focus Miguel Gomes"/>
    <x v="0"/>
    <x v="0"/>
    <m/>
    <x v="0"/>
    <x v="0"/>
    <x v="0"/>
    <x v="0"/>
    <x v="0"/>
    <x v="0"/>
    <x v="0"/>
    <x v="0"/>
  </r>
  <r>
    <x v="0"/>
    <n v="2"/>
    <x v="1"/>
    <x v="1"/>
    <s v="LM"/>
    <s v="S"/>
    <x v="1"/>
    <x v="1"/>
    <x v="1"/>
    <m/>
    <x v="1"/>
    <m/>
    <x v="1"/>
    <x v="0"/>
    <x v="1"/>
    <d v="2011-02-27T00:00:00"/>
    <x v="1"/>
    <x v="1"/>
    <s v="Largometrajes"/>
    <m/>
    <x v="1"/>
    <x v="0"/>
    <m/>
    <x v="1"/>
    <x v="1"/>
    <x v="1"/>
    <x v="1"/>
    <x v="1"/>
    <x v="0"/>
    <x v="1"/>
    <x v="1"/>
  </r>
  <r>
    <x v="0"/>
    <n v="2"/>
    <x v="1"/>
    <x v="1"/>
    <s v="LM"/>
    <s v="S"/>
    <x v="1"/>
    <x v="1"/>
    <x v="2"/>
    <m/>
    <x v="2"/>
    <m/>
    <x v="2"/>
    <x v="0"/>
    <x v="2"/>
    <d v="2011-03-29T00:00:00"/>
    <x v="2"/>
    <x v="0"/>
    <m/>
    <m/>
    <x v="0"/>
    <x v="1"/>
    <m/>
    <x v="0"/>
    <x v="1"/>
    <x v="1"/>
    <x v="2"/>
    <x v="0"/>
    <x v="0"/>
    <x v="2"/>
    <x v="2"/>
  </r>
  <r>
    <x v="0"/>
    <n v="2"/>
    <x v="1"/>
    <x v="1"/>
    <s v="LM"/>
    <s v="S"/>
    <x v="1"/>
    <x v="1"/>
    <x v="3"/>
    <m/>
    <x v="3"/>
    <m/>
    <x v="2"/>
    <x v="0"/>
    <x v="3"/>
    <d v="2011-04-03T00:00:00"/>
    <x v="3"/>
    <x v="0"/>
    <m/>
    <s v="Au Sud de l'Europe - Portugal"/>
    <x v="0"/>
    <x v="0"/>
    <m/>
    <x v="0"/>
    <x v="1"/>
    <x v="1"/>
    <x v="2"/>
    <x v="0"/>
    <x v="0"/>
    <x v="3"/>
    <x v="3"/>
  </r>
  <r>
    <x v="0"/>
    <n v="2"/>
    <x v="1"/>
    <x v="1"/>
    <s v="LM"/>
    <s v="S"/>
    <x v="1"/>
    <x v="1"/>
    <x v="4"/>
    <m/>
    <x v="4"/>
    <m/>
    <x v="2"/>
    <x v="0"/>
    <x v="4"/>
    <d v="2011-05-08T00:00:00"/>
    <x v="4"/>
    <x v="0"/>
    <m/>
    <m/>
    <x v="0"/>
    <x v="1"/>
    <m/>
    <x v="0"/>
    <x v="1"/>
    <x v="1"/>
    <x v="2"/>
    <x v="0"/>
    <x v="0"/>
    <x v="4"/>
    <x v="4"/>
  </r>
  <r>
    <x v="0"/>
    <n v="2"/>
    <x v="1"/>
    <x v="1"/>
    <s v="LM"/>
    <s v="S"/>
    <x v="1"/>
    <x v="1"/>
    <x v="5"/>
    <m/>
    <x v="5"/>
    <m/>
    <x v="3"/>
    <x v="0"/>
    <x v="5"/>
    <m/>
    <x v="5"/>
    <x v="0"/>
    <m/>
    <m/>
    <x v="0"/>
    <x v="1"/>
    <m/>
    <x v="0"/>
    <x v="1"/>
    <x v="1"/>
    <x v="3"/>
    <x v="0"/>
    <x v="1"/>
    <x v="5"/>
    <x v="5"/>
  </r>
  <r>
    <x v="0"/>
    <n v="2"/>
    <x v="1"/>
    <x v="1"/>
    <s v="LM"/>
    <s v="S"/>
    <x v="1"/>
    <x v="1"/>
    <x v="6"/>
    <m/>
    <x v="6"/>
    <m/>
    <x v="4"/>
    <x v="0"/>
    <x v="6"/>
    <d v="2011-05-14T00:00:00"/>
    <x v="6"/>
    <x v="1"/>
    <s v="Competencia Internacional de Documentales"/>
    <m/>
    <x v="2"/>
    <x v="0"/>
    <m/>
    <x v="1"/>
    <x v="1"/>
    <x v="1"/>
    <x v="4"/>
    <x v="2"/>
    <x v="0"/>
    <x v="6"/>
    <x v="6"/>
  </r>
  <r>
    <x v="0"/>
    <n v="2"/>
    <x v="1"/>
    <x v="1"/>
    <s v="LM"/>
    <s v="S"/>
    <x v="1"/>
    <x v="1"/>
    <x v="7"/>
    <m/>
    <x v="7"/>
    <m/>
    <x v="3"/>
    <x v="0"/>
    <x v="7"/>
    <d v="2011-06-19T00:00:00"/>
    <x v="7"/>
    <x v="0"/>
    <m/>
    <m/>
    <x v="0"/>
    <x v="1"/>
    <m/>
    <x v="0"/>
    <x v="1"/>
    <x v="1"/>
    <x v="3"/>
    <x v="0"/>
    <x v="1"/>
    <x v="7"/>
    <x v="7"/>
  </r>
  <r>
    <x v="0"/>
    <n v="2"/>
    <x v="1"/>
    <x v="1"/>
    <s v="LM"/>
    <s v="S"/>
    <x v="1"/>
    <x v="1"/>
    <x v="8"/>
    <m/>
    <x v="8"/>
    <m/>
    <x v="3"/>
    <x v="0"/>
    <x v="8"/>
    <m/>
    <x v="8"/>
    <x v="0"/>
    <m/>
    <m/>
    <x v="0"/>
    <x v="1"/>
    <m/>
    <x v="0"/>
    <x v="1"/>
    <x v="1"/>
    <x v="3"/>
    <x v="0"/>
    <x v="1"/>
    <x v="8"/>
    <x v="8"/>
  </r>
  <r>
    <x v="0"/>
    <n v="2"/>
    <x v="1"/>
    <x v="1"/>
    <s v="LM"/>
    <s v="S"/>
    <x v="1"/>
    <x v="1"/>
    <x v="9"/>
    <m/>
    <x v="9"/>
    <m/>
    <x v="3"/>
    <x v="0"/>
    <x v="9"/>
    <m/>
    <x v="8"/>
    <x v="0"/>
    <m/>
    <m/>
    <x v="0"/>
    <x v="1"/>
    <m/>
    <x v="0"/>
    <x v="1"/>
    <x v="1"/>
    <x v="3"/>
    <x v="0"/>
    <x v="1"/>
    <x v="9"/>
    <x v="9"/>
  </r>
  <r>
    <x v="0"/>
    <n v="2"/>
    <x v="1"/>
    <x v="1"/>
    <s v="LM"/>
    <s v="S"/>
    <x v="1"/>
    <x v="1"/>
    <x v="10"/>
    <m/>
    <x v="10"/>
    <m/>
    <x v="0"/>
    <x v="0"/>
    <x v="10"/>
    <d v="2011-09-25T00:00:00"/>
    <x v="9"/>
    <x v="1"/>
    <s v="Andorinha Longa Documentário"/>
    <m/>
    <x v="3"/>
    <x v="0"/>
    <m/>
    <x v="1"/>
    <x v="1"/>
    <x v="1"/>
    <x v="0"/>
    <x v="3"/>
    <x v="0"/>
    <x v="10"/>
    <x v="10"/>
  </r>
  <r>
    <x v="0"/>
    <n v="2"/>
    <x v="1"/>
    <x v="1"/>
    <s v="LM"/>
    <s v="S"/>
    <x v="1"/>
    <x v="1"/>
    <x v="11"/>
    <m/>
    <x v="11"/>
    <m/>
    <x v="3"/>
    <x v="0"/>
    <x v="10"/>
    <d v="2011-10-31T00:00:00"/>
    <x v="10"/>
    <x v="0"/>
    <m/>
    <m/>
    <x v="0"/>
    <x v="1"/>
    <m/>
    <x v="0"/>
    <x v="1"/>
    <x v="1"/>
    <x v="3"/>
    <x v="0"/>
    <x v="1"/>
    <x v="10"/>
    <x v="11"/>
  </r>
  <r>
    <x v="0"/>
    <n v="2"/>
    <x v="1"/>
    <x v="1"/>
    <s v="LM"/>
    <s v="S"/>
    <x v="1"/>
    <x v="1"/>
    <x v="12"/>
    <m/>
    <x v="12"/>
    <m/>
    <x v="2"/>
    <x v="0"/>
    <x v="11"/>
    <d v="2011-09-27T00:00:00"/>
    <x v="9"/>
    <x v="0"/>
    <m/>
    <s v="Les Blessures"/>
    <x v="0"/>
    <x v="1"/>
    <m/>
    <x v="0"/>
    <x v="1"/>
    <x v="1"/>
    <x v="2"/>
    <x v="0"/>
    <x v="0"/>
    <x v="11"/>
    <x v="12"/>
  </r>
  <r>
    <x v="0"/>
    <n v="2"/>
    <x v="1"/>
    <x v="1"/>
    <s v="LM"/>
    <s v="S"/>
    <x v="1"/>
    <x v="1"/>
    <x v="13"/>
    <m/>
    <x v="13"/>
    <m/>
    <x v="3"/>
    <x v="0"/>
    <x v="12"/>
    <m/>
    <x v="9"/>
    <x v="0"/>
    <m/>
    <m/>
    <x v="0"/>
    <x v="1"/>
    <m/>
    <x v="0"/>
    <x v="1"/>
    <x v="1"/>
    <x v="3"/>
    <x v="0"/>
    <x v="1"/>
    <x v="12"/>
    <x v="13"/>
  </r>
  <r>
    <x v="0"/>
    <n v="2"/>
    <x v="1"/>
    <x v="1"/>
    <s v="LM"/>
    <s v="S"/>
    <x v="1"/>
    <x v="1"/>
    <x v="14"/>
    <m/>
    <x v="14"/>
    <m/>
    <x v="3"/>
    <x v="0"/>
    <x v="13"/>
    <d v="2011-11-05T00:00:00"/>
    <x v="0"/>
    <x v="1"/>
    <s v="Competição Longas Metragens"/>
    <m/>
    <x v="0"/>
    <x v="0"/>
    <m/>
    <x v="0"/>
    <x v="1"/>
    <x v="1"/>
    <x v="3"/>
    <x v="0"/>
    <x v="1"/>
    <x v="13"/>
    <x v="14"/>
  </r>
  <r>
    <x v="0"/>
    <n v="2"/>
    <x v="1"/>
    <x v="1"/>
    <s v="LM"/>
    <s v="S"/>
    <x v="1"/>
    <x v="1"/>
    <x v="15"/>
    <m/>
    <x v="15"/>
    <m/>
    <x v="3"/>
    <x v="0"/>
    <x v="14"/>
    <d v="2011-12-20T00:00:00"/>
    <x v="11"/>
    <x v="0"/>
    <m/>
    <m/>
    <x v="0"/>
    <x v="1"/>
    <m/>
    <x v="0"/>
    <x v="1"/>
    <x v="1"/>
    <x v="3"/>
    <x v="0"/>
    <x v="1"/>
    <x v="14"/>
    <x v="15"/>
  </r>
  <r>
    <x v="0"/>
    <n v="2"/>
    <x v="1"/>
    <x v="1"/>
    <s v="LM"/>
    <s v="S"/>
    <x v="1"/>
    <x v="1"/>
    <x v="16"/>
    <m/>
    <x v="16"/>
    <m/>
    <x v="1"/>
    <x v="0"/>
    <x v="15"/>
    <d v="2011-12-17T00:00:00"/>
    <x v="12"/>
    <x v="0"/>
    <m/>
    <m/>
    <x v="0"/>
    <x v="1"/>
    <m/>
    <x v="0"/>
    <x v="1"/>
    <x v="1"/>
    <x v="1"/>
    <x v="0"/>
    <x v="0"/>
    <x v="15"/>
    <x v="16"/>
  </r>
  <r>
    <x v="0"/>
    <n v="2"/>
    <x v="1"/>
    <x v="1"/>
    <s v="LM"/>
    <s v="S"/>
    <x v="1"/>
    <x v="1"/>
    <x v="17"/>
    <m/>
    <x v="17"/>
    <m/>
    <x v="2"/>
    <x v="0"/>
    <x v="16"/>
    <m/>
    <x v="12"/>
    <x v="0"/>
    <m/>
    <m/>
    <x v="0"/>
    <x v="1"/>
    <m/>
    <x v="0"/>
    <x v="1"/>
    <x v="1"/>
    <x v="2"/>
    <x v="0"/>
    <x v="0"/>
    <x v="16"/>
    <x v="17"/>
  </r>
  <r>
    <x v="0"/>
    <n v="2"/>
    <x v="1"/>
    <x v="1"/>
    <s v="LM"/>
    <s v="S"/>
    <x v="1"/>
    <x v="1"/>
    <x v="18"/>
    <m/>
    <x v="18"/>
    <m/>
    <x v="3"/>
    <x v="0"/>
    <x v="17"/>
    <d v="2011-12-14T00:00:00"/>
    <x v="12"/>
    <x v="0"/>
    <m/>
    <m/>
    <x v="0"/>
    <x v="1"/>
    <m/>
    <x v="0"/>
    <x v="1"/>
    <x v="1"/>
    <x v="3"/>
    <x v="0"/>
    <x v="1"/>
    <x v="17"/>
    <x v="18"/>
  </r>
  <r>
    <x v="0"/>
    <n v="3"/>
    <x v="2"/>
    <x v="0"/>
    <s v="CM"/>
    <s v="N"/>
    <x v="2"/>
    <x v="1"/>
    <x v="19"/>
    <m/>
    <x v="19"/>
    <m/>
    <x v="0"/>
    <x v="0"/>
    <x v="18"/>
    <d v="2011-05-15T00:00:00"/>
    <x v="6"/>
    <x v="0"/>
    <m/>
    <s v="Mostras Paralelas - FIKE"/>
    <x v="0"/>
    <x v="0"/>
    <m/>
    <x v="0"/>
    <x v="0"/>
    <x v="2"/>
    <x v="0"/>
    <x v="0"/>
    <x v="0"/>
    <x v="18"/>
    <x v="19"/>
  </r>
  <r>
    <x v="0"/>
    <n v="3"/>
    <x v="2"/>
    <x v="0"/>
    <s v="CM"/>
    <s v="N"/>
    <x v="2"/>
    <x v="1"/>
    <x v="20"/>
    <m/>
    <x v="20"/>
    <m/>
    <x v="5"/>
    <x v="0"/>
    <x v="19"/>
    <d v="2011-09-18T00:00:00"/>
    <x v="9"/>
    <x v="1"/>
    <m/>
    <m/>
    <x v="0"/>
    <x v="0"/>
    <m/>
    <x v="0"/>
    <x v="0"/>
    <x v="2"/>
    <x v="5"/>
    <x v="0"/>
    <x v="0"/>
    <x v="19"/>
    <x v="20"/>
  </r>
  <r>
    <x v="0"/>
    <n v="3"/>
    <x v="2"/>
    <x v="0"/>
    <s v="CM"/>
    <s v="N"/>
    <x v="2"/>
    <x v="1"/>
    <x v="21"/>
    <m/>
    <x v="21"/>
    <m/>
    <x v="3"/>
    <x v="0"/>
    <x v="15"/>
    <d v="2011-12-03T00:00:00"/>
    <x v="12"/>
    <x v="1"/>
    <s v="Curtas Ficção"/>
    <m/>
    <x v="0"/>
    <x v="0"/>
    <m/>
    <x v="0"/>
    <x v="0"/>
    <x v="2"/>
    <x v="3"/>
    <x v="0"/>
    <x v="1"/>
    <x v="15"/>
    <x v="21"/>
  </r>
  <r>
    <x v="0"/>
    <n v="9"/>
    <x v="3"/>
    <x v="1"/>
    <s v="CM"/>
    <s v="N"/>
    <x v="3"/>
    <x v="2"/>
    <x v="22"/>
    <m/>
    <x v="22"/>
    <m/>
    <x v="3"/>
    <x v="0"/>
    <x v="20"/>
    <d v="2011-11-17T00:00:00"/>
    <x v="13"/>
    <x v="1"/>
    <s v="Ensaios Visuais 2"/>
    <m/>
    <x v="0"/>
    <x v="0"/>
    <m/>
    <x v="0"/>
    <x v="2"/>
    <x v="3"/>
    <x v="3"/>
    <x v="0"/>
    <x v="1"/>
    <x v="20"/>
    <x v="22"/>
  </r>
  <r>
    <x v="0"/>
    <n v="11"/>
    <x v="4"/>
    <x v="1"/>
    <s v="Série"/>
    <s v="N"/>
    <x v="4"/>
    <x v="2"/>
    <x v="23"/>
    <m/>
    <x v="23"/>
    <m/>
    <x v="3"/>
    <x v="0"/>
    <x v="21"/>
    <d v="2011-09-23T00:00:00"/>
    <x v="9"/>
    <x v="0"/>
    <m/>
    <m/>
    <x v="0"/>
    <x v="1"/>
    <m/>
    <x v="0"/>
    <x v="3"/>
    <x v="4"/>
    <x v="3"/>
    <x v="0"/>
    <x v="1"/>
    <x v="21"/>
    <x v="23"/>
  </r>
  <r>
    <x v="0"/>
    <n v="14"/>
    <x v="5"/>
    <x v="0"/>
    <s v="CM"/>
    <s v="N"/>
    <x v="5"/>
    <x v="2"/>
    <x v="24"/>
    <m/>
    <x v="24"/>
    <m/>
    <x v="3"/>
    <x v="0"/>
    <x v="22"/>
    <d v="2011-09-24T00:00:00"/>
    <x v="9"/>
    <x v="0"/>
    <m/>
    <s v="Hard Nights"/>
    <x v="0"/>
    <x v="0"/>
    <m/>
    <x v="0"/>
    <x v="0"/>
    <x v="5"/>
    <x v="3"/>
    <x v="0"/>
    <x v="1"/>
    <x v="22"/>
    <x v="24"/>
  </r>
  <r>
    <x v="0"/>
    <n v="16"/>
    <x v="6"/>
    <x v="1"/>
    <s v="CM"/>
    <s v=""/>
    <x v="6"/>
    <x v="3"/>
    <x v="25"/>
    <m/>
    <x v="24"/>
    <m/>
    <x v="3"/>
    <x v="0"/>
    <x v="23"/>
    <d v="2011-10-30T00:00:00"/>
    <x v="14"/>
    <x v="1"/>
    <s v="Competição Portuguesa - Curtas"/>
    <m/>
    <x v="0"/>
    <x v="0"/>
    <m/>
    <x v="0"/>
    <x v="2"/>
    <x v="6"/>
    <x v="3"/>
    <x v="0"/>
    <x v="1"/>
    <x v="23"/>
    <x v="25"/>
  </r>
  <r>
    <x v="0"/>
    <n v="18"/>
    <x v="7"/>
    <x v="2"/>
    <s v="CM"/>
    <s v="N"/>
    <x v="7"/>
    <x v="2"/>
    <x v="26"/>
    <m/>
    <x v="24"/>
    <m/>
    <x v="3"/>
    <x v="0"/>
    <x v="24"/>
    <d v="2011-03-27T00:00:00"/>
    <x v="2"/>
    <x v="1"/>
    <s v="Curtíssimas"/>
    <m/>
    <x v="0"/>
    <x v="0"/>
    <m/>
    <x v="0"/>
    <x v="4"/>
    <x v="7"/>
    <x v="3"/>
    <x v="0"/>
    <x v="1"/>
    <x v="24"/>
    <x v="26"/>
  </r>
  <r>
    <x v="0"/>
    <n v="18"/>
    <x v="7"/>
    <x v="2"/>
    <s v="CM"/>
    <s v="N"/>
    <x v="7"/>
    <x v="2"/>
    <x v="27"/>
    <m/>
    <x v="25"/>
    <m/>
    <x v="3"/>
    <x v="0"/>
    <x v="25"/>
    <d v="2011-11-13T00:00:00"/>
    <x v="13"/>
    <x v="1"/>
    <s v="Competição Nacional: Prémio António Gaio"/>
    <m/>
    <x v="0"/>
    <x v="0"/>
    <m/>
    <x v="0"/>
    <x v="4"/>
    <x v="7"/>
    <x v="3"/>
    <x v="0"/>
    <x v="1"/>
    <x v="25"/>
    <x v="27"/>
  </r>
  <r>
    <x v="0"/>
    <n v="21"/>
    <x v="8"/>
    <x v="1"/>
    <s v="LM"/>
    <s v="N"/>
    <x v="8"/>
    <x v="2"/>
    <x v="25"/>
    <m/>
    <x v="24"/>
    <m/>
    <x v="3"/>
    <x v="0"/>
    <x v="23"/>
    <d v="2011-10-30T00:00:00"/>
    <x v="14"/>
    <x v="1"/>
    <s v="Competição Portuguesa - Médias e Longas"/>
    <m/>
    <x v="0"/>
    <x v="0"/>
    <m/>
    <x v="0"/>
    <x v="1"/>
    <x v="8"/>
    <x v="3"/>
    <x v="0"/>
    <x v="1"/>
    <x v="23"/>
    <x v="28"/>
  </r>
  <r>
    <x v="0"/>
    <n v="22"/>
    <x v="9"/>
    <x v="0"/>
    <s v="CM"/>
    <s v="N"/>
    <x v="9"/>
    <x v="1"/>
    <x v="28"/>
    <m/>
    <x v="26"/>
    <m/>
    <x v="6"/>
    <x v="0"/>
    <x v="26"/>
    <m/>
    <x v="15"/>
    <x v="1"/>
    <s v="Main Course"/>
    <m/>
    <x v="0"/>
    <x v="0"/>
    <m/>
    <x v="0"/>
    <x v="0"/>
    <x v="9"/>
    <x v="6"/>
    <x v="0"/>
    <x v="0"/>
    <x v="26"/>
    <x v="29"/>
  </r>
  <r>
    <x v="0"/>
    <n v="22"/>
    <x v="9"/>
    <x v="0"/>
    <s v="CM"/>
    <s v="N"/>
    <x v="9"/>
    <x v="1"/>
    <x v="29"/>
    <m/>
    <x v="27"/>
    <m/>
    <x v="7"/>
    <x v="0"/>
    <x v="27"/>
    <d v="2011-03-13T00:00:00"/>
    <x v="2"/>
    <x v="1"/>
    <s v="Compétition 8"/>
    <m/>
    <x v="0"/>
    <x v="0"/>
    <m/>
    <x v="0"/>
    <x v="0"/>
    <x v="9"/>
    <x v="7"/>
    <x v="0"/>
    <x v="0"/>
    <x v="27"/>
    <x v="30"/>
  </r>
  <r>
    <x v="0"/>
    <n v="22"/>
    <x v="9"/>
    <x v="0"/>
    <s v="CM"/>
    <s v="N"/>
    <x v="9"/>
    <x v="1"/>
    <x v="30"/>
    <m/>
    <x v="28"/>
    <m/>
    <x v="8"/>
    <x v="0"/>
    <x v="28"/>
    <d v="2011-03-20T00:00:00"/>
    <x v="2"/>
    <x v="0"/>
    <m/>
    <s v="Shorties 6+"/>
    <x v="0"/>
    <x v="0"/>
    <m/>
    <x v="0"/>
    <x v="0"/>
    <x v="9"/>
    <x v="8"/>
    <x v="0"/>
    <x v="0"/>
    <x v="28"/>
    <x v="31"/>
  </r>
  <r>
    <x v="0"/>
    <n v="22"/>
    <x v="9"/>
    <x v="0"/>
    <s v="CM"/>
    <s v="N"/>
    <x v="9"/>
    <x v="1"/>
    <x v="31"/>
    <m/>
    <x v="29"/>
    <m/>
    <x v="2"/>
    <x v="0"/>
    <x v="24"/>
    <d v="2011-03-26T00:00:00"/>
    <x v="2"/>
    <x v="0"/>
    <m/>
    <s v="Les courts avant les longs"/>
    <x v="0"/>
    <x v="0"/>
    <m/>
    <x v="0"/>
    <x v="0"/>
    <x v="9"/>
    <x v="2"/>
    <x v="0"/>
    <x v="0"/>
    <x v="24"/>
    <x v="32"/>
  </r>
  <r>
    <x v="0"/>
    <n v="22"/>
    <x v="9"/>
    <x v="0"/>
    <s v="CM"/>
    <s v="N"/>
    <x v="9"/>
    <x v="1"/>
    <x v="32"/>
    <m/>
    <x v="30"/>
    <m/>
    <x v="9"/>
    <x v="0"/>
    <x v="29"/>
    <d v="2011-04-03T00:00:00"/>
    <x v="3"/>
    <x v="0"/>
    <m/>
    <s v="Independent Shorts Program 3"/>
    <x v="0"/>
    <x v="0"/>
    <m/>
    <x v="0"/>
    <x v="0"/>
    <x v="9"/>
    <x v="9"/>
    <x v="0"/>
    <x v="0"/>
    <x v="29"/>
    <x v="33"/>
  </r>
  <r>
    <x v="0"/>
    <n v="22"/>
    <x v="9"/>
    <x v="0"/>
    <s v="CM"/>
    <s v="N"/>
    <x v="9"/>
    <x v="1"/>
    <x v="33"/>
    <m/>
    <x v="31"/>
    <m/>
    <x v="10"/>
    <x v="0"/>
    <x v="30"/>
    <d v="2011-04-03T00:00:00"/>
    <x v="3"/>
    <x v="0"/>
    <m/>
    <m/>
    <x v="0"/>
    <x v="0"/>
    <m/>
    <x v="0"/>
    <x v="0"/>
    <x v="9"/>
    <x v="10"/>
    <x v="0"/>
    <x v="0"/>
    <x v="30"/>
    <x v="34"/>
  </r>
  <r>
    <x v="0"/>
    <n v="22"/>
    <x v="9"/>
    <x v="0"/>
    <s v="CM"/>
    <s v="N"/>
    <x v="9"/>
    <x v="1"/>
    <x v="34"/>
    <m/>
    <x v="32"/>
    <m/>
    <x v="3"/>
    <x v="0"/>
    <x v="31"/>
    <d v="2011-05-15T00:00:00"/>
    <x v="6"/>
    <x v="1"/>
    <m/>
    <m/>
    <x v="0"/>
    <x v="0"/>
    <m/>
    <x v="0"/>
    <x v="0"/>
    <x v="9"/>
    <x v="3"/>
    <x v="0"/>
    <x v="1"/>
    <x v="31"/>
    <x v="35"/>
  </r>
  <r>
    <x v="0"/>
    <n v="22"/>
    <x v="9"/>
    <x v="0"/>
    <s v="CM"/>
    <s v="N"/>
    <x v="9"/>
    <x v="1"/>
    <x v="35"/>
    <m/>
    <x v="33"/>
    <m/>
    <x v="2"/>
    <x v="0"/>
    <x v="32"/>
    <d v="2011-06-19T00:00:00"/>
    <x v="7"/>
    <x v="0"/>
    <m/>
    <s v="Les Sciences en Courts et Longs Métrages"/>
    <x v="0"/>
    <x v="0"/>
    <m/>
    <x v="0"/>
    <x v="0"/>
    <x v="9"/>
    <x v="2"/>
    <x v="0"/>
    <x v="0"/>
    <x v="32"/>
    <x v="36"/>
  </r>
  <r>
    <x v="0"/>
    <n v="22"/>
    <x v="9"/>
    <x v="0"/>
    <s v="CM"/>
    <s v="N"/>
    <x v="9"/>
    <x v="1"/>
    <x v="36"/>
    <m/>
    <x v="34"/>
    <m/>
    <x v="11"/>
    <x v="0"/>
    <x v="33"/>
    <d v="2011-06-25T00:00:00"/>
    <x v="7"/>
    <x v="0"/>
    <m/>
    <m/>
    <x v="0"/>
    <x v="1"/>
    <m/>
    <x v="0"/>
    <x v="0"/>
    <x v="9"/>
    <x v="11"/>
    <x v="0"/>
    <x v="0"/>
    <x v="33"/>
    <x v="37"/>
  </r>
  <r>
    <x v="0"/>
    <n v="22"/>
    <x v="9"/>
    <x v="0"/>
    <s v="CM"/>
    <s v="N"/>
    <x v="9"/>
    <x v="1"/>
    <x v="37"/>
    <m/>
    <x v="35"/>
    <m/>
    <x v="2"/>
    <x v="0"/>
    <x v="15"/>
    <d v="2011-12-04T00:00:00"/>
    <x v="12"/>
    <x v="1"/>
    <s v="Compétition international 4"/>
    <m/>
    <x v="0"/>
    <x v="0"/>
    <m/>
    <x v="0"/>
    <x v="0"/>
    <x v="9"/>
    <x v="2"/>
    <x v="0"/>
    <x v="0"/>
    <x v="15"/>
    <x v="38"/>
  </r>
  <r>
    <x v="0"/>
    <n v="2157"/>
    <x v="10"/>
    <x v="0"/>
    <s v="LM"/>
    <s v="S"/>
    <x v="10"/>
    <x v="4"/>
    <x v="38"/>
    <m/>
    <x v="36"/>
    <m/>
    <x v="3"/>
    <x v="0"/>
    <x v="34"/>
    <d v="2011-11-19T00:00:00"/>
    <x v="13"/>
    <x v="0"/>
    <m/>
    <s v="Integral da Ficção de Manuel Mozos"/>
    <x v="0"/>
    <x v="1"/>
    <m/>
    <x v="0"/>
    <x v="5"/>
    <x v="10"/>
    <x v="3"/>
    <x v="0"/>
    <x v="1"/>
    <x v="34"/>
    <x v="39"/>
  </r>
  <r>
    <x v="0"/>
    <n v="23"/>
    <x v="11"/>
    <x v="1"/>
    <s v="CM"/>
    <s v="N"/>
    <x v="11"/>
    <x v="5"/>
    <x v="10"/>
    <m/>
    <x v="10"/>
    <m/>
    <x v="0"/>
    <x v="0"/>
    <x v="10"/>
    <d v="2011-09-25T00:00:00"/>
    <x v="9"/>
    <x v="1"/>
    <s v="Andorinha Curta Documentário"/>
    <m/>
    <x v="4"/>
    <x v="0"/>
    <m/>
    <x v="1"/>
    <x v="2"/>
    <x v="11"/>
    <x v="0"/>
    <x v="4"/>
    <x v="0"/>
    <x v="10"/>
    <x v="40"/>
  </r>
  <r>
    <x v="0"/>
    <n v="23"/>
    <x v="11"/>
    <x v="1"/>
    <s v="CM"/>
    <s v="N"/>
    <x v="11"/>
    <x v="5"/>
    <x v="39"/>
    <m/>
    <x v="23"/>
    <m/>
    <x v="3"/>
    <x v="0"/>
    <x v="35"/>
    <m/>
    <x v="9"/>
    <x v="0"/>
    <m/>
    <m/>
    <x v="0"/>
    <x v="1"/>
    <m/>
    <x v="0"/>
    <x v="2"/>
    <x v="11"/>
    <x v="3"/>
    <x v="0"/>
    <x v="1"/>
    <x v="35"/>
    <x v="41"/>
  </r>
  <r>
    <x v="0"/>
    <n v="23"/>
    <x v="11"/>
    <x v="1"/>
    <s v="CM"/>
    <s v="N"/>
    <x v="11"/>
    <x v="5"/>
    <x v="40"/>
    <m/>
    <x v="37"/>
    <m/>
    <x v="3"/>
    <x v="0"/>
    <x v="36"/>
    <m/>
    <x v="13"/>
    <x v="0"/>
    <m/>
    <m/>
    <x v="0"/>
    <x v="1"/>
    <m/>
    <x v="0"/>
    <x v="2"/>
    <x v="11"/>
    <x v="3"/>
    <x v="0"/>
    <x v="1"/>
    <x v="36"/>
    <x v="42"/>
  </r>
  <r>
    <x v="0"/>
    <n v="24"/>
    <x v="12"/>
    <x v="0"/>
    <s v="CM"/>
    <s v="N"/>
    <x v="12"/>
    <x v="3"/>
    <x v="21"/>
    <m/>
    <x v="21"/>
    <m/>
    <x v="3"/>
    <x v="0"/>
    <x v="15"/>
    <d v="2011-12-03T00:00:00"/>
    <x v="12"/>
    <x v="1"/>
    <s v="Curtas Ficção"/>
    <m/>
    <x v="0"/>
    <x v="0"/>
    <m/>
    <x v="0"/>
    <x v="0"/>
    <x v="12"/>
    <x v="3"/>
    <x v="0"/>
    <x v="1"/>
    <x v="15"/>
    <x v="43"/>
  </r>
  <r>
    <x v="0"/>
    <n v="26"/>
    <x v="13"/>
    <x v="0"/>
    <s v="CM"/>
    <s v="N"/>
    <x v="13"/>
    <x v="2"/>
    <x v="41"/>
    <m/>
    <x v="38"/>
    <m/>
    <x v="3"/>
    <x v="0"/>
    <x v="37"/>
    <m/>
    <x v="16"/>
    <x v="1"/>
    <m/>
    <m/>
    <x v="5"/>
    <x v="0"/>
    <m/>
    <x v="1"/>
    <x v="0"/>
    <x v="13"/>
    <x v="3"/>
    <x v="5"/>
    <x v="1"/>
    <x v="37"/>
    <x v="44"/>
  </r>
  <r>
    <x v="0"/>
    <n v="27"/>
    <x v="14"/>
    <x v="1"/>
    <s v="LM"/>
    <s v="N"/>
    <x v="14"/>
    <x v="2"/>
    <x v="42"/>
    <m/>
    <x v="39"/>
    <m/>
    <x v="3"/>
    <x v="0"/>
    <x v="38"/>
    <m/>
    <x v="13"/>
    <x v="0"/>
    <m/>
    <m/>
    <x v="0"/>
    <x v="1"/>
    <m/>
    <x v="0"/>
    <x v="1"/>
    <x v="14"/>
    <x v="3"/>
    <x v="0"/>
    <x v="1"/>
    <x v="38"/>
    <x v="45"/>
  </r>
  <r>
    <x v="0"/>
    <n v="30"/>
    <x v="15"/>
    <x v="1"/>
    <s v="CM"/>
    <s v="N"/>
    <x v="15"/>
    <x v="6"/>
    <x v="43"/>
    <m/>
    <x v="40"/>
    <m/>
    <x v="3"/>
    <x v="0"/>
    <x v="20"/>
    <d v="2011-11-26T00:00:00"/>
    <x v="13"/>
    <x v="0"/>
    <m/>
    <m/>
    <x v="0"/>
    <x v="1"/>
    <m/>
    <x v="0"/>
    <x v="2"/>
    <x v="15"/>
    <x v="3"/>
    <x v="0"/>
    <x v="1"/>
    <x v="20"/>
    <x v="46"/>
  </r>
  <r>
    <x v="0"/>
    <n v="31"/>
    <x v="16"/>
    <x v="1"/>
    <s v="LM"/>
    <s v="S"/>
    <x v="16"/>
    <x v="3"/>
    <x v="25"/>
    <m/>
    <x v="24"/>
    <m/>
    <x v="3"/>
    <x v="0"/>
    <x v="23"/>
    <d v="2011-10-30T00:00:00"/>
    <x v="14"/>
    <x v="1"/>
    <s v="Competição Portuguesa - Médias e Longas"/>
    <m/>
    <x v="0"/>
    <x v="0"/>
    <m/>
    <x v="0"/>
    <x v="1"/>
    <x v="16"/>
    <x v="3"/>
    <x v="0"/>
    <x v="1"/>
    <x v="23"/>
    <x v="47"/>
  </r>
  <r>
    <x v="0"/>
    <n v="31"/>
    <x v="16"/>
    <x v="1"/>
    <s v="LM"/>
    <s v="S"/>
    <x v="16"/>
    <x v="3"/>
    <x v="44"/>
    <m/>
    <x v="41"/>
    <m/>
    <x v="11"/>
    <x v="0"/>
    <x v="39"/>
    <d v="2011-10-30T00:00:00"/>
    <x v="14"/>
    <x v="1"/>
    <s v="Opus Bonum"/>
    <m/>
    <x v="0"/>
    <x v="0"/>
    <m/>
    <x v="0"/>
    <x v="1"/>
    <x v="16"/>
    <x v="11"/>
    <x v="0"/>
    <x v="0"/>
    <x v="39"/>
    <x v="48"/>
  </r>
  <r>
    <x v="0"/>
    <n v="31"/>
    <x v="16"/>
    <x v="1"/>
    <s v="LM"/>
    <s v="S"/>
    <x v="16"/>
    <x v="3"/>
    <x v="45"/>
    <m/>
    <x v="34"/>
    <m/>
    <x v="11"/>
    <x v="0"/>
    <x v="40"/>
    <m/>
    <x v="13"/>
    <x v="0"/>
    <m/>
    <m/>
    <x v="0"/>
    <x v="0"/>
    <m/>
    <x v="0"/>
    <x v="1"/>
    <x v="16"/>
    <x v="11"/>
    <x v="0"/>
    <x v="0"/>
    <x v="40"/>
    <x v="49"/>
  </r>
  <r>
    <x v="0"/>
    <n v="31"/>
    <x v="16"/>
    <x v="1"/>
    <s v="LM"/>
    <s v="S"/>
    <x v="16"/>
    <x v="3"/>
    <x v="46"/>
    <m/>
    <x v="24"/>
    <m/>
    <x v="3"/>
    <x v="0"/>
    <x v="41"/>
    <d v="2011-11-18T00:00:00"/>
    <x v="13"/>
    <x v="1"/>
    <s v="Prémio de Cinema para Filmes sobre Arte"/>
    <m/>
    <x v="6"/>
    <x v="0"/>
    <m/>
    <x v="1"/>
    <x v="1"/>
    <x v="16"/>
    <x v="3"/>
    <x v="6"/>
    <x v="1"/>
    <x v="41"/>
    <x v="50"/>
  </r>
  <r>
    <x v="0"/>
    <n v="32"/>
    <x v="17"/>
    <x v="0"/>
    <s v="CM"/>
    <s v="N"/>
    <x v="17"/>
    <x v="2"/>
    <x v="21"/>
    <m/>
    <x v="21"/>
    <m/>
    <x v="3"/>
    <x v="0"/>
    <x v="15"/>
    <d v="2011-12-03T00:00:00"/>
    <x v="12"/>
    <x v="1"/>
    <s v="Prémio Universidades"/>
    <m/>
    <x v="0"/>
    <x v="0"/>
    <m/>
    <x v="0"/>
    <x v="0"/>
    <x v="17"/>
    <x v="3"/>
    <x v="0"/>
    <x v="1"/>
    <x v="15"/>
    <x v="51"/>
  </r>
  <r>
    <x v="0"/>
    <n v="34"/>
    <x v="18"/>
    <x v="0"/>
    <s v="LM"/>
    <s v="S"/>
    <x v="18"/>
    <x v="5"/>
    <x v="47"/>
    <m/>
    <x v="42"/>
    <m/>
    <x v="12"/>
    <x v="0"/>
    <x v="42"/>
    <d v="2011-05-22T00:00:00"/>
    <x v="6"/>
    <x v="0"/>
    <m/>
    <m/>
    <x v="0"/>
    <x v="1"/>
    <m/>
    <x v="0"/>
    <x v="5"/>
    <x v="18"/>
    <x v="12"/>
    <x v="0"/>
    <x v="0"/>
    <x v="42"/>
    <x v="52"/>
  </r>
  <r>
    <x v="0"/>
    <n v="36"/>
    <x v="19"/>
    <x v="0"/>
    <s v="CM"/>
    <s v="N"/>
    <x v="19"/>
    <x v="2"/>
    <x v="48"/>
    <m/>
    <x v="24"/>
    <m/>
    <x v="3"/>
    <x v="0"/>
    <x v="21"/>
    <d v="2011-09-11T00:00:00"/>
    <x v="9"/>
    <x v="1"/>
    <s v="Prémio Motelx . Melhor Curta de Terror Portuguesa"/>
    <m/>
    <x v="0"/>
    <x v="0"/>
    <m/>
    <x v="0"/>
    <x v="0"/>
    <x v="19"/>
    <x v="3"/>
    <x v="0"/>
    <x v="1"/>
    <x v="21"/>
    <x v="53"/>
  </r>
  <r>
    <x v="0"/>
    <n v="37"/>
    <x v="20"/>
    <x v="0"/>
    <s v="CM"/>
    <s v="N"/>
    <x v="20"/>
    <x v="7"/>
    <x v="49"/>
    <m/>
    <x v="16"/>
    <m/>
    <x v="1"/>
    <x v="0"/>
    <x v="43"/>
    <d v="2011-05-26T00:00:00"/>
    <x v="6"/>
    <x v="0"/>
    <m/>
    <s v="Carte Blanche à Pedro Costa"/>
    <x v="0"/>
    <x v="1"/>
    <m/>
    <x v="0"/>
    <x v="0"/>
    <x v="20"/>
    <x v="1"/>
    <x v="0"/>
    <x v="0"/>
    <x v="43"/>
    <x v="54"/>
  </r>
  <r>
    <x v="0"/>
    <n v="37"/>
    <x v="20"/>
    <x v="0"/>
    <s v="CM"/>
    <s v="N"/>
    <x v="20"/>
    <x v="7"/>
    <x v="50"/>
    <m/>
    <x v="20"/>
    <m/>
    <x v="5"/>
    <x v="0"/>
    <x v="44"/>
    <d v="2011-07-03T00:00:00"/>
    <x v="17"/>
    <x v="0"/>
    <m/>
    <s v="Carte Blanche à Pedro Costa"/>
    <x v="0"/>
    <x v="1"/>
    <m/>
    <x v="0"/>
    <x v="0"/>
    <x v="20"/>
    <x v="5"/>
    <x v="0"/>
    <x v="0"/>
    <x v="44"/>
    <x v="55"/>
  </r>
  <r>
    <x v="0"/>
    <n v="37"/>
    <x v="20"/>
    <x v="0"/>
    <s v="CM"/>
    <s v="N"/>
    <x v="20"/>
    <x v="7"/>
    <x v="51"/>
    <m/>
    <x v="43"/>
    <m/>
    <x v="3"/>
    <x v="0"/>
    <x v="45"/>
    <d v="2011-09-11T00:00:00"/>
    <x v="9"/>
    <x v="0"/>
    <m/>
    <s v="LBV"/>
    <x v="0"/>
    <x v="0"/>
    <m/>
    <x v="0"/>
    <x v="0"/>
    <x v="20"/>
    <x v="3"/>
    <x v="0"/>
    <x v="1"/>
    <x v="45"/>
    <x v="56"/>
  </r>
  <r>
    <x v="0"/>
    <n v="38"/>
    <x v="21"/>
    <x v="2"/>
    <s v="CM"/>
    <s v="S"/>
    <x v="21"/>
    <x v="2"/>
    <x v="52"/>
    <m/>
    <x v="24"/>
    <m/>
    <x v="3"/>
    <x v="0"/>
    <x v="46"/>
    <m/>
    <x v="9"/>
    <x v="0"/>
    <m/>
    <m/>
    <x v="0"/>
    <x v="1"/>
    <m/>
    <x v="0"/>
    <x v="4"/>
    <x v="21"/>
    <x v="3"/>
    <x v="0"/>
    <x v="1"/>
    <x v="46"/>
    <x v="57"/>
  </r>
  <r>
    <x v="0"/>
    <n v="39"/>
    <x v="22"/>
    <x v="0"/>
    <s v="LM"/>
    <s v="N"/>
    <x v="22"/>
    <x v="8"/>
    <x v="53"/>
    <m/>
    <x v="24"/>
    <m/>
    <x v="3"/>
    <x v="0"/>
    <x v="47"/>
    <d v="2011-07-31T00:00:00"/>
    <x v="8"/>
    <x v="0"/>
    <m/>
    <m/>
    <x v="0"/>
    <x v="1"/>
    <m/>
    <x v="0"/>
    <x v="5"/>
    <x v="22"/>
    <x v="3"/>
    <x v="0"/>
    <x v="1"/>
    <x v="47"/>
    <x v="58"/>
  </r>
  <r>
    <x v="0"/>
    <n v="39"/>
    <x v="22"/>
    <x v="0"/>
    <s v="LM"/>
    <s v="N"/>
    <x v="22"/>
    <x v="8"/>
    <x v="54"/>
    <m/>
    <x v="44"/>
    <m/>
    <x v="3"/>
    <x v="0"/>
    <x v="48"/>
    <d v="2011-08-31T00:00:00"/>
    <x v="16"/>
    <x v="0"/>
    <m/>
    <m/>
    <x v="0"/>
    <x v="1"/>
    <m/>
    <x v="0"/>
    <x v="5"/>
    <x v="22"/>
    <x v="3"/>
    <x v="0"/>
    <x v="1"/>
    <x v="48"/>
    <x v="59"/>
  </r>
  <r>
    <x v="0"/>
    <n v="43"/>
    <x v="23"/>
    <x v="0"/>
    <s v="CM"/>
    <s v="N"/>
    <x v="23"/>
    <x v="2"/>
    <x v="22"/>
    <m/>
    <x v="22"/>
    <m/>
    <x v="3"/>
    <x v="0"/>
    <x v="20"/>
    <d v="2011-11-17T00:00:00"/>
    <x v="13"/>
    <x v="1"/>
    <s v="Sessão Competitiva 8"/>
    <m/>
    <x v="0"/>
    <x v="0"/>
    <m/>
    <x v="0"/>
    <x v="0"/>
    <x v="23"/>
    <x v="3"/>
    <x v="0"/>
    <x v="1"/>
    <x v="20"/>
    <x v="60"/>
  </r>
  <r>
    <x v="0"/>
    <n v="44"/>
    <x v="24"/>
    <x v="0"/>
    <s v="CM"/>
    <s v="S"/>
    <x v="24"/>
    <x v="9"/>
    <x v="55"/>
    <m/>
    <x v="45"/>
    <m/>
    <x v="3"/>
    <x v="0"/>
    <x v="49"/>
    <d v="2011-02-12T00:00:00"/>
    <x v="18"/>
    <x v="0"/>
    <m/>
    <s v="6º Programa: As Escolhas de Teresa Garcia"/>
    <x v="0"/>
    <x v="1"/>
    <m/>
    <x v="0"/>
    <x v="0"/>
    <x v="24"/>
    <x v="3"/>
    <x v="0"/>
    <x v="1"/>
    <x v="49"/>
    <x v="61"/>
  </r>
  <r>
    <x v="0"/>
    <n v="44"/>
    <x v="24"/>
    <x v="0"/>
    <s v="CM"/>
    <s v="S"/>
    <x v="24"/>
    <x v="9"/>
    <x v="12"/>
    <m/>
    <x v="12"/>
    <m/>
    <x v="2"/>
    <x v="0"/>
    <x v="11"/>
    <d v="2011-09-27T00:00:00"/>
    <x v="9"/>
    <x v="0"/>
    <m/>
    <s v="Désir d'Eternité"/>
    <x v="0"/>
    <x v="1"/>
    <m/>
    <x v="0"/>
    <x v="0"/>
    <x v="24"/>
    <x v="2"/>
    <x v="0"/>
    <x v="0"/>
    <x v="11"/>
    <x v="62"/>
  </r>
  <r>
    <x v="0"/>
    <n v="46"/>
    <x v="25"/>
    <x v="1"/>
    <s v="LM"/>
    <s v="S"/>
    <x v="25"/>
    <x v="2"/>
    <x v="8"/>
    <m/>
    <x v="8"/>
    <m/>
    <x v="3"/>
    <x v="0"/>
    <x v="50"/>
    <m/>
    <x v="7"/>
    <x v="0"/>
    <m/>
    <m/>
    <x v="0"/>
    <x v="1"/>
    <m/>
    <x v="0"/>
    <x v="1"/>
    <x v="25"/>
    <x v="3"/>
    <x v="0"/>
    <x v="1"/>
    <x v="50"/>
    <x v="63"/>
  </r>
  <r>
    <x v="0"/>
    <n v="46"/>
    <x v="25"/>
    <x v="1"/>
    <s v="LM"/>
    <s v="S"/>
    <x v="25"/>
    <x v="2"/>
    <x v="56"/>
    <m/>
    <x v="46"/>
    <m/>
    <x v="3"/>
    <x v="0"/>
    <x v="51"/>
    <m/>
    <x v="7"/>
    <x v="0"/>
    <m/>
    <m/>
    <x v="0"/>
    <x v="1"/>
    <m/>
    <x v="0"/>
    <x v="1"/>
    <x v="25"/>
    <x v="3"/>
    <x v="0"/>
    <x v="1"/>
    <x v="51"/>
    <x v="64"/>
  </r>
  <r>
    <x v="0"/>
    <n v="46"/>
    <x v="25"/>
    <x v="1"/>
    <s v="LM"/>
    <s v="S"/>
    <x v="25"/>
    <x v="2"/>
    <x v="57"/>
    <m/>
    <x v="40"/>
    <m/>
    <x v="3"/>
    <x v="0"/>
    <x v="52"/>
    <m/>
    <x v="8"/>
    <x v="0"/>
    <m/>
    <m/>
    <x v="0"/>
    <x v="1"/>
    <m/>
    <x v="0"/>
    <x v="1"/>
    <x v="25"/>
    <x v="3"/>
    <x v="0"/>
    <x v="1"/>
    <x v="52"/>
    <x v="65"/>
  </r>
  <r>
    <x v="0"/>
    <n v="46"/>
    <x v="25"/>
    <x v="1"/>
    <s v="LM"/>
    <s v="S"/>
    <x v="25"/>
    <x v="2"/>
    <x v="58"/>
    <m/>
    <x v="47"/>
    <m/>
    <x v="3"/>
    <x v="0"/>
    <x v="53"/>
    <d v="2011-09-04T00:00:00"/>
    <x v="9"/>
    <x v="0"/>
    <m/>
    <m/>
    <x v="0"/>
    <x v="1"/>
    <m/>
    <x v="0"/>
    <x v="1"/>
    <x v="25"/>
    <x v="3"/>
    <x v="0"/>
    <x v="1"/>
    <x v="53"/>
    <x v="66"/>
  </r>
  <r>
    <x v="0"/>
    <n v="46"/>
    <x v="25"/>
    <x v="1"/>
    <s v="LM"/>
    <s v="S"/>
    <x v="25"/>
    <x v="2"/>
    <x v="59"/>
    <m/>
    <x v="48"/>
    <m/>
    <x v="3"/>
    <x v="0"/>
    <x v="54"/>
    <d v="2011-09-15T00:00:00"/>
    <x v="9"/>
    <x v="0"/>
    <m/>
    <m/>
    <x v="0"/>
    <x v="1"/>
    <m/>
    <x v="0"/>
    <x v="1"/>
    <x v="25"/>
    <x v="3"/>
    <x v="0"/>
    <x v="1"/>
    <x v="54"/>
    <x v="67"/>
  </r>
  <r>
    <x v="0"/>
    <n v="46"/>
    <x v="25"/>
    <x v="1"/>
    <s v="LM"/>
    <s v="S"/>
    <x v="25"/>
    <x v="2"/>
    <x v="13"/>
    <m/>
    <x v="13"/>
    <m/>
    <x v="3"/>
    <x v="0"/>
    <x v="55"/>
    <m/>
    <x v="9"/>
    <x v="0"/>
    <m/>
    <m/>
    <x v="0"/>
    <x v="1"/>
    <m/>
    <x v="0"/>
    <x v="1"/>
    <x v="25"/>
    <x v="3"/>
    <x v="0"/>
    <x v="1"/>
    <x v="55"/>
    <x v="68"/>
  </r>
  <r>
    <x v="0"/>
    <n v="46"/>
    <x v="25"/>
    <x v="1"/>
    <s v="LM"/>
    <s v="S"/>
    <x v="25"/>
    <x v="2"/>
    <x v="18"/>
    <m/>
    <x v="18"/>
    <m/>
    <x v="3"/>
    <x v="0"/>
    <x v="17"/>
    <d v="2011-12-14T00:00:00"/>
    <x v="12"/>
    <x v="0"/>
    <m/>
    <m/>
    <x v="0"/>
    <x v="1"/>
    <m/>
    <x v="0"/>
    <x v="1"/>
    <x v="25"/>
    <x v="3"/>
    <x v="0"/>
    <x v="1"/>
    <x v="17"/>
    <x v="69"/>
  </r>
  <r>
    <x v="0"/>
    <n v="51"/>
    <x v="26"/>
    <x v="0"/>
    <s v="LM"/>
    <s v=""/>
    <x v="26"/>
    <x v="2"/>
    <x v="60"/>
    <m/>
    <x v="49"/>
    <m/>
    <x v="3"/>
    <x v="0"/>
    <x v="56"/>
    <m/>
    <x v="5"/>
    <x v="0"/>
    <m/>
    <m/>
    <x v="0"/>
    <x v="1"/>
    <m/>
    <x v="0"/>
    <x v="5"/>
    <x v="26"/>
    <x v="3"/>
    <x v="0"/>
    <x v="1"/>
    <x v="56"/>
    <x v="70"/>
  </r>
  <r>
    <x v="0"/>
    <n v="52"/>
    <x v="27"/>
    <x v="2"/>
    <s v="CM"/>
    <s v="S"/>
    <x v="27"/>
    <x v="2"/>
    <x v="61"/>
    <m/>
    <x v="50"/>
    <m/>
    <x v="13"/>
    <x v="0"/>
    <x v="57"/>
    <d v="2011-02-25T00:00:00"/>
    <x v="1"/>
    <x v="0"/>
    <m/>
    <m/>
    <x v="0"/>
    <x v="1"/>
    <m/>
    <x v="0"/>
    <x v="4"/>
    <x v="27"/>
    <x v="13"/>
    <x v="0"/>
    <x v="0"/>
    <x v="57"/>
    <x v="71"/>
  </r>
  <r>
    <x v="0"/>
    <n v="54"/>
    <x v="28"/>
    <x v="0"/>
    <s v="CM"/>
    <s v="N"/>
    <x v="28"/>
    <x v="2"/>
    <x v="62"/>
    <m/>
    <x v="23"/>
    <m/>
    <x v="3"/>
    <x v="0"/>
    <x v="58"/>
    <d v="2011-03-06T00:00:00"/>
    <x v="19"/>
    <x v="0"/>
    <m/>
    <s v="Panorama do Cinema Português"/>
    <x v="0"/>
    <x v="0"/>
    <m/>
    <x v="0"/>
    <x v="0"/>
    <x v="28"/>
    <x v="3"/>
    <x v="0"/>
    <x v="1"/>
    <x v="58"/>
    <x v="72"/>
  </r>
  <r>
    <x v="0"/>
    <n v="54"/>
    <x v="28"/>
    <x v="0"/>
    <s v="CM"/>
    <s v="N"/>
    <x v="28"/>
    <x v="2"/>
    <x v="63"/>
    <m/>
    <x v="24"/>
    <m/>
    <x v="3"/>
    <x v="0"/>
    <x v="59"/>
    <d v="2011-05-01T00:00:00"/>
    <x v="4"/>
    <x v="1"/>
    <s v="Sessão Competitiva Curta 1"/>
    <m/>
    <x v="0"/>
    <x v="0"/>
    <m/>
    <x v="0"/>
    <x v="0"/>
    <x v="28"/>
    <x v="3"/>
    <x v="0"/>
    <x v="1"/>
    <x v="59"/>
    <x v="73"/>
  </r>
  <r>
    <x v="0"/>
    <n v="54"/>
    <x v="28"/>
    <x v="0"/>
    <s v="CM"/>
    <s v="N"/>
    <x v="28"/>
    <x v="2"/>
    <x v="34"/>
    <m/>
    <x v="32"/>
    <m/>
    <x v="3"/>
    <x v="0"/>
    <x v="31"/>
    <d v="2011-05-15T00:00:00"/>
    <x v="6"/>
    <x v="1"/>
    <m/>
    <m/>
    <x v="0"/>
    <x v="0"/>
    <m/>
    <x v="0"/>
    <x v="0"/>
    <x v="28"/>
    <x v="3"/>
    <x v="0"/>
    <x v="1"/>
    <x v="31"/>
    <x v="74"/>
  </r>
  <r>
    <x v="0"/>
    <n v="54"/>
    <x v="28"/>
    <x v="0"/>
    <s v="CM"/>
    <s v="N"/>
    <x v="28"/>
    <x v="2"/>
    <x v="64"/>
    <m/>
    <x v="23"/>
    <m/>
    <x v="3"/>
    <x v="0"/>
    <x v="60"/>
    <d v="2011-05-28T00:00:00"/>
    <x v="6"/>
    <x v="1"/>
    <m/>
    <m/>
    <x v="7"/>
    <x v="1"/>
    <m/>
    <x v="1"/>
    <x v="0"/>
    <x v="28"/>
    <x v="3"/>
    <x v="7"/>
    <x v="1"/>
    <x v="60"/>
    <x v="75"/>
  </r>
  <r>
    <x v="0"/>
    <n v="54"/>
    <x v="28"/>
    <x v="0"/>
    <s v="CM"/>
    <s v="N"/>
    <x v="28"/>
    <x v="2"/>
    <x v="65"/>
    <m/>
    <x v="51"/>
    <m/>
    <x v="14"/>
    <x v="0"/>
    <x v="61"/>
    <d v="2011-06-03T00:00:00"/>
    <x v="7"/>
    <x v="0"/>
    <m/>
    <m/>
    <x v="0"/>
    <x v="0"/>
    <m/>
    <x v="0"/>
    <x v="0"/>
    <x v="28"/>
    <x v="14"/>
    <x v="0"/>
    <x v="0"/>
    <x v="61"/>
    <x v="76"/>
  </r>
  <r>
    <x v="0"/>
    <n v="54"/>
    <x v="28"/>
    <x v="0"/>
    <s v="CM"/>
    <s v="N"/>
    <x v="28"/>
    <x v="2"/>
    <x v="66"/>
    <m/>
    <x v="52"/>
    <m/>
    <x v="3"/>
    <x v="0"/>
    <x v="62"/>
    <d v="2011-06-12T00:00:00"/>
    <x v="7"/>
    <x v="0"/>
    <m/>
    <s v="Curtos Escolas-Universidade Lusófona"/>
    <x v="0"/>
    <x v="0"/>
    <m/>
    <x v="0"/>
    <x v="0"/>
    <x v="28"/>
    <x v="3"/>
    <x v="0"/>
    <x v="1"/>
    <x v="62"/>
    <x v="77"/>
  </r>
  <r>
    <x v="0"/>
    <n v="54"/>
    <x v="28"/>
    <x v="0"/>
    <s v="CM"/>
    <s v="N"/>
    <x v="28"/>
    <x v="2"/>
    <x v="67"/>
    <m/>
    <x v="23"/>
    <m/>
    <x v="3"/>
    <x v="0"/>
    <x v="63"/>
    <d v="2011-06-12T00:00:00"/>
    <x v="7"/>
    <x v="1"/>
    <s v="Sessão Competitiva 5"/>
    <m/>
    <x v="0"/>
    <x v="0"/>
    <m/>
    <x v="0"/>
    <x v="0"/>
    <x v="28"/>
    <x v="3"/>
    <x v="0"/>
    <x v="1"/>
    <x v="63"/>
    <x v="78"/>
  </r>
  <r>
    <x v="0"/>
    <n v="54"/>
    <x v="28"/>
    <x v="0"/>
    <s v="CM"/>
    <s v="N"/>
    <x v="28"/>
    <x v="2"/>
    <x v="68"/>
    <m/>
    <x v="53"/>
    <m/>
    <x v="3"/>
    <x v="0"/>
    <x v="64"/>
    <d v="2011-07-17T00:00:00"/>
    <x v="8"/>
    <x v="1"/>
    <s v="Take One!"/>
    <m/>
    <x v="0"/>
    <x v="0"/>
    <m/>
    <x v="0"/>
    <x v="0"/>
    <x v="28"/>
    <x v="3"/>
    <x v="0"/>
    <x v="1"/>
    <x v="64"/>
    <x v="79"/>
  </r>
  <r>
    <x v="0"/>
    <n v="54"/>
    <x v="28"/>
    <x v="0"/>
    <s v="CM"/>
    <s v="N"/>
    <x v="28"/>
    <x v="2"/>
    <x v="69"/>
    <m/>
    <x v="54"/>
    <m/>
    <x v="15"/>
    <x v="0"/>
    <x v="65"/>
    <d v="2011-09-04T00:00:00"/>
    <x v="20"/>
    <x v="1"/>
    <s v="In Concorso"/>
    <m/>
    <x v="0"/>
    <x v="0"/>
    <m/>
    <x v="0"/>
    <x v="0"/>
    <x v="28"/>
    <x v="15"/>
    <x v="0"/>
    <x v="0"/>
    <x v="65"/>
    <x v="80"/>
  </r>
  <r>
    <x v="0"/>
    <n v="54"/>
    <x v="28"/>
    <x v="0"/>
    <s v="CM"/>
    <s v="N"/>
    <x v="28"/>
    <x v="2"/>
    <x v="70"/>
    <m/>
    <x v="38"/>
    <m/>
    <x v="3"/>
    <x v="0"/>
    <x v="19"/>
    <d v="2011-09-11T00:00:00"/>
    <x v="9"/>
    <x v="1"/>
    <s v="3ª sessão Competitiva"/>
    <m/>
    <x v="0"/>
    <x v="0"/>
    <m/>
    <x v="0"/>
    <x v="0"/>
    <x v="28"/>
    <x v="3"/>
    <x v="0"/>
    <x v="1"/>
    <x v="19"/>
    <x v="81"/>
  </r>
  <r>
    <x v="0"/>
    <n v="54"/>
    <x v="28"/>
    <x v="0"/>
    <s v="CM"/>
    <s v="N"/>
    <x v="28"/>
    <x v="2"/>
    <x v="71"/>
    <m/>
    <x v="55"/>
    <m/>
    <x v="3"/>
    <x v="0"/>
    <x v="66"/>
    <d v="2011-10-29T00:00:00"/>
    <x v="14"/>
    <x v="0"/>
    <m/>
    <m/>
    <x v="0"/>
    <x v="1"/>
    <m/>
    <x v="0"/>
    <x v="0"/>
    <x v="28"/>
    <x v="3"/>
    <x v="0"/>
    <x v="1"/>
    <x v="66"/>
    <x v="82"/>
  </r>
  <r>
    <x v="0"/>
    <n v="54"/>
    <x v="28"/>
    <x v="0"/>
    <s v="CM"/>
    <s v="N"/>
    <x v="28"/>
    <x v="2"/>
    <x v="22"/>
    <m/>
    <x v="22"/>
    <m/>
    <x v="3"/>
    <x v="0"/>
    <x v="20"/>
    <d v="2011-11-17T00:00:00"/>
    <x v="13"/>
    <x v="1"/>
    <s v="Ensaios Visuais 3"/>
    <m/>
    <x v="0"/>
    <x v="0"/>
    <m/>
    <x v="0"/>
    <x v="0"/>
    <x v="28"/>
    <x v="3"/>
    <x v="0"/>
    <x v="1"/>
    <x v="20"/>
    <x v="83"/>
  </r>
  <r>
    <x v="0"/>
    <n v="54"/>
    <x v="28"/>
    <x v="0"/>
    <s v="CM"/>
    <s v="N"/>
    <x v="28"/>
    <x v="2"/>
    <x v="72"/>
    <m/>
    <x v="22"/>
    <m/>
    <x v="3"/>
    <x v="0"/>
    <x v="14"/>
    <d v="2011-11-26T00:00:00"/>
    <x v="13"/>
    <x v="0"/>
    <m/>
    <m/>
    <x v="0"/>
    <x v="1"/>
    <m/>
    <x v="0"/>
    <x v="0"/>
    <x v="28"/>
    <x v="3"/>
    <x v="0"/>
    <x v="1"/>
    <x v="14"/>
    <x v="84"/>
  </r>
  <r>
    <x v="0"/>
    <n v="54"/>
    <x v="28"/>
    <x v="0"/>
    <s v="CM"/>
    <s v="N"/>
    <x v="28"/>
    <x v="2"/>
    <x v="21"/>
    <m/>
    <x v="21"/>
    <m/>
    <x v="3"/>
    <x v="0"/>
    <x v="15"/>
    <d v="2011-12-03T00:00:00"/>
    <x v="12"/>
    <x v="1"/>
    <s v="Prémio Universidades"/>
    <m/>
    <x v="0"/>
    <x v="0"/>
    <m/>
    <x v="0"/>
    <x v="0"/>
    <x v="28"/>
    <x v="3"/>
    <x v="0"/>
    <x v="1"/>
    <x v="15"/>
    <x v="85"/>
  </r>
  <r>
    <x v="0"/>
    <n v="55"/>
    <x v="29"/>
    <x v="0"/>
    <s v="LM"/>
    <s v="S"/>
    <x v="29"/>
    <x v="4"/>
    <x v="55"/>
    <m/>
    <x v="45"/>
    <m/>
    <x v="3"/>
    <x v="0"/>
    <x v="27"/>
    <d v="2011-03-30T00:00:00"/>
    <x v="2"/>
    <x v="0"/>
    <m/>
    <s v="8º Programa: As Escolhas de Nuno Amorim"/>
    <x v="0"/>
    <x v="1"/>
    <m/>
    <x v="0"/>
    <x v="5"/>
    <x v="29"/>
    <x v="3"/>
    <x v="0"/>
    <x v="1"/>
    <x v="27"/>
    <x v="86"/>
  </r>
  <r>
    <x v="0"/>
    <n v="56"/>
    <x v="30"/>
    <x v="0"/>
    <s v="LM"/>
    <s v="S"/>
    <x v="30"/>
    <x v="9"/>
    <x v="73"/>
    <m/>
    <x v="56"/>
    <m/>
    <x v="16"/>
    <x v="0"/>
    <x v="56"/>
    <d v="2011-04-26T00:00:00"/>
    <x v="5"/>
    <x v="0"/>
    <m/>
    <m/>
    <x v="0"/>
    <x v="1"/>
    <m/>
    <x v="0"/>
    <x v="5"/>
    <x v="30"/>
    <x v="16"/>
    <x v="0"/>
    <x v="0"/>
    <x v="56"/>
    <x v="87"/>
  </r>
  <r>
    <x v="0"/>
    <n v="56"/>
    <x v="30"/>
    <x v="0"/>
    <s v="LM"/>
    <s v="S"/>
    <x v="30"/>
    <x v="9"/>
    <x v="74"/>
    <m/>
    <x v="12"/>
    <m/>
    <x v="2"/>
    <x v="0"/>
    <x v="11"/>
    <d v="2011-09-27T00:00:00"/>
    <x v="9"/>
    <x v="0"/>
    <m/>
    <s v="Les Blessures"/>
    <x v="0"/>
    <x v="1"/>
    <m/>
    <x v="0"/>
    <x v="5"/>
    <x v="30"/>
    <x v="2"/>
    <x v="0"/>
    <x v="0"/>
    <x v="11"/>
    <x v="88"/>
  </r>
  <r>
    <x v="0"/>
    <n v="56"/>
    <x v="30"/>
    <x v="0"/>
    <s v="LM"/>
    <s v="S"/>
    <x v="30"/>
    <x v="9"/>
    <x v="75"/>
    <m/>
    <x v="57"/>
    <m/>
    <x v="9"/>
    <x v="0"/>
    <x v="40"/>
    <d v="2011-11-30T00:00:00"/>
    <x v="13"/>
    <x v="0"/>
    <m/>
    <m/>
    <x v="0"/>
    <x v="0"/>
    <m/>
    <x v="0"/>
    <x v="5"/>
    <x v="30"/>
    <x v="9"/>
    <x v="0"/>
    <x v="0"/>
    <x v="40"/>
    <x v="89"/>
  </r>
  <r>
    <x v="0"/>
    <n v="56"/>
    <x v="30"/>
    <x v="0"/>
    <s v="LM"/>
    <s v="S"/>
    <x v="30"/>
    <x v="9"/>
    <x v="76"/>
    <m/>
    <x v="58"/>
    <m/>
    <x v="17"/>
    <x v="0"/>
    <x v="67"/>
    <d v="2011-11-30T00:00:00"/>
    <x v="13"/>
    <x v="0"/>
    <m/>
    <m/>
    <x v="0"/>
    <x v="0"/>
    <m/>
    <x v="0"/>
    <x v="5"/>
    <x v="30"/>
    <x v="17"/>
    <x v="0"/>
    <x v="0"/>
    <x v="67"/>
    <x v="90"/>
  </r>
  <r>
    <x v="0"/>
    <n v="57"/>
    <x v="31"/>
    <x v="0"/>
    <s v="CM"/>
    <s v="N"/>
    <x v="31"/>
    <x v="3"/>
    <x v="77"/>
    <m/>
    <x v="32"/>
    <m/>
    <x v="3"/>
    <x v="0"/>
    <x v="68"/>
    <m/>
    <x v="16"/>
    <x v="0"/>
    <m/>
    <m/>
    <x v="0"/>
    <x v="1"/>
    <m/>
    <x v="0"/>
    <x v="0"/>
    <x v="31"/>
    <x v="3"/>
    <x v="0"/>
    <x v="1"/>
    <x v="68"/>
    <x v="91"/>
  </r>
  <r>
    <x v="0"/>
    <n v="58"/>
    <x v="32"/>
    <x v="0"/>
    <s v="CM"/>
    <s v="N"/>
    <x v="32"/>
    <x v="2"/>
    <x v="62"/>
    <m/>
    <x v="23"/>
    <m/>
    <x v="3"/>
    <x v="0"/>
    <x v="58"/>
    <d v="2011-03-06T00:00:00"/>
    <x v="19"/>
    <x v="0"/>
    <m/>
    <s v="Panorama do Cinema Português"/>
    <x v="0"/>
    <x v="0"/>
    <m/>
    <x v="0"/>
    <x v="0"/>
    <x v="32"/>
    <x v="3"/>
    <x v="0"/>
    <x v="1"/>
    <x v="58"/>
    <x v="92"/>
  </r>
  <r>
    <x v="0"/>
    <n v="58"/>
    <x v="32"/>
    <x v="0"/>
    <s v="CM"/>
    <s v="N"/>
    <x v="32"/>
    <x v="2"/>
    <x v="67"/>
    <m/>
    <x v="23"/>
    <m/>
    <x v="3"/>
    <x v="0"/>
    <x v="63"/>
    <d v="2011-06-12T00:00:00"/>
    <x v="7"/>
    <x v="1"/>
    <s v="Sessão Competitiva 7"/>
    <m/>
    <x v="0"/>
    <x v="0"/>
    <m/>
    <x v="0"/>
    <x v="0"/>
    <x v="32"/>
    <x v="3"/>
    <x v="0"/>
    <x v="1"/>
    <x v="63"/>
    <x v="93"/>
  </r>
  <r>
    <x v="0"/>
    <n v="58"/>
    <x v="32"/>
    <x v="0"/>
    <s v="CM"/>
    <s v="N"/>
    <x v="32"/>
    <x v="2"/>
    <x v="78"/>
    <m/>
    <x v="59"/>
    <m/>
    <x v="3"/>
    <x v="0"/>
    <x v="66"/>
    <d v="2011-10-30T00:00:00"/>
    <x v="14"/>
    <x v="1"/>
    <s v="Competição Nacional"/>
    <m/>
    <x v="0"/>
    <x v="0"/>
    <m/>
    <x v="0"/>
    <x v="0"/>
    <x v="32"/>
    <x v="3"/>
    <x v="0"/>
    <x v="1"/>
    <x v="66"/>
    <x v="94"/>
  </r>
  <r>
    <x v="0"/>
    <n v="58"/>
    <x v="32"/>
    <x v="0"/>
    <s v="CM"/>
    <s v="N"/>
    <x v="32"/>
    <x v="2"/>
    <x v="79"/>
    <m/>
    <x v="23"/>
    <m/>
    <x v="3"/>
    <x v="0"/>
    <x v="69"/>
    <m/>
    <x v="13"/>
    <x v="0"/>
    <m/>
    <m/>
    <x v="0"/>
    <x v="1"/>
    <m/>
    <x v="0"/>
    <x v="0"/>
    <x v="32"/>
    <x v="3"/>
    <x v="0"/>
    <x v="1"/>
    <x v="69"/>
    <x v="95"/>
  </r>
  <r>
    <x v="0"/>
    <n v="58"/>
    <x v="32"/>
    <x v="0"/>
    <s v="CM"/>
    <s v="N"/>
    <x v="32"/>
    <x v="2"/>
    <x v="22"/>
    <m/>
    <x v="22"/>
    <m/>
    <x v="3"/>
    <x v="0"/>
    <x v="20"/>
    <d v="2011-11-17T00:00:00"/>
    <x v="13"/>
    <x v="1"/>
    <s v="Sessão Competitiva 5"/>
    <m/>
    <x v="0"/>
    <x v="0"/>
    <m/>
    <x v="0"/>
    <x v="0"/>
    <x v="32"/>
    <x v="3"/>
    <x v="0"/>
    <x v="1"/>
    <x v="20"/>
    <x v="96"/>
  </r>
  <r>
    <x v="0"/>
    <n v="58"/>
    <x v="32"/>
    <x v="0"/>
    <s v="CM"/>
    <s v="N"/>
    <x v="32"/>
    <x v="2"/>
    <x v="21"/>
    <m/>
    <x v="21"/>
    <m/>
    <x v="3"/>
    <x v="0"/>
    <x v="15"/>
    <d v="2011-12-03T00:00:00"/>
    <x v="12"/>
    <x v="1"/>
    <s v="Curtas Ficção"/>
    <m/>
    <x v="0"/>
    <x v="0"/>
    <m/>
    <x v="0"/>
    <x v="0"/>
    <x v="32"/>
    <x v="3"/>
    <x v="0"/>
    <x v="1"/>
    <x v="15"/>
    <x v="97"/>
  </r>
  <r>
    <x v="0"/>
    <n v="59"/>
    <x v="33"/>
    <x v="2"/>
    <s v="CM"/>
    <s v=""/>
    <x v="33"/>
    <x v="2"/>
    <x v="61"/>
    <m/>
    <x v="50"/>
    <m/>
    <x v="13"/>
    <x v="0"/>
    <x v="57"/>
    <d v="2011-02-25T00:00:00"/>
    <x v="1"/>
    <x v="0"/>
    <m/>
    <m/>
    <x v="0"/>
    <x v="1"/>
    <m/>
    <x v="0"/>
    <x v="4"/>
    <x v="33"/>
    <x v="13"/>
    <x v="0"/>
    <x v="0"/>
    <x v="57"/>
    <x v="98"/>
  </r>
  <r>
    <x v="0"/>
    <n v="60"/>
    <x v="34"/>
    <x v="0"/>
    <s v="CM"/>
    <s v="N"/>
    <x v="34"/>
    <x v="2"/>
    <x v="80"/>
    <m/>
    <x v="60"/>
    <m/>
    <x v="3"/>
    <x v="0"/>
    <x v="70"/>
    <d v="2011-11-13T00:00:00"/>
    <x v="13"/>
    <x v="0"/>
    <m/>
    <s v="Encontros das Escolas Europeias de Cinema"/>
    <x v="0"/>
    <x v="0"/>
    <m/>
    <x v="0"/>
    <x v="0"/>
    <x v="34"/>
    <x v="3"/>
    <x v="0"/>
    <x v="1"/>
    <x v="70"/>
    <x v="99"/>
  </r>
  <r>
    <x v="0"/>
    <n v="61"/>
    <x v="35"/>
    <x v="3"/>
    <s v="CM"/>
    <s v="N"/>
    <x v="35"/>
    <x v="2"/>
    <x v="81"/>
    <m/>
    <x v="61"/>
    <m/>
    <x v="2"/>
    <x v="0"/>
    <x v="71"/>
    <d v="2011-02-12T00:00:00"/>
    <x v="1"/>
    <x v="0"/>
    <m/>
    <s v="Décibels 1"/>
    <x v="0"/>
    <x v="0"/>
    <m/>
    <x v="0"/>
    <x v="6"/>
    <x v="35"/>
    <x v="2"/>
    <x v="0"/>
    <x v="0"/>
    <x v="71"/>
    <x v="100"/>
  </r>
  <r>
    <x v="0"/>
    <n v="63"/>
    <x v="36"/>
    <x v="0"/>
    <s v="LM"/>
    <s v="S"/>
    <x v="20"/>
    <x v="2"/>
    <x v="82"/>
    <m/>
    <x v="62"/>
    <m/>
    <x v="3"/>
    <x v="0"/>
    <x v="72"/>
    <d v="2011-11-13T00:00:00"/>
    <x v="13"/>
    <x v="0"/>
    <m/>
    <m/>
    <x v="0"/>
    <x v="1"/>
    <m/>
    <x v="0"/>
    <x v="5"/>
    <x v="36"/>
    <x v="3"/>
    <x v="0"/>
    <x v="1"/>
    <x v="72"/>
    <x v="101"/>
  </r>
  <r>
    <x v="0"/>
    <n v="64"/>
    <x v="37"/>
    <x v="0"/>
    <s v="CM"/>
    <s v="N"/>
    <x v="36"/>
    <x v="2"/>
    <x v="68"/>
    <m/>
    <x v="53"/>
    <m/>
    <x v="3"/>
    <x v="0"/>
    <x v="64"/>
    <d v="2011-07-17T00:00:00"/>
    <x v="8"/>
    <x v="1"/>
    <s v="Competição Nacional"/>
    <m/>
    <x v="0"/>
    <x v="0"/>
    <m/>
    <x v="0"/>
    <x v="0"/>
    <x v="37"/>
    <x v="3"/>
    <x v="0"/>
    <x v="1"/>
    <x v="64"/>
    <x v="102"/>
  </r>
  <r>
    <x v="0"/>
    <n v="65"/>
    <x v="38"/>
    <x v="0"/>
    <s v="CM"/>
    <s v="S"/>
    <x v="24"/>
    <x v="2"/>
    <x v="55"/>
    <m/>
    <x v="45"/>
    <m/>
    <x v="3"/>
    <x v="0"/>
    <x v="49"/>
    <d v="2011-02-12T00:00:00"/>
    <x v="18"/>
    <x v="0"/>
    <m/>
    <s v="6º Programa: As Escolhas de Teresa Garcia"/>
    <x v="0"/>
    <x v="1"/>
    <m/>
    <x v="0"/>
    <x v="0"/>
    <x v="38"/>
    <x v="3"/>
    <x v="0"/>
    <x v="1"/>
    <x v="49"/>
    <x v="103"/>
  </r>
  <r>
    <x v="0"/>
    <n v="65"/>
    <x v="38"/>
    <x v="0"/>
    <s v="CM"/>
    <s v="S"/>
    <x v="24"/>
    <x v="2"/>
    <x v="12"/>
    <m/>
    <x v="12"/>
    <m/>
    <x v="2"/>
    <x v="0"/>
    <x v="11"/>
    <d v="2011-09-27T00:00:00"/>
    <x v="9"/>
    <x v="0"/>
    <m/>
    <s v="Désir d'Eternité"/>
    <x v="0"/>
    <x v="1"/>
    <m/>
    <x v="0"/>
    <x v="0"/>
    <x v="38"/>
    <x v="2"/>
    <x v="0"/>
    <x v="0"/>
    <x v="11"/>
    <x v="104"/>
  </r>
  <r>
    <x v="0"/>
    <n v="66"/>
    <x v="39"/>
    <x v="1"/>
    <s v="CM"/>
    <s v="N"/>
    <x v="37"/>
    <x v="2"/>
    <x v="25"/>
    <m/>
    <x v="24"/>
    <m/>
    <x v="3"/>
    <x v="0"/>
    <x v="23"/>
    <d v="2011-10-30T00:00:00"/>
    <x v="14"/>
    <x v="0"/>
    <m/>
    <s v="Retrospectiva Movimentos de libertação em Moçambique, Angola e Guiné-Bissau (1961-1974)"/>
    <x v="0"/>
    <x v="0"/>
    <m/>
    <x v="0"/>
    <x v="2"/>
    <x v="39"/>
    <x v="3"/>
    <x v="0"/>
    <x v="1"/>
    <x v="23"/>
    <x v="105"/>
  </r>
  <r>
    <x v="0"/>
    <n v="67"/>
    <x v="40"/>
    <x v="0"/>
    <s v="LM"/>
    <s v="S"/>
    <x v="38"/>
    <x v="5"/>
    <x v="83"/>
    <m/>
    <x v="63"/>
    <m/>
    <x v="2"/>
    <x v="0"/>
    <x v="73"/>
    <d v="2011-01-30T00:00:00"/>
    <x v="15"/>
    <x v="0"/>
    <m/>
    <s v="Figures Libres - Longs Mètrages"/>
    <x v="0"/>
    <x v="0"/>
    <m/>
    <x v="0"/>
    <x v="5"/>
    <x v="40"/>
    <x v="2"/>
    <x v="0"/>
    <x v="0"/>
    <x v="73"/>
    <x v="106"/>
  </r>
  <r>
    <x v="0"/>
    <n v="67"/>
    <x v="40"/>
    <x v="0"/>
    <s v="LM"/>
    <s v="S"/>
    <x v="38"/>
    <x v="5"/>
    <x v="84"/>
    <m/>
    <x v="40"/>
    <m/>
    <x v="3"/>
    <x v="0"/>
    <x v="74"/>
    <m/>
    <x v="6"/>
    <x v="0"/>
    <m/>
    <m/>
    <x v="0"/>
    <x v="1"/>
    <m/>
    <x v="0"/>
    <x v="5"/>
    <x v="40"/>
    <x v="3"/>
    <x v="0"/>
    <x v="1"/>
    <x v="74"/>
    <x v="107"/>
  </r>
  <r>
    <x v="0"/>
    <n v="67"/>
    <x v="40"/>
    <x v="0"/>
    <s v="LM"/>
    <s v="S"/>
    <x v="38"/>
    <x v="5"/>
    <x v="8"/>
    <m/>
    <x v="8"/>
    <m/>
    <x v="3"/>
    <x v="0"/>
    <x v="75"/>
    <m/>
    <x v="6"/>
    <x v="0"/>
    <m/>
    <m/>
    <x v="0"/>
    <x v="1"/>
    <m/>
    <x v="0"/>
    <x v="5"/>
    <x v="40"/>
    <x v="3"/>
    <x v="0"/>
    <x v="1"/>
    <x v="75"/>
    <x v="108"/>
  </r>
  <r>
    <x v="0"/>
    <n v="67"/>
    <x v="40"/>
    <x v="0"/>
    <s v="LM"/>
    <s v="S"/>
    <x v="38"/>
    <x v="5"/>
    <x v="9"/>
    <m/>
    <x v="9"/>
    <m/>
    <x v="3"/>
    <x v="0"/>
    <x v="76"/>
    <m/>
    <x v="8"/>
    <x v="0"/>
    <m/>
    <m/>
    <x v="0"/>
    <x v="1"/>
    <m/>
    <x v="0"/>
    <x v="5"/>
    <x v="40"/>
    <x v="3"/>
    <x v="0"/>
    <x v="1"/>
    <x v="76"/>
    <x v="109"/>
  </r>
  <r>
    <x v="0"/>
    <n v="67"/>
    <x v="40"/>
    <x v="0"/>
    <s v="LM"/>
    <s v="S"/>
    <x v="38"/>
    <x v="5"/>
    <x v="85"/>
    <m/>
    <x v="64"/>
    <m/>
    <x v="18"/>
    <x v="0"/>
    <x v="77"/>
    <d v="2011-10-14T00:00:00"/>
    <x v="14"/>
    <x v="0"/>
    <m/>
    <s v="Extreme Portuguese Cinema: Six Auteurs in Focus"/>
    <x v="0"/>
    <x v="0"/>
    <m/>
    <x v="0"/>
    <x v="5"/>
    <x v="40"/>
    <x v="18"/>
    <x v="0"/>
    <x v="0"/>
    <x v="77"/>
    <x v="110"/>
  </r>
  <r>
    <x v="0"/>
    <n v="67"/>
    <x v="40"/>
    <x v="0"/>
    <s v="LM"/>
    <s v="S"/>
    <x v="38"/>
    <x v="5"/>
    <x v="86"/>
    <m/>
    <x v="65"/>
    <m/>
    <x v="9"/>
    <x v="0"/>
    <x v="15"/>
    <d v="2011-12-06T00:00:00"/>
    <x v="12"/>
    <x v="0"/>
    <m/>
    <m/>
    <x v="0"/>
    <x v="1"/>
    <m/>
    <x v="0"/>
    <x v="5"/>
    <x v="40"/>
    <x v="9"/>
    <x v="0"/>
    <x v="0"/>
    <x v="15"/>
    <x v="111"/>
  </r>
  <r>
    <x v="0"/>
    <n v="68"/>
    <x v="41"/>
    <x v="0"/>
    <s v="LM"/>
    <s v="S"/>
    <x v="39"/>
    <x v="1"/>
    <x v="87"/>
    <m/>
    <x v="66"/>
    <m/>
    <x v="19"/>
    <x v="1"/>
    <x v="78"/>
    <m/>
    <x v="3"/>
    <x v="0"/>
    <m/>
    <m/>
    <x v="0"/>
    <x v="1"/>
    <s v="Mar/Abr"/>
    <x v="0"/>
    <x v="5"/>
    <x v="41"/>
    <x v="19"/>
    <x v="0"/>
    <x v="0"/>
    <x v="78"/>
    <x v="112"/>
  </r>
  <r>
    <x v="0"/>
    <n v="72"/>
    <x v="42"/>
    <x v="1"/>
    <s v="CM"/>
    <s v="S"/>
    <x v="40"/>
    <x v="10"/>
    <x v="3"/>
    <m/>
    <x v="3"/>
    <m/>
    <x v="2"/>
    <x v="0"/>
    <x v="3"/>
    <d v="2011-04-03T00:00:00"/>
    <x v="3"/>
    <x v="0"/>
    <m/>
    <s v="Au Sud de l'Europe - Portugal: Teresa Villaverde Intégrale"/>
    <x v="0"/>
    <x v="0"/>
    <m/>
    <x v="0"/>
    <x v="2"/>
    <x v="42"/>
    <x v="2"/>
    <x v="0"/>
    <x v="0"/>
    <x v="3"/>
    <x v="113"/>
  </r>
  <r>
    <x v="0"/>
    <n v="73"/>
    <x v="43"/>
    <x v="0"/>
    <s v="CM"/>
    <s v="S"/>
    <x v="41"/>
    <x v="2"/>
    <x v="18"/>
    <m/>
    <x v="18"/>
    <m/>
    <x v="3"/>
    <x v="0"/>
    <x v="17"/>
    <d v="2011-12-14T00:00:00"/>
    <x v="12"/>
    <x v="0"/>
    <m/>
    <m/>
    <x v="0"/>
    <x v="1"/>
    <m/>
    <x v="0"/>
    <x v="0"/>
    <x v="43"/>
    <x v="3"/>
    <x v="0"/>
    <x v="1"/>
    <x v="17"/>
    <x v="114"/>
  </r>
  <r>
    <x v="0"/>
    <n v="74"/>
    <x v="44"/>
    <x v="1"/>
    <s v="CM"/>
    <s v="N"/>
    <x v="42"/>
    <x v="2"/>
    <x v="63"/>
    <m/>
    <x v="24"/>
    <m/>
    <x v="3"/>
    <x v="0"/>
    <x v="59"/>
    <d v="2011-05-01T00:00:00"/>
    <x v="4"/>
    <x v="0"/>
    <m/>
    <s v="Olhares sobre Portugal"/>
    <x v="0"/>
    <x v="0"/>
    <m/>
    <x v="0"/>
    <x v="2"/>
    <x v="44"/>
    <x v="3"/>
    <x v="0"/>
    <x v="1"/>
    <x v="59"/>
    <x v="115"/>
  </r>
  <r>
    <x v="0"/>
    <n v="74"/>
    <x v="44"/>
    <x v="1"/>
    <s v="CM"/>
    <s v="N"/>
    <x v="42"/>
    <x v="2"/>
    <x v="88"/>
    <m/>
    <x v="67"/>
    <m/>
    <x v="3"/>
    <x v="0"/>
    <x v="79"/>
    <d v="2011-10-15T00:00:00"/>
    <x v="14"/>
    <x v="1"/>
    <s v="Competição Lusófona"/>
    <m/>
    <x v="0"/>
    <x v="0"/>
    <m/>
    <x v="0"/>
    <x v="2"/>
    <x v="44"/>
    <x v="3"/>
    <x v="0"/>
    <x v="1"/>
    <x v="79"/>
    <x v="116"/>
  </r>
  <r>
    <x v="0"/>
    <n v="75"/>
    <x v="45"/>
    <x v="1"/>
    <s v="CM"/>
    <s v="N"/>
    <x v="43"/>
    <x v="2"/>
    <x v="23"/>
    <m/>
    <x v="23"/>
    <m/>
    <x v="3"/>
    <x v="0"/>
    <x v="21"/>
    <d v="2011-09-23T00:00:00"/>
    <x v="9"/>
    <x v="0"/>
    <m/>
    <m/>
    <x v="0"/>
    <x v="1"/>
    <m/>
    <x v="0"/>
    <x v="2"/>
    <x v="45"/>
    <x v="3"/>
    <x v="0"/>
    <x v="1"/>
    <x v="21"/>
    <x v="117"/>
  </r>
  <r>
    <x v="0"/>
    <n v="75"/>
    <x v="45"/>
    <x v="1"/>
    <s v="CM"/>
    <s v="N"/>
    <x v="43"/>
    <x v="2"/>
    <x v="89"/>
    <m/>
    <x v="68"/>
    <m/>
    <x v="1"/>
    <x v="0"/>
    <x v="80"/>
    <d v="2011-10-28T00:00:00"/>
    <x v="14"/>
    <x v="0"/>
    <m/>
    <s v="Foco Documental Portugués"/>
    <x v="0"/>
    <x v="1"/>
    <m/>
    <x v="0"/>
    <x v="2"/>
    <x v="45"/>
    <x v="1"/>
    <x v="0"/>
    <x v="0"/>
    <x v="80"/>
    <x v="118"/>
  </r>
  <r>
    <x v="0"/>
    <n v="76"/>
    <x v="46"/>
    <x v="1"/>
    <s v="CM"/>
    <s v="N"/>
    <x v="44"/>
    <x v="2"/>
    <x v="12"/>
    <m/>
    <x v="12"/>
    <m/>
    <x v="2"/>
    <x v="0"/>
    <x v="11"/>
    <d v="2011-09-27T00:00:00"/>
    <x v="9"/>
    <x v="0"/>
    <m/>
    <s v="Les Blessures"/>
    <x v="0"/>
    <x v="1"/>
    <m/>
    <x v="0"/>
    <x v="2"/>
    <x v="46"/>
    <x v="2"/>
    <x v="0"/>
    <x v="0"/>
    <x v="11"/>
    <x v="119"/>
  </r>
  <r>
    <x v="0"/>
    <n v="77"/>
    <x v="47"/>
    <x v="0"/>
    <s v="CM"/>
    <s v="N"/>
    <x v="45"/>
    <x v="5"/>
    <x v="90"/>
    <m/>
    <x v="69"/>
    <m/>
    <x v="8"/>
    <x v="0"/>
    <x v="81"/>
    <d v="2011-02-06T00:00:00"/>
    <x v="18"/>
    <x v="1"/>
    <s v="Tiger Awards for Short Films"/>
    <s v="Spectrum Shorts - Short Film Marathon 2011 Part Two"/>
    <x v="0"/>
    <x v="0"/>
    <m/>
    <x v="0"/>
    <x v="0"/>
    <x v="47"/>
    <x v="8"/>
    <x v="0"/>
    <x v="0"/>
    <x v="81"/>
    <x v="120"/>
  </r>
  <r>
    <x v="0"/>
    <n v="77"/>
    <x v="47"/>
    <x v="0"/>
    <s v="CM"/>
    <s v="N"/>
    <x v="45"/>
    <x v="5"/>
    <x v="91"/>
    <m/>
    <x v="70"/>
    <m/>
    <x v="18"/>
    <x v="0"/>
    <x v="82"/>
    <d v="2011-05-06T00:00:00"/>
    <x v="4"/>
    <x v="0"/>
    <m/>
    <s v="Cinemascape: World Cinema Shorts"/>
    <x v="0"/>
    <x v="0"/>
    <m/>
    <x v="0"/>
    <x v="0"/>
    <x v="47"/>
    <x v="18"/>
    <x v="0"/>
    <x v="0"/>
    <x v="82"/>
    <x v="121"/>
  </r>
  <r>
    <x v="0"/>
    <n v="77"/>
    <x v="47"/>
    <x v="0"/>
    <s v="CM"/>
    <s v="N"/>
    <x v="45"/>
    <x v="5"/>
    <x v="92"/>
    <m/>
    <x v="71"/>
    <m/>
    <x v="15"/>
    <x v="0"/>
    <x v="83"/>
    <d v="2011-07-23T00:00:00"/>
    <x v="8"/>
    <x v="0"/>
    <m/>
    <s v="Portogallo Paese Ospite"/>
    <x v="0"/>
    <x v="0"/>
    <m/>
    <x v="0"/>
    <x v="0"/>
    <x v="47"/>
    <x v="15"/>
    <x v="0"/>
    <x v="0"/>
    <x v="83"/>
    <x v="122"/>
  </r>
  <r>
    <x v="0"/>
    <n v="77"/>
    <x v="47"/>
    <x v="0"/>
    <s v="CM"/>
    <s v="N"/>
    <x v="45"/>
    <x v="5"/>
    <x v="93"/>
    <m/>
    <x v="72"/>
    <m/>
    <x v="15"/>
    <x v="0"/>
    <x v="84"/>
    <d v="2011-09-03T00:00:00"/>
    <x v="9"/>
    <x v="0"/>
    <m/>
    <s v="Focus on Gabriel Abrantes"/>
    <x v="0"/>
    <x v="0"/>
    <m/>
    <x v="0"/>
    <x v="0"/>
    <x v="47"/>
    <x v="15"/>
    <x v="0"/>
    <x v="0"/>
    <x v="84"/>
    <x v="123"/>
  </r>
  <r>
    <x v="0"/>
    <n v="77"/>
    <x v="47"/>
    <x v="0"/>
    <s v="CM"/>
    <s v="N"/>
    <x v="45"/>
    <x v="5"/>
    <x v="94"/>
    <m/>
    <x v="73"/>
    <m/>
    <x v="3"/>
    <x v="0"/>
    <x v="85"/>
    <d v="2011-10-30T00:00:00"/>
    <x v="14"/>
    <x v="1"/>
    <s v="Sessão Competitiva nº 3"/>
    <s v="Curtas Metragens Portuguesas "/>
    <x v="0"/>
    <x v="0"/>
    <m/>
    <x v="0"/>
    <x v="0"/>
    <x v="47"/>
    <x v="3"/>
    <x v="0"/>
    <x v="1"/>
    <x v="85"/>
    <x v="124"/>
  </r>
  <r>
    <x v="0"/>
    <n v="77"/>
    <x v="47"/>
    <x v="0"/>
    <s v="CM"/>
    <s v="N"/>
    <x v="45"/>
    <x v="5"/>
    <x v="0"/>
    <m/>
    <x v="0"/>
    <m/>
    <x v="0"/>
    <x v="0"/>
    <x v="0"/>
    <d v="2011-11-06T00:00:00"/>
    <x v="0"/>
    <x v="0"/>
    <m/>
    <s v="Foco Portugal: Programa IndieLisboa"/>
    <x v="0"/>
    <x v="0"/>
    <m/>
    <x v="0"/>
    <x v="0"/>
    <x v="47"/>
    <x v="0"/>
    <x v="0"/>
    <x v="0"/>
    <x v="0"/>
    <x v="125"/>
  </r>
  <r>
    <x v="0"/>
    <n v="77"/>
    <x v="47"/>
    <x v="0"/>
    <s v="CM"/>
    <s v="N"/>
    <x v="45"/>
    <x v="5"/>
    <x v="95"/>
    <m/>
    <x v="74"/>
    <m/>
    <x v="1"/>
    <x v="0"/>
    <x v="86"/>
    <d v="2011-11-18T00:00:00"/>
    <x v="13"/>
    <x v="0"/>
    <m/>
    <s v="Una Mirada por Delante"/>
    <x v="0"/>
    <x v="0"/>
    <m/>
    <x v="0"/>
    <x v="0"/>
    <x v="47"/>
    <x v="1"/>
    <x v="0"/>
    <x v="0"/>
    <x v="86"/>
    <x v="126"/>
  </r>
  <r>
    <x v="0"/>
    <n v="77"/>
    <x v="47"/>
    <x v="0"/>
    <s v="CM"/>
    <s v="N"/>
    <x v="45"/>
    <x v="5"/>
    <x v="96"/>
    <m/>
    <x v="75"/>
    <m/>
    <x v="15"/>
    <x v="0"/>
    <x v="87"/>
    <m/>
    <x v="12"/>
    <x v="0"/>
    <m/>
    <m/>
    <x v="0"/>
    <x v="1"/>
    <m/>
    <x v="0"/>
    <x v="0"/>
    <x v="47"/>
    <x v="15"/>
    <x v="0"/>
    <x v="0"/>
    <x v="87"/>
    <x v="127"/>
  </r>
  <r>
    <x v="0"/>
    <n v="78"/>
    <x v="48"/>
    <x v="0"/>
    <s v="LM"/>
    <s v="S"/>
    <x v="40"/>
    <x v="11"/>
    <x v="3"/>
    <m/>
    <x v="3"/>
    <m/>
    <x v="2"/>
    <x v="0"/>
    <x v="3"/>
    <d v="2011-04-03T00:00:00"/>
    <x v="3"/>
    <x v="0"/>
    <m/>
    <s v="Au Sud de l'Europe - Portugal: Teresa Villaverde Intégrale"/>
    <x v="0"/>
    <x v="0"/>
    <m/>
    <x v="0"/>
    <x v="5"/>
    <x v="48"/>
    <x v="2"/>
    <x v="0"/>
    <x v="0"/>
    <x v="3"/>
    <x v="128"/>
  </r>
  <r>
    <x v="0"/>
    <n v="80"/>
    <x v="49"/>
    <x v="3"/>
    <s v="CM"/>
    <s v="N"/>
    <x v="46"/>
    <x v="3"/>
    <x v="97"/>
    <m/>
    <x v="76"/>
    <m/>
    <x v="3"/>
    <x v="0"/>
    <x v="86"/>
    <d v="2011-11-19T00:00:00"/>
    <x v="13"/>
    <x v="0"/>
    <m/>
    <m/>
    <x v="0"/>
    <x v="0"/>
    <m/>
    <x v="0"/>
    <x v="6"/>
    <x v="49"/>
    <x v="3"/>
    <x v="0"/>
    <x v="1"/>
    <x v="86"/>
    <x v="129"/>
  </r>
  <r>
    <x v="0"/>
    <n v="81"/>
    <x v="50"/>
    <x v="0"/>
    <s v="LM"/>
    <s v="S"/>
    <x v="47"/>
    <x v="0"/>
    <x v="98"/>
    <m/>
    <x v="77"/>
    <m/>
    <x v="3"/>
    <x v="0"/>
    <x v="80"/>
    <d v="2011-10-28T00:00:00"/>
    <x v="14"/>
    <x v="0"/>
    <m/>
    <m/>
    <x v="0"/>
    <x v="1"/>
    <m/>
    <x v="0"/>
    <x v="5"/>
    <x v="50"/>
    <x v="3"/>
    <x v="0"/>
    <x v="1"/>
    <x v="80"/>
    <x v="130"/>
  </r>
  <r>
    <x v="0"/>
    <n v="81"/>
    <x v="50"/>
    <x v="0"/>
    <s v="LM"/>
    <s v="S"/>
    <x v="47"/>
    <x v="0"/>
    <x v="99"/>
    <m/>
    <x v="78"/>
    <m/>
    <x v="20"/>
    <x v="0"/>
    <x v="69"/>
    <d v="2011-11-13T00:00:00"/>
    <x v="13"/>
    <x v="0"/>
    <m/>
    <s v="Focus on Edgar Pêra - Programme 2"/>
    <x v="0"/>
    <x v="0"/>
    <m/>
    <x v="0"/>
    <x v="5"/>
    <x v="50"/>
    <x v="20"/>
    <x v="0"/>
    <x v="0"/>
    <x v="69"/>
    <x v="131"/>
  </r>
  <r>
    <x v="0"/>
    <n v="81"/>
    <x v="50"/>
    <x v="0"/>
    <s v="LM"/>
    <s v="S"/>
    <x v="47"/>
    <x v="0"/>
    <x v="100"/>
    <m/>
    <x v="11"/>
    <m/>
    <x v="3"/>
    <x v="0"/>
    <x v="88"/>
    <d v="2011-12-21T00:00:00"/>
    <x v="12"/>
    <x v="0"/>
    <m/>
    <m/>
    <x v="0"/>
    <x v="1"/>
    <m/>
    <x v="0"/>
    <x v="5"/>
    <x v="50"/>
    <x v="3"/>
    <x v="0"/>
    <x v="1"/>
    <x v="88"/>
    <x v="132"/>
  </r>
  <r>
    <x v="0"/>
    <n v="82"/>
    <x v="51"/>
    <x v="0"/>
    <s v="LM"/>
    <s v="S"/>
    <x v="48"/>
    <x v="12"/>
    <x v="101"/>
    <m/>
    <x v="79"/>
    <m/>
    <x v="3"/>
    <x v="0"/>
    <x v="89"/>
    <d v="2011-11-17T00:00:00"/>
    <x v="21"/>
    <x v="0"/>
    <m/>
    <m/>
    <x v="0"/>
    <x v="1"/>
    <m/>
    <x v="0"/>
    <x v="5"/>
    <x v="51"/>
    <x v="3"/>
    <x v="0"/>
    <x v="1"/>
    <x v="89"/>
    <x v="133"/>
  </r>
  <r>
    <x v="0"/>
    <n v="83"/>
    <x v="52"/>
    <x v="1"/>
    <s v="CM"/>
    <s v="N"/>
    <x v="49"/>
    <x v="2"/>
    <x v="19"/>
    <m/>
    <x v="19"/>
    <m/>
    <x v="0"/>
    <x v="0"/>
    <x v="18"/>
    <d v="2011-05-15T00:00:00"/>
    <x v="6"/>
    <x v="0"/>
    <m/>
    <s v="Mostras Paralelas - FIKE"/>
    <x v="0"/>
    <x v="0"/>
    <m/>
    <x v="0"/>
    <x v="2"/>
    <x v="52"/>
    <x v="0"/>
    <x v="0"/>
    <x v="0"/>
    <x v="18"/>
    <x v="134"/>
  </r>
  <r>
    <x v="0"/>
    <n v="84"/>
    <x v="53"/>
    <x v="1"/>
    <s v="LM"/>
    <s v="N"/>
    <x v="50"/>
    <x v="2"/>
    <x v="102"/>
    <m/>
    <x v="24"/>
    <m/>
    <x v="3"/>
    <x v="0"/>
    <x v="90"/>
    <d v="2011-07-20T00:00:00"/>
    <x v="17"/>
    <x v="0"/>
    <m/>
    <m/>
    <x v="0"/>
    <x v="1"/>
    <m/>
    <x v="0"/>
    <x v="1"/>
    <x v="53"/>
    <x v="3"/>
    <x v="0"/>
    <x v="1"/>
    <x v="90"/>
    <x v="135"/>
  </r>
  <r>
    <x v="0"/>
    <n v="85"/>
    <x v="54"/>
    <x v="1"/>
    <s v="CM"/>
    <s v="N"/>
    <x v="51"/>
    <x v="2"/>
    <x v="25"/>
    <m/>
    <x v="24"/>
    <m/>
    <x v="3"/>
    <x v="0"/>
    <x v="23"/>
    <d v="2011-10-30T00:00:00"/>
    <x v="14"/>
    <x v="1"/>
    <s v="Competição Portuguesa - Curtas"/>
    <m/>
    <x v="0"/>
    <x v="0"/>
    <m/>
    <x v="0"/>
    <x v="2"/>
    <x v="54"/>
    <x v="3"/>
    <x v="0"/>
    <x v="1"/>
    <x v="23"/>
    <x v="136"/>
  </r>
  <r>
    <x v="0"/>
    <n v="86"/>
    <x v="55"/>
    <x v="2"/>
    <s v="CM"/>
    <s v="S"/>
    <x v="52"/>
    <x v="2"/>
    <x v="103"/>
    <m/>
    <x v="80"/>
    <m/>
    <x v="2"/>
    <x v="0"/>
    <x v="91"/>
    <d v="2012-12-10T00:00:00"/>
    <x v="12"/>
    <x v="0"/>
    <m/>
    <s v="Carnets de Voyage 1: Onda Curta RTP2"/>
    <x v="0"/>
    <x v="0"/>
    <m/>
    <x v="0"/>
    <x v="4"/>
    <x v="55"/>
    <x v="2"/>
    <x v="0"/>
    <x v="0"/>
    <x v="91"/>
    <x v="137"/>
  </r>
  <r>
    <x v="0"/>
    <n v="87"/>
    <x v="56"/>
    <x v="0"/>
    <s v="LM"/>
    <s v="N"/>
    <x v="53"/>
    <x v="2"/>
    <x v="54"/>
    <m/>
    <x v="44"/>
    <m/>
    <x v="3"/>
    <x v="0"/>
    <x v="48"/>
    <d v="2011-08-31T00:00:00"/>
    <x v="16"/>
    <x v="0"/>
    <m/>
    <m/>
    <x v="0"/>
    <x v="1"/>
    <m/>
    <x v="0"/>
    <x v="5"/>
    <x v="56"/>
    <x v="3"/>
    <x v="0"/>
    <x v="1"/>
    <x v="48"/>
    <x v="138"/>
  </r>
  <r>
    <x v="0"/>
    <n v="90"/>
    <x v="57"/>
    <x v="3"/>
    <s v="CM"/>
    <s v="N"/>
    <x v="54"/>
    <x v="2"/>
    <x v="68"/>
    <m/>
    <x v="53"/>
    <m/>
    <x v="3"/>
    <x v="0"/>
    <x v="64"/>
    <d v="2011-07-17T00:00:00"/>
    <x v="8"/>
    <x v="1"/>
    <s v="Take One!"/>
    <m/>
    <x v="0"/>
    <x v="0"/>
    <m/>
    <x v="0"/>
    <x v="6"/>
    <x v="57"/>
    <x v="3"/>
    <x v="0"/>
    <x v="1"/>
    <x v="64"/>
    <x v="139"/>
  </r>
  <r>
    <x v="0"/>
    <n v="92"/>
    <x v="58"/>
    <x v="0"/>
    <s v="LM"/>
    <s v="S"/>
    <x v="55"/>
    <x v="2"/>
    <x v="51"/>
    <m/>
    <x v="43"/>
    <m/>
    <x v="3"/>
    <x v="0"/>
    <x v="45"/>
    <d v="2011-09-11T00:00:00"/>
    <x v="9"/>
    <x v="0"/>
    <m/>
    <m/>
    <x v="0"/>
    <x v="0"/>
    <m/>
    <x v="0"/>
    <x v="5"/>
    <x v="58"/>
    <x v="3"/>
    <x v="0"/>
    <x v="1"/>
    <x v="45"/>
    <x v="140"/>
  </r>
  <r>
    <x v="0"/>
    <n v="92"/>
    <x v="58"/>
    <x v="0"/>
    <s v="LM"/>
    <s v="S"/>
    <x v="55"/>
    <x v="2"/>
    <x v="22"/>
    <m/>
    <x v="22"/>
    <m/>
    <x v="3"/>
    <x v="0"/>
    <x v="20"/>
    <d v="2011-11-17T00:00:00"/>
    <x v="13"/>
    <x v="1"/>
    <s v="Sessão Competitiva 12"/>
    <m/>
    <x v="0"/>
    <x v="0"/>
    <m/>
    <x v="0"/>
    <x v="5"/>
    <x v="58"/>
    <x v="3"/>
    <x v="0"/>
    <x v="1"/>
    <x v="20"/>
    <x v="141"/>
  </r>
  <r>
    <x v="0"/>
    <n v="92"/>
    <x v="58"/>
    <x v="0"/>
    <s v="LM"/>
    <s v="S"/>
    <x v="55"/>
    <x v="2"/>
    <x v="42"/>
    <m/>
    <x v="39"/>
    <m/>
    <x v="3"/>
    <x v="0"/>
    <x v="92"/>
    <m/>
    <x v="13"/>
    <x v="0"/>
    <m/>
    <m/>
    <x v="0"/>
    <x v="1"/>
    <m/>
    <x v="0"/>
    <x v="5"/>
    <x v="58"/>
    <x v="3"/>
    <x v="0"/>
    <x v="1"/>
    <x v="92"/>
    <x v="142"/>
  </r>
  <r>
    <x v="0"/>
    <n v="92"/>
    <x v="58"/>
    <x v="0"/>
    <s v="LM"/>
    <s v="S"/>
    <x v="55"/>
    <x v="2"/>
    <x v="57"/>
    <m/>
    <x v="40"/>
    <m/>
    <x v="3"/>
    <x v="0"/>
    <x v="88"/>
    <m/>
    <x v="12"/>
    <x v="0"/>
    <m/>
    <m/>
    <x v="0"/>
    <x v="1"/>
    <m/>
    <x v="0"/>
    <x v="5"/>
    <x v="58"/>
    <x v="3"/>
    <x v="0"/>
    <x v="1"/>
    <x v="88"/>
    <x v="143"/>
  </r>
  <r>
    <x v="0"/>
    <n v="92"/>
    <x v="58"/>
    <x v="0"/>
    <s v="LM"/>
    <s v="S"/>
    <x v="55"/>
    <x v="2"/>
    <x v="104"/>
    <m/>
    <x v="62"/>
    <m/>
    <x v="3"/>
    <x v="0"/>
    <x v="88"/>
    <m/>
    <x v="12"/>
    <x v="0"/>
    <m/>
    <m/>
    <x v="0"/>
    <x v="1"/>
    <m/>
    <x v="0"/>
    <x v="5"/>
    <x v="58"/>
    <x v="3"/>
    <x v="0"/>
    <x v="1"/>
    <x v="88"/>
    <x v="144"/>
  </r>
  <r>
    <x v="0"/>
    <n v="92"/>
    <x v="58"/>
    <x v="0"/>
    <s v="LM"/>
    <s v="S"/>
    <x v="55"/>
    <x v="2"/>
    <x v="13"/>
    <m/>
    <x v="13"/>
    <m/>
    <x v="3"/>
    <x v="0"/>
    <x v="17"/>
    <m/>
    <x v="12"/>
    <x v="0"/>
    <m/>
    <m/>
    <x v="0"/>
    <x v="1"/>
    <m/>
    <x v="0"/>
    <x v="5"/>
    <x v="58"/>
    <x v="3"/>
    <x v="0"/>
    <x v="1"/>
    <x v="17"/>
    <x v="145"/>
  </r>
  <r>
    <x v="0"/>
    <n v="94"/>
    <x v="59"/>
    <x v="0"/>
    <s v="CM"/>
    <s v="N"/>
    <x v="56"/>
    <x v="2"/>
    <x v="62"/>
    <m/>
    <x v="23"/>
    <m/>
    <x v="3"/>
    <x v="0"/>
    <x v="58"/>
    <d v="2011-03-06T00:00:00"/>
    <x v="19"/>
    <x v="0"/>
    <m/>
    <s v="Panorama do Cinema Português"/>
    <x v="0"/>
    <x v="0"/>
    <m/>
    <x v="0"/>
    <x v="0"/>
    <x v="59"/>
    <x v="3"/>
    <x v="0"/>
    <x v="1"/>
    <x v="58"/>
    <x v="146"/>
  </r>
  <r>
    <x v="0"/>
    <n v="95"/>
    <x v="60"/>
    <x v="0"/>
    <s v="CM"/>
    <s v="N"/>
    <x v="57"/>
    <x v="2"/>
    <x v="22"/>
    <m/>
    <x v="22"/>
    <m/>
    <x v="3"/>
    <x v="0"/>
    <x v="20"/>
    <d v="2011-11-17T00:00:00"/>
    <x v="13"/>
    <x v="1"/>
    <s v="Ensaios Visuais 3"/>
    <m/>
    <x v="0"/>
    <x v="0"/>
    <m/>
    <x v="0"/>
    <x v="0"/>
    <x v="60"/>
    <x v="3"/>
    <x v="0"/>
    <x v="1"/>
    <x v="20"/>
    <x v="147"/>
  </r>
  <r>
    <x v="0"/>
    <n v="96"/>
    <x v="61"/>
    <x v="0"/>
    <s v="CM"/>
    <s v="N"/>
    <x v="58"/>
    <x v="2"/>
    <x v="22"/>
    <m/>
    <x v="22"/>
    <m/>
    <x v="3"/>
    <x v="0"/>
    <x v="20"/>
    <d v="2011-11-17T00:00:00"/>
    <x v="13"/>
    <x v="1"/>
    <s v="Ensiaos Visuais 1"/>
    <m/>
    <x v="0"/>
    <x v="0"/>
    <m/>
    <x v="0"/>
    <x v="0"/>
    <x v="61"/>
    <x v="3"/>
    <x v="0"/>
    <x v="1"/>
    <x v="20"/>
    <x v="148"/>
  </r>
  <r>
    <x v="0"/>
    <n v="100"/>
    <x v="62"/>
    <x v="2"/>
    <s v="CM"/>
    <s v="S"/>
    <x v="21"/>
    <x v="2"/>
    <x v="55"/>
    <m/>
    <x v="45"/>
    <m/>
    <x v="3"/>
    <x v="0"/>
    <x v="27"/>
    <d v="2011-03-30T00:00:00"/>
    <x v="2"/>
    <x v="0"/>
    <m/>
    <s v="8º Programa: As Escolhas de Nuno Amorim"/>
    <x v="0"/>
    <x v="1"/>
    <m/>
    <x v="0"/>
    <x v="4"/>
    <x v="62"/>
    <x v="3"/>
    <x v="0"/>
    <x v="1"/>
    <x v="27"/>
    <x v="149"/>
  </r>
  <r>
    <x v="0"/>
    <n v="100"/>
    <x v="62"/>
    <x v="2"/>
    <s v="CM"/>
    <s v="S"/>
    <x v="21"/>
    <x v="2"/>
    <x v="52"/>
    <m/>
    <x v="24"/>
    <m/>
    <x v="3"/>
    <x v="0"/>
    <x v="46"/>
    <m/>
    <x v="9"/>
    <x v="0"/>
    <m/>
    <m/>
    <x v="0"/>
    <x v="1"/>
    <m/>
    <x v="0"/>
    <x v="4"/>
    <x v="62"/>
    <x v="3"/>
    <x v="0"/>
    <x v="1"/>
    <x v="46"/>
    <x v="150"/>
  </r>
  <r>
    <x v="0"/>
    <n v="101"/>
    <x v="63"/>
    <x v="1"/>
    <s v="CM"/>
    <s v="N"/>
    <x v="59"/>
    <x v="3"/>
    <x v="14"/>
    <m/>
    <x v="14"/>
    <m/>
    <x v="3"/>
    <x v="0"/>
    <x v="13"/>
    <d v="2011-11-05T00:00:00"/>
    <x v="0"/>
    <x v="1"/>
    <s v="Competição Curtas Metragens"/>
    <m/>
    <x v="0"/>
    <x v="0"/>
    <m/>
    <x v="0"/>
    <x v="2"/>
    <x v="63"/>
    <x v="3"/>
    <x v="0"/>
    <x v="1"/>
    <x v="13"/>
    <x v="151"/>
  </r>
  <r>
    <x v="0"/>
    <n v="102"/>
    <x v="64"/>
    <x v="1"/>
    <s v="LM"/>
    <s v="N"/>
    <x v="60"/>
    <x v="3"/>
    <x v="25"/>
    <m/>
    <x v="24"/>
    <m/>
    <x v="3"/>
    <x v="0"/>
    <x v="23"/>
    <d v="2011-10-30T00:00:00"/>
    <x v="14"/>
    <x v="1"/>
    <s v="Competição Portuguesa - Médias e Longas"/>
    <m/>
    <x v="8"/>
    <x v="0"/>
    <m/>
    <x v="1"/>
    <x v="1"/>
    <x v="64"/>
    <x v="3"/>
    <x v="8"/>
    <x v="1"/>
    <x v="23"/>
    <x v="152"/>
  </r>
  <r>
    <x v="0"/>
    <n v="103"/>
    <x v="65"/>
    <x v="1"/>
    <s v="CM"/>
    <s v="N"/>
    <x v="61"/>
    <x v="5"/>
    <x v="105"/>
    <m/>
    <x v="81"/>
    <m/>
    <x v="2"/>
    <x v="0"/>
    <x v="29"/>
    <d v="2011-03-27T00:00:00"/>
    <x v="2"/>
    <x v="1"/>
    <s v="Selection Officielle"/>
    <m/>
    <x v="0"/>
    <x v="0"/>
    <m/>
    <x v="0"/>
    <x v="2"/>
    <x v="65"/>
    <x v="2"/>
    <x v="0"/>
    <x v="0"/>
    <x v="29"/>
    <x v="153"/>
  </r>
  <r>
    <x v="0"/>
    <n v="103"/>
    <x v="65"/>
    <x v="1"/>
    <s v="CM"/>
    <s v="N"/>
    <x v="61"/>
    <x v="5"/>
    <x v="58"/>
    <m/>
    <x v="47"/>
    <m/>
    <x v="3"/>
    <x v="0"/>
    <x v="53"/>
    <d v="2011-09-04T00:00:00"/>
    <x v="9"/>
    <x v="0"/>
    <m/>
    <m/>
    <x v="0"/>
    <x v="1"/>
    <m/>
    <x v="0"/>
    <x v="2"/>
    <x v="65"/>
    <x v="3"/>
    <x v="0"/>
    <x v="1"/>
    <x v="53"/>
    <x v="154"/>
  </r>
  <r>
    <x v="0"/>
    <n v="103"/>
    <x v="65"/>
    <x v="1"/>
    <s v="CM"/>
    <s v="N"/>
    <x v="61"/>
    <x v="5"/>
    <x v="106"/>
    <m/>
    <x v="82"/>
    <m/>
    <x v="21"/>
    <x v="0"/>
    <x v="19"/>
    <d v="2011-09-18T00:00:00"/>
    <x v="9"/>
    <x v="0"/>
    <m/>
    <s v="Janela Aberta"/>
    <x v="0"/>
    <x v="0"/>
    <m/>
    <x v="0"/>
    <x v="2"/>
    <x v="65"/>
    <x v="21"/>
    <x v="0"/>
    <x v="0"/>
    <x v="19"/>
    <x v="155"/>
  </r>
  <r>
    <x v="0"/>
    <n v="103"/>
    <x v="65"/>
    <x v="1"/>
    <s v="CM"/>
    <s v="N"/>
    <x v="61"/>
    <x v="5"/>
    <x v="88"/>
    <m/>
    <x v="67"/>
    <m/>
    <x v="3"/>
    <x v="0"/>
    <x v="79"/>
    <d v="2011-10-15T00:00:00"/>
    <x v="14"/>
    <x v="1"/>
    <s v="Competição Lusófona"/>
    <m/>
    <x v="0"/>
    <x v="0"/>
    <m/>
    <x v="0"/>
    <x v="2"/>
    <x v="65"/>
    <x v="3"/>
    <x v="0"/>
    <x v="1"/>
    <x v="79"/>
    <x v="156"/>
  </r>
  <r>
    <x v="0"/>
    <n v="104"/>
    <x v="66"/>
    <x v="0"/>
    <s v="CM"/>
    <s v="S"/>
    <x v="62"/>
    <x v="5"/>
    <x v="62"/>
    <m/>
    <x v="23"/>
    <m/>
    <x v="3"/>
    <x v="0"/>
    <x v="58"/>
    <d v="2011-03-06T00:00:00"/>
    <x v="19"/>
    <x v="0"/>
    <m/>
    <s v="Panorama do Cinema Português"/>
    <x v="0"/>
    <x v="0"/>
    <m/>
    <x v="0"/>
    <x v="0"/>
    <x v="66"/>
    <x v="3"/>
    <x v="0"/>
    <x v="1"/>
    <x v="58"/>
    <x v="157"/>
  </r>
  <r>
    <x v="0"/>
    <n v="104"/>
    <x v="66"/>
    <x v="0"/>
    <s v="CM"/>
    <s v="S"/>
    <x v="62"/>
    <x v="5"/>
    <x v="67"/>
    <m/>
    <x v="23"/>
    <m/>
    <x v="3"/>
    <x v="0"/>
    <x v="63"/>
    <d v="2011-06-12T00:00:00"/>
    <x v="7"/>
    <x v="1"/>
    <s v="Sessão Competitiva 7"/>
    <m/>
    <x v="9"/>
    <x v="0"/>
    <m/>
    <x v="1"/>
    <x v="0"/>
    <x v="66"/>
    <x v="3"/>
    <x v="9"/>
    <x v="1"/>
    <x v="63"/>
    <x v="158"/>
  </r>
  <r>
    <x v="0"/>
    <n v="104"/>
    <x v="66"/>
    <x v="0"/>
    <s v="CM"/>
    <s v="S"/>
    <x v="62"/>
    <x v="5"/>
    <x v="70"/>
    <m/>
    <x v="38"/>
    <m/>
    <x v="3"/>
    <x v="0"/>
    <x v="19"/>
    <d v="2011-09-11T00:00:00"/>
    <x v="9"/>
    <x v="1"/>
    <s v="1ª Sessão Competitiva"/>
    <m/>
    <x v="10"/>
    <x v="0"/>
    <m/>
    <x v="1"/>
    <x v="0"/>
    <x v="66"/>
    <x v="3"/>
    <x v="10"/>
    <x v="1"/>
    <x v="19"/>
    <x v="159"/>
  </r>
  <r>
    <x v="0"/>
    <n v="104"/>
    <x v="66"/>
    <x v="0"/>
    <s v="CM"/>
    <s v="S"/>
    <x v="62"/>
    <x v="5"/>
    <x v="107"/>
    <m/>
    <x v="83"/>
    <m/>
    <x v="3"/>
    <x v="0"/>
    <x v="25"/>
    <d v="2011-11-10T00:00:00"/>
    <x v="13"/>
    <x v="1"/>
    <m/>
    <m/>
    <x v="11"/>
    <x v="0"/>
    <m/>
    <x v="1"/>
    <x v="0"/>
    <x v="66"/>
    <x v="3"/>
    <x v="11"/>
    <x v="1"/>
    <x v="25"/>
    <x v="160"/>
  </r>
  <r>
    <x v="0"/>
    <n v="104"/>
    <x v="66"/>
    <x v="0"/>
    <s v="CM"/>
    <s v="S"/>
    <x v="62"/>
    <x v="5"/>
    <x v="22"/>
    <m/>
    <x v="22"/>
    <m/>
    <x v="3"/>
    <x v="0"/>
    <x v="20"/>
    <d v="2011-11-17T00:00:00"/>
    <x v="13"/>
    <x v="1"/>
    <s v="Ensaios Visuais 2"/>
    <m/>
    <x v="0"/>
    <x v="0"/>
    <m/>
    <x v="0"/>
    <x v="0"/>
    <x v="66"/>
    <x v="3"/>
    <x v="0"/>
    <x v="1"/>
    <x v="20"/>
    <x v="161"/>
  </r>
  <r>
    <x v="0"/>
    <n v="104"/>
    <x v="66"/>
    <x v="0"/>
    <s v="CM"/>
    <s v="S"/>
    <x v="62"/>
    <x v="5"/>
    <x v="108"/>
    <m/>
    <x v="84"/>
    <m/>
    <x v="22"/>
    <x v="0"/>
    <x v="93"/>
    <m/>
    <x v="13"/>
    <x v="1"/>
    <s v="Fiction"/>
    <m/>
    <x v="12"/>
    <x v="0"/>
    <m/>
    <x v="1"/>
    <x v="0"/>
    <x v="66"/>
    <x v="22"/>
    <x v="12"/>
    <x v="0"/>
    <x v="93"/>
    <x v="162"/>
  </r>
  <r>
    <x v="0"/>
    <n v="105"/>
    <x v="67"/>
    <x v="4"/>
    <s v=""/>
    <s v=""/>
    <x v="7"/>
    <x v="2"/>
    <x v="26"/>
    <m/>
    <x v="24"/>
    <m/>
    <x v="3"/>
    <x v="0"/>
    <x v="24"/>
    <d v="2011-03-27T00:00:00"/>
    <x v="2"/>
    <x v="1"/>
    <s v="Curtíssimas"/>
    <m/>
    <x v="13"/>
    <x v="0"/>
    <m/>
    <x v="1"/>
    <x v="7"/>
    <x v="67"/>
    <x v="3"/>
    <x v="13"/>
    <x v="1"/>
    <x v="24"/>
    <x v="163"/>
  </r>
  <r>
    <x v="0"/>
    <n v="106"/>
    <x v="68"/>
    <x v="4"/>
    <s v=""/>
    <s v=""/>
    <x v="63"/>
    <x v="2"/>
    <x v="109"/>
    <m/>
    <x v="23"/>
    <m/>
    <x v="3"/>
    <x v="0"/>
    <x v="94"/>
    <d v="2011-11-20T00:00:00"/>
    <x v="0"/>
    <x v="0"/>
    <m/>
    <s v="Momento XX"/>
    <x v="0"/>
    <x v="1"/>
    <m/>
    <x v="0"/>
    <x v="7"/>
    <x v="68"/>
    <x v="3"/>
    <x v="0"/>
    <x v="1"/>
    <x v="94"/>
    <x v="164"/>
  </r>
  <r>
    <x v="0"/>
    <n v="108"/>
    <x v="69"/>
    <x v="4"/>
    <s v=""/>
    <s v=""/>
    <x v="64"/>
    <x v="2"/>
    <x v="107"/>
    <m/>
    <x v="83"/>
    <m/>
    <x v="3"/>
    <x v="0"/>
    <x v="25"/>
    <d v="2011-11-10T00:00:00"/>
    <x v="13"/>
    <x v="1"/>
    <m/>
    <m/>
    <x v="0"/>
    <x v="0"/>
    <m/>
    <x v="0"/>
    <x v="7"/>
    <x v="69"/>
    <x v="3"/>
    <x v="0"/>
    <x v="1"/>
    <x v="25"/>
    <x v="165"/>
  </r>
  <r>
    <x v="0"/>
    <n v="109"/>
    <x v="70"/>
    <x v="0"/>
    <s v="CM"/>
    <s v="N"/>
    <x v="65"/>
    <x v="2"/>
    <x v="22"/>
    <m/>
    <x v="22"/>
    <m/>
    <x v="3"/>
    <x v="0"/>
    <x v="20"/>
    <d v="2011-11-17T00:00:00"/>
    <x v="13"/>
    <x v="1"/>
    <s v="Sessão Competitiva 10"/>
    <m/>
    <x v="0"/>
    <x v="0"/>
    <m/>
    <x v="0"/>
    <x v="0"/>
    <x v="70"/>
    <x v="3"/>
    <x v="0"/>
    <x v="1"/>
    <x v="20"/>
    <x v="166"/>
  </r>
  <r>
    <x v="0"/>
    <n v="110"/>
    <x v="71"/>
    <x v="2"/>
    <s v="CM"/>
    <s v="N"/>
    <x v="66"/>
    <x v="3"/>
    <x v="27"/>
    <m/>
    <x v="25"/>
    <m/>
    <x v="3"/>
    <x v="0"/>
    <x v="25"/>
    <d v="2011-11-13T00:00:00"/>
    <x v="13"/>
    <x v="1"/>
    <s v="Prémio Jovem Cineasta Português (-18 anos)"/>
    <m/>
    <x v="14"/>
    <x v="0"/>
    <m/>
    <x v="1"/>
    <x v="4"/>
    <x v="71"/>
    <x v="3"/>
    <x v="14"/>
    <x v="1"/>
    <x v="25"/>
    <x v="167"/>
  </r>
  <r>
    <x v="0"/>
    <n v="114"/>
    <x v="72"/>
    <x v="0"/>
    <s v="LM"/>
    <s v="S"/>
    <x v="67"/>
    <x v="1"/>
    <x v="110"/>
    <m/>
    <x v="85"/>
    <m/>
    <x v="23"/>
    <x v="0"/>
    <x v="95"/>
    <m/>
    <x v="7"/>
    <x v="0"/>
    <m/>
    <m/>
    <x v="0"/>
    <x v="1"/>
    <m/>
    <x v="0"/>
    <x v="5"/>
    <x v="72"/>
    <x v="23"/>
    <x v="0"/>
    <x v="0"/>
    <x v="95"/>
    <x v="168"/>
  </r>
  <r>
    <x v="0"/>
    <n v="114"/>
    <x v="72"/>
    <x v="0"/>
    <s v="LM"/>
    <s v="S"/>
    <x v="67"/>
    <x v="1"/>
    <x v="111"/>
    <m/>
    <x v="24"/>
    <m/>
    <x v="3"/>
    <x v="0"/>
    <x v="96"/>
    <m/>
    <x v="12"/>
    <x v="1"/>
    <m/>
    <m/>
    <x v="15"/>
    <x v="2"/>
    <m/>
    <x v="1"/>
    <x v="5"/>
    <x v="72"/>
    <x v="3"/>
    <x v="15"/>
    <x v="1"/>
    <x v="96"/>
    <x v="169"/>
  </r>
  <r>
    <x v="0"/>
    <n v="115"/>
    <x v="73"/>
    <x v="2"/>
    <s v="CM"/>
    <s v="S"/>
    <x v="68"/>
    <x v="5"/>
    <x v="19"/>
    <m/>
    <x v="19"/>
    <m/>
    <x v="0"/>
    <x v="0"/>
    <x v="18"/>
    <d v="2011-05-15T00:00:00"/>
    <x v="6"/>
    <x v="0"/>
    <m/>
    <s v="Mostras Paralelas - FIKE"/>
    <x v="0"/>
    <x v="0"/>
    <m/>
    <x v="0"/>
    <x v="4"/>
    <x v="73"/>
    <x v="0"/>
    <x v="0"/>
    <x v="0"/>
    <x v="18"/>
    <x v="170"/>
  </r>
  <r>
    <x v="0"/>
    <n v="115"/>
    <x v="73"/>
    <x v="2"/>
    <s v="CM"/>
    <s v="S"/>
    <x v="68"/>
    <x v="5"/>
    <x v="112"/>
    <m/>
    <x v="23"/>
    <m/>
    <x v="3"/>
    <x v="0"/>
    <x v="97"/>
    <d v="2011-05-14T00:00:00"/>
    <x v="6"/>
    <x v="1"/>
    <s v="Competição Vídeo 3"/>
    <m/>
    <x v="0"/>
    <x v="0"/>
    <m/>
    <x v="0"/>
    <x v="4"/>
    <x v="73"/>
    <x v="3"/>
    <x v="0"/>
    <x v="1"/>
    <x v="97"/>
    <x v="171"/>
  </r>
  <r>
    <x v="0"/>
    <n v="115"/>
    <x v="73"/>
    <x v="2"/>
    <s v="CM"/>
    <s v="S"/>
    <x v="68"/>
    <x v="5"/>
    <x v="113"/>
    <m/>
    <x v="86"/>
    <m/>
    <x v="0"/>
    <x v="0"/>
    <x v="98"/>
    <d v="2011-05-21T00:00:00"/>
    <x v="6"/>
    <x v="1"/>
    <s v="Animação e Cartoon"/>
    <m/>
    <x v="16"/>
    <x v="0"/>
    <m/>
    <x v="1"/>
    <x v="4"/>
    <x v="73"/>
    <x v="0"/>
    <x v="16"/>
    <x v="0"/>
    <x v="98"/>
    <x v="172"/>
  </r>
  <r>
    <x v="0"/>
    <n v="115"/>
    <x v="73"/>
    <x v="2"/>
    <s v="CM"/>
    <s v="S"/>
    <x v="68"/>
    <x v="5"/>
    <x v="67"/>
    <m/>
    <x v="23"/>
    <m/>
    <x v="3"/>
    <x v="0"/>
    <x v="63"/>
    <d v="2011-06-12T00:00:00"/>
    <x v="7"/>
    <x v="1"/>
    <m/>
    <m/>
    <x v="17"/>
    <x v="0"/>
    <m/>
    <x v="1"/>
    <x v="4"/>
    <x v="73"/>
    <x v="3"/>
    <x v="17"/>
    <x v="1"/>
    <x v="63"/>
    <x v="173"/>
  </r>
  <r>
    <x v="0"/>
    <n v="115"/>
    <x v="73"/>
    <x v="2"/>
    <s v="CM"/>
    <s v="S"/>
    <x v="68"/>
    <x v="5"/>
    <x v="114"/>
    <m/>
    <x v="87"/>
    <m/>
    <x v="24"/>
    <x v="0"/>
    <x v="84"/>
    <d v="2011-09-03T00:00:00"/>
    <x v="9"/>
    <x v="1"/>
    <s v="Animation"/>
    <m/>
    <x v="18"/>
    <x v="0"/>
    <m/>
    <x v="1"/>
    <x v="4"/>
    <x v="73"/>
    <x v="24"/>
    <x v="18"/>
    <x v="0"/>
    <x v="84"/>
    <x v="174"/>
  </r>
  <r>
    <x v="0"/>
    <n v="115"/>
    <x v="73"/>
    <x v="2"/>
    <s v="CM"/>
    <s v="S"/>
    <x v="68"/>
    <x v="5"/>
    <x v="115"/>
    <m/>
    <x v="88"/>
    <m/>
    <x v="25"/>
    <x v="0"/>
    <x v="67"/>
    <d v="2011-11-12T00:00:00"/>
    <x v="13"/>
    <x v="1"/>
    <s v="Freie Kategorie"/>
    <m/>
    <x v="0"/>
    <x v="0"/>
    <m/>
    <x v="0"/>
    <x v="4"/>
    <x v="73"/>
    <x v="25"/>
    <x v="0"/>
    <x v="0"/>
    <x v="67"/>
    <x v="175"/>
  </r>
  <r>
    <x v="0"/>
    <n v="115"/>
    <x v="73"/>
    <x v="2"/>
    <s v="CM"/>
    <s v="S"/>
    <x v="68"/>
    <x v="5"/>
    <x v="108"/>
    <m/>
    <x v="84"/>
    <m/>
    <x v="22"/>
    <x v="0"/>
    <x v="93"/>
    <m/>
    <x v="13"/>
    <x v="1"/>
    <s v="Animated Cartoon"/>
    <m/>
    <x v="19"/>
    <x v="0"/>
    <m/>
    <x v="1"/>
    <x v="4"/>
    <x v="73"/>
    <x v="22"/>
    <x v="19"/>
    <x v="0"/>
    <x v="93"/>
    <x v="176"/>
  </r>
  <r>
    <x v="0"/>
    <n v="115"/>
    <x v="73"/>
    <x v="2"/>
    <s v="CM"/>
    <s v="S"/>
    <x v="68"/>
    <x v="5"/>
    <x v="21"/>
    <m/>
    <x v="21"/>
    <m/>
    <x v="3"/>
    <x v="0"/>
    <x v="15"/>
    <d v="2011-12-03T00:00:00"/>
    <x v="12"/>
    <x v="1"/>
    <s v="Curtas Animação"/>
    <m/>
    <x v="0"/>
    <x v="0"/>
    <m/>
    <x v="0"/>
    <x v="4"/>
    <x v="73"/>
    <x v="3"/>
    <x v="0"/>
    <x v="1"/>
    <x v="15"/>
    <x v="177"/>
  </r>
  <r>
    <x v="0"/>
    <n v="115"/>
    <x v="73"/>
    <x v="2"/>
    <s v="CM"/>
    <s v="S"/>
    <x v="68"/>
    <x v="5"/>
    <x v="116"/>
    <m/>
    <x v="89"/>
    <m/>
    <x v="26"/>
    <x v="0"/>
    <x v="91"/>
    <d v="2012-12-10T00:00:00"/>
    <x v="12"/>
    <x v="1"/>
    <s v="Short Films Animation"/>
    <m/>
    <x v="0"/>
    <x v="0"/>
    <m/>
    <x v="0"/>
    <x v="4"/>
    <x v="73"/>
    <x v="26"/>
    <x v="0"/>
    <x v="0"/>
    <x v="91"/>
    <x v="178"/>
  </r>
  <r>
    <x v="0"/>
    <n v="116"/>
    <x v="74"/>
    <x v="0"/>
    <s v="CM"/>
    <s v="N"/>
    <x v="69"/>
    <x v="2"/>
    <x v="70"/>
    <m/>
    <x v="38"/>
    <m/>
    <x v="3"/>
    <x v="0"/>
    <x v="19"/>
    <d v="2011-09-11T00:00:00"/>
    <x v="9"/>
    <x v="1"/>
    <s v="1ª Sessão Competitiva"/>
    <m/>
    <x v="20"/>
    <x v="0"/>
    <m/>
    <x v="1"/>
    <x v="0"/>
    <x v="74"/>
    <x v="3"/>
    <x v="20"/>
    <x v="1"/>
    <x v="19"/>
    <x v="179"/>
  </r>
  <r>
    <x v="0"/>
    <n v="117"/>
    <x v="75"/>
    <x v="0"/>
    <s v="LM"/>
    <s v="S"/>
    <x v="70"/>
    <x v="2"/>
    <x v="62"/>
    <m/>
    <x v="23"/>
    <m/>
    <x v="3"/>
    <x v="0"/>
    <x v="58"/>
    <d v="2011-03-06T00:00:00"/>
    <x v="19"/>
    <x v="0"/>
    <m/>
    <s v="Homenagem a Paulo Trancoso"/>
    <x v="0"/>
    <x v="0"/>
    <m/>
    <x v="0"/>
    <x v="5"/>
    <x v="75"/>
    <x v="3"/>
    <x v="0"/>
    <x v="1"/>
    <x v="58"/>
    <x v="180"/>
  </r>
  <r>
    <x v="0"/>
    <n v="117"/>
    <x v="75"/>
    <x v="0"/>
    <s v="LM"/>
    <s v="S"/>
    <x v="70"/>
    <x v="2"/>
    <x v="117"/>
    <m/>
    <x v="90"/>
    <m/>
    <x v="27"/>
    <x v="0"/>
    <x v="28"/>
    <d v="2011-03-30T00:00:00"/>
    <x v="2"/>
    <x v="0"/>
    <m/>
    <m/>
    <x v="0"/>
    <x v="1"/>
    <m/>
    <x v="0"/>
    <x v="5"/>
    <x v="75"/>
    <x v="27"/>
    <x v="0"/>
    <x v="0"/>
    <x v="28"/>
    <x v="181"/>
  </r>
  <r>
    <x v="0"/>
    <n v="117"/>
    <x v="75"/>
    <x v="0"/>
    <s v="LM"/>
    <s v="S"/>
    <x v="70"/>
    <x v="2"/>
    <x v="118"/>
    <m/>
    <x v="24"/>
    <m/>
    <x v="3"/>
    <x v="0"/>
    <x v="99"/>
    <d v="2011-12-03T00:00:00"/>
    <x v="11"/>
    <x v="0"/>
    <m/>
    <m/>
    <x v="0"/>
    <x v="1"/>
    <m/>
    <x v="0"/>
    <x v="5"/>
    <x v="75"/>
    <x v="3"/>
    <x v="0"/>
    <x v="1"/>
    <x v="99"/>
    <x v="182"/>
  </r>
  <r>
    <x v="0"/>
    <n v="118"/>
    <x v="76"/>
    <x v="0"/>
    <s v="CM"/>
    <s v=""/>
    <x v="71"/>
    <x v="2"/>
    <x v="71"/>
    <m/>
    <x v="55"/>
    <m/>
    <x v="3"/>
    <x v="0"/>
    <x v="66"/>
    <d v="2011-10-29T00:00:00"/>
    <x v="14"/>
    <x v="0"/>
    <m/>
    <m/>
    <x v="0"/>
    <x v="1"/>
    <m/>
    <x v="0"/>
    <x v="0"/>
    <x v="76"/>
    <x v="3"/>
    <x v="0"/>
    <x v="1"/>
    <x v="66"/>
    <x v="183"/>
  </r>
  <r>
    <x v="0"/>
    <n v="118"/>
    <x v="76"/>
    <x v="0"/>
    <s v="CM"/>
    <s v=""/>
    <x v="71"/>
    <x v="2"/>
    <x v="107"/>
    <m/>
    <x v="83"/>
    <m/>
    <x v="3"/>
    <x v="0"/>
    <x v="25"/>
    <d v="2011-11-10T00:00:00"/>
    <x v="13"/>
    <x v="1"/>
    <m/>
    <m/>
    <x v="0"/>
    <x v="0"/>
    <m/>
    <x v="0"/>
    <x v="0"/>
    <x v="76"/>
    <x v="3"/>
    <x v="0"/>
    <x v="1"/>
    <x v="25"/>
    <x v="184"/>
  </r>
  <r>
    <x v="0"/>
    <n v="119"/>
    <x v="77"/>
    <x v="3"/>
    <s v="CM"/>
    <s v="N"/>
    <x v="72"/>
    <x v="5"/>
    <x v="67"/>
    <m/>
    <x v="23"/>
    <m/>
    <x v="3"/>
    <x v="0"/>
    <x v="63"/>
    <d v="2011-06-12T00:00:00"/>
    <x v="7"/>
    <x v="0"/>
    <m/>
    <s v="Sessão Não Competitiva 2"/>
    <x v="0"/>
    <x v="0"/>
    <m/>
    <x v="0"/>
    <x v="6"/>
    <x v="77"/>
    <x v="3"/>
    <x v="0"/>
    <x v="1"/>
    <x v="63"/>
    <x v="185"/>
  </r>
  <r>
    <x v="0"/>
    <n v="119"/>
    <x v="77"/>
    <x v="3"/>
    <s v="CM"/>
    <s v="N"/>
    <x v="72"/>
    <x v="5"/>
    <x v="94"/>
    <m/>
    <x v="73"/>
    <m/>
    <x v="3"/>
    <x v="0"/>
    <x v="85"/>
    <d v="2011-10-30T00:00:00"/>
    <x v="14"/>
    <x v="1"/>
    <s v="Sessão Competitiva nº 5"/>
    <s v="Curtas Metragens Portuguesas "/>
    <x v="0"/>
    <x v="0"/>
    <m/>
    <x v="0"/>
    <x v="6"/>
    <x v="77"/>
    <x v="3"/>
    <x v="0"/>
    <x v="1"/>
    <x v="85"/>
    <x v="186"/>
  </r>
  <r>
    <x v="0"/>
    <n v="120"/>
    <x v="78"/>
    <x v="4"/>
    <s v=""/>
    <s v=""/>
    <x v="35"/>
    <x v="2"/>
    <x v="81"/>
    <m/>
    <x v="61"/>
    <m/>
    <x v="2"/>
    <x v="0"/>
    <x v="71"/>
    <d v="2011-02-12T00:00:00"/>
    <x v="1"/>
    <x v="0"/>
    <m/>
    <s v="Décibels 1"/>
    <x v="0"/>
    <x v="0"/>
    <m/>
    <x v="0"/>
    <x v="7"/>
    <x v="78"/>
    <x v="2"/>
    <x v="0"/>
    <x v="0"/>
    <x v="71"/>
    <x v="187"/>
  </r>
  <r>
    <x v="0"/>
    <n v="121"/>
    <x v="79"/>
    <x v="2"/>
    <s v="CM"/>
    <s v="S"/>
    <x v="73"/>
    <x v="13"/>
    <x v="61"/>
    <m/>
    <x v="50"/>
    <m/>
    <x v="13"/>
    <x v="0"/>
    <x v="57"/>
    <d v="2011-02-25T00:00:00"/>
    <x v="1"/>
    <x v="0"/>
    <m/>
    <m/>
    <x v="0"/>
    <x v="1"/>
    <m/>
    <x v="0"/>
    <x v="4"/>
    <x v="79"/>
    <x v="13"/>
    <x v="0"/>
    <x v="0"/>
    <x v="57"/>
    <x v="188"/>
  </r>
  <r>
    <x v="0"/>
    <n v="121"/>
    <x v="79"/>
    <x v="2"/>
    <s v="CM"/>
    <s v="S"/>
    <x v="73"/>
    <x v="13"/>
    <x v="30"/>
    <m/>
    <x v="28"/>
    <m/>
    <x v="8"/>
    <x v="0"/>
    <x v="28"/>
    <d v="2011-03-20T00:00:00"/>
    <x v="2"/>
    <x v="0"/>
    <m/>
    <s v="A Portuguesa 1 - Journeys"/>
    <x v="0"/>
    <x v="0"/>
    <m/>
    <x v="0"/>
    <x v="4"/>
    <x v="79"/>
    <x v="8"/>
    <x v="0"/>
    <x v="0"/>
    <x v="28"/>
    <x v="189"/>
  </r>
  <r>
    <x v="0"/>
    <n v="121"/>
    <x v="79"/>
    <x v="2"/>
    <s v="CM"/>
    <s v="S"/>
    <x v="73"/>
    <x v="13"/>
    <x v="119"/>
    <m/>
    <x v="91"/>
    <m/>
    <x v="28"/>
    <x v="0"/>
    <x v="33"/>
    <d v="2011-06-25T00:00:00"/>
    <x v="7"/>
    <x v="0"/>
    <m/>
    <m/>
    <x v="0"/>
    <x v="1"/>
    <m/>
    <x v="0"/>
    <x v="4"/>
    <x v="79"/>
    <x v="28"/>
    <x v="0"/>
    <x v="0"/>
    <x v="33"/>
    <x v="190"/>
  </r>
  <r>
    <x v="0"/>
    <n v="122"/>
    <x v="80"/>
    <x v="0"/>
    <s v="CM"/>
    <s v="N"/>
    <x v="29"/>
    <x v="2"/>
    <x v="80"/>
    <m/>
    <x v="60"/>
    <m/>
    <x v="3"/>
    <x v="0"/>
    <x v="70"/>
    <d v="2011-11-13T00:00:00"/>
    <x v="13"/>
    <x v="0"/>
    <m/>
    <s v="Encontros das Escolas Europeias de Cinema"/>
    <x v="0"/>
    <x v="0"/>
    <m/>
    <x v="0"/>
    <x v="0"/>
    <x v="80"/>
    <x v="3"/>
    <x v="0"/>
    <x v="1"/>
    <x v="70"/>
    <x v="191"/>
  </r>
  <r>
    <x v="0"/>
    <n v="124"/>
    <x v="81"/>
    <x v="4"/>
    <s v=""/>
    <s v=""/>
    <x v="74"/>
    <x v="2"/>
    <x v="25"/>
    <m/>
    <x v="24"/>
    <m/>
    <x v="3"/>
    <x v="0"/>
    <x v="23"/>
    <d v="2011-10-30T00:00:00"/>
    <x v="14"/>
    <x v="0"/>
    <m/>
    <s v="Riscos"/>
    <x v="0"/>
    <x v="0"/>
    <m/>
    <x v="0"/>
    <x v="7"/>
    <x v="81"/>
    <x v="3"/>
    <x v="0"/>
    <x v="1"/>
    <x v="23"/>
    <x v="192"/>
  </r>
  <r>
    <x v="0"/>
    <n v="125"/>
    <x v="82"/>
    <x v="0"/>
    <s v="CM"/>
    <s v="N"/>
    <x v="75"/>
    <x v="2"/>
    <x v="48"/>
    <m/>
    <x v="24"/>
    <m/>
    <x v="3"/>
    <x v="0"/>
    <x v="21"/>
    <d v="2011-09-11T00:00:00"/>
    <x v="9"/>
    <x v="1"/>
    <s v="Prémio Motelx . Melhor Curta de Terror Portuguesa"/>
    <m/>
    <x v="0"/>
    <x v="0"/>
    <m/>
    <x v="0"/>
    <x v="0"/>
    <x v="82"/>
    <x v="3"/>
    <x v="0"/>
    <x v="1"/>
    <x v="21"/>
    <x v="193"/>
  </r>
  <r>
    <x v="0"/>
    <n v="125"/>
    <x v="82"/>
    <x v="0"/>
    <s v="CM"/>
    <s v="N"/>
    <x v="75"/>
    <x v="2"/>
    <x v="14"/>
    <m/>
    <x v="14"/>
    <m/>
    <x v="3"/>
    <x v="0"/>
    <x v="13"/>
    <d v="2011-11-05T00:00:00"/>
    <x v="0"/>
    <x v="1"/>
    <s v="Competição Curtas Metragens"/>
    <m/>
    <x v="0"/>
    <x v="0"/>
    <m/>
    <x v="0"/>
    <x v="0"/>
    <x v="82"/>
    <x v="3"/>
    <x v="0"/>
    <x v="1"/>
    <x v="13"/>
    <x v="194"/>
  </r>
  <r>
    <x v="0"/>
    <n v="126"/>
    <x v="83"/>
    <x v="4"/>
    <s v=""/>
    <s v=""/>
    <x v="76"/>
    <x v="2"/>
    <x v="120"/>
    <m/>
    <x v="83"/>
    <m/>
    <x v="3"/>
    <x v="0"/>
    <x v="16"/>
    <d v="2011-12-04T00:00:00"/>
    <x v="12"/>
    <x v="1"/>
    <s v="Cineastas: Ficção"/>
    <m/>
    <x v="0"/>
    <x v="0"/>
    <m/>
    <x v="0"/>
    <x v="7"/>
    <x v="83"/>
    <x v="3"/>
    <x v="0"/>
    <x v="1"/>
    <x v="16"/>
    <x v="195"/>
  </r>
  <r>
    <x v="0"/>
    <n v="128"/>
    <x v="84"/>
    <x v="2"/>
    <s v="CM"/>
    <s v="S"/>
    <x v="21"/>
    <x v="2"/>
    <x v="55"/>
    <m/>
    <x v="45"/>
    <m/>
    <x v="3"/>
    <x v="0"/>
    <x v="27"/>
    <d v="2011-03-30T00:00:00"/>
    <x v="2"/>
    <x v="0"/>
    <m/>
    <s v="8º Programa: As Escolhas de Nuno Amorim"/>
    <x v="0"/>
    <x v="1"/>
    <m/>
    <x v="0"/>
    <x v="4"/>
    <x v="84"/>
    <x v="3"/>
    <x v="0"/>
    <x v="1"/>
    <x v="27"/>
    <x v="196"/>
  </r>
  <r>
    <x v="0"/>
    <n v="128"/>
    <x v="84"/>
    <x v="2"/>
    <s v="CM"/>
    <s v="S"/>
    <x v="21"/>
    <x v="2"/>
    <x v="121"/>
    <m/>
    <x v="92"/>
    <m/>
    <x v="16"/>
    <x v="0"/>
    <x v="43"/>
    <d v="2011-05-26T00:00:00"/>
    <x v="6"/>
    <x v="1"/>
    <s v="International Short Film Competition 2"/>
    <m/>
    <x v="0"/>
    <x v="0"/>
    <m/>
    <x v="0"/>
    <x v="4"/>
    <x v="84"/>
    <x v="16"/>
    <x v="0"/>
    <x v="0"/>
    <x v="43"/>
    <x v="197"/>
  </r>
  <r>
    <x v="0"/>
    <n v="128"/>
    <x v="84"/>
    <x v="2"/>
    <s v="CM"/>
    <s v="S"/>
    <x v="21"/>
    <x v="2"/>
    <x v="122"/>
    <m/>
    <x v="93"/>
    <m/>
    <x v="2"/>
    <x v="0"/>
    <x v="100"/>
    <d v="2011-06-11T00:00:00"/>
    <x v="7"/>
    <x v="0"/>
    <m/>
    <s v="Courts Métrages hors Compétition 3"/>
    <x v="0"/>
    <x v="0"/>
    <m/>
    <x v="0"/>
    <x v="4"/>
    <x v="84"/>
    <x v="2"/>
    <x v="0"/>
    <x v="0"/>
    <x v="100"/>
    <x v="198"/>
  </r>
  <r>
    <x v="0"/>
    <n v="128"/>
    <x v="84"/>
    <x v="2"/>
    <s v="CM"/>
    <s v="S"/>
    <x v="21"/>
    <x v="2"/>
    <x v="123"/>
    <m/>
    <x v="94"/>
    <m/>
    <x v="6"/>
    <x v="0"/>
    <x v="101"/>
    <d v="2011-06-26T00:00:00"/>
    <x v="7"/>
    <x v="0"/>
    <m/>
    <s v="Panorama 2: International"/>
    <x v="0"/>
    <x v="0"/>
    <m/>
    <x v="0"/>
    <x v="4"/>
    <x v="84"/>
    <x v="6"/>
    <x v="0"/>
    <x v="0"/>
    <x v="101"/>
    <x v="199"/>
  </r>
  <r>
    <x v="0"/>
    <n v="128"/>
    <x v="84"/>
    <x v="2"/>
    <s v="CM"/>
    <s v="S"/>
    <x v="21"/>
    <x v="2"/>
    <x v="124"/>
    <m/>
    <x v="95"/>
    <m/>
    <x v="2"/>
    <x v="0"/>
    <x v="9"/>
    <d v="2011-07-09T00:00:00"/>
    <x v="8"/>
    <x v="0"/>
    <m/>
    <s v="L'Animation à l'Honneur - Programmation Casa da Animação 2nde Partie"/>
    <x v="0"/>
    <x v="1"/>
    <m/>
    <x v="0"/>
    <x v="4"/>
    <x v="84"/>
    <x v="2"/>
    <x v="0"/>
    <x v="0"/>
    <x v="9"/>
    <x v="200"/>
  </r>
  <r>
    <x v="0"/>
    <n v="128"/>
    <x v="84"/>
    <x v="2"/>
    <s v="CM"/>
    <s v="S"/>
    <x v="21"/>
    <x v="2"/>
    <x v="125"/>
    <m/>
    <x v="58"/>
    <m/>
    <x v="17"/>
    <x v="0"/>
    <x v="102"/>
    <d v="2011-09-04T00:00:00"/>
    <x v="20"/>
    <x v="0"/>
    <m/>
    <s v="International Panorama 2"/>
    <x v="0"/>
    <x v="0"/>
    <m/>
    <x v="0"/>
    <x v="4"/>
    <x v="84"/>
    <x v="17"/>
    <x v="0"/>
    <x v="0"/>
    <x v="102"/>
    <x v="201"/>
  </r>
  <r>
    <x v="0"/>
    <n v="128"/>
    <x v="84"/>
    <x v="2"/>
    <s v="CM"/>
    <s v="S"/>
    <x v="21"/>
    <x v="2"/>
    <x v="10"/>
    <m/>
    <x v="10"/>
    <m/>
    <x v="0"/>
    <x v="0"/>
    <x v="10"/>
    <d v="2011-09-25T00:00:00"/>
    <x v="9"/>
    <x v="1"/>
    <s v="Andorinha Curta Animação"/>
    <m/>
    <x v="0"/>
    <x v="0"/>
    <m/>
    <x v="0"/>
    <x v="4"/>
    <x v="84"/>
    <x v="0"/>
    <x v="0"/>
    <x v="0"/>
    <x v="10"/>
    <x v="202"/>
  </r>
  <r>
    <x v="0"/>
    <n v="128"/>
    <x v="84"/>
    <x v="2"/>
    <s v="CM"/>
    <s v="S"/>
    <x v="21"/>
    <x v="2"/>
    <x v="126"/>
    <m/>
    <x v="96"/>
    <m/>
    <x v="1"/>
    <x v="0"/>
    <x v="103"/>
    <d v="2011-10-23T00:00:00"/>
    <x v="14"/>
    <x v="1"/>
    <s v="Competitión Animación"/>
    <m/>
    <x v="0"/>
    <x v="0"/>
    <m/>
    <x v="0"/>
    <x v="4"/>
    <x v="84"/>
    <x v="1"/>
    <x v="0"/>
    <x v="0"/>
    <x v="103"/>
    <x v="203"/>
  </r>
  <r>
    <x v="0"/>
    <n v="128"/>
    <x v="84"/>
    <x v="2"/>
    <s v="CM"/>
    <s v="S"/>
    <x v="21"/>
    <x v="2"/>
    <x v="127"/>
    <m/>
    <x v="97"/>
    <m/>
    <x v="17"/>
    <x v="0"/>
    <x v="40"/>
    <d v="2011-11-12T00:00:00"/>
    <x v="13"/>
    <x v="0"/>
    <m/>
    <s v="Panorama 1"/>
    <x v="0"/>
    <x v="0"/>
    <m/>
    <x v="0"/>
    <x v="4"/>
    <x v="84"/>
    <x v="17"/>
    <x v="0"/>
    <x v="0"/>
    <x v="40"/>
    <x v="204"/>
  </r>
  <r>
    <x v="0"/>
    <n v="129"/>
    <x v="85"/>
    <x v="0"/>
    <s v="CM"/>
    <s v="N"/>
    <x v="77"/>
    <x v="2"/>
    <x v="23"/>
    <m/>
    <x v="23"/>
    <m/>
    <x v="3"/>
    <x v="0"/>
    <x v="21"/>
    <d v="2011-09-23T00:00:00"/>
    <x v="9"/>
    <x v="0"/>
    <m/>
    <m/>
    <x v="0"/>
    <x v="1"/>
    <m/>
    <x v="0"/>
    <x v="0"/>
    <x v="85"/>
    <x v="3"/>
    <x v="0"/>
    <x v="1"/>
    <x v="21"/>
    <x v="205"/>
  </r>
  <r>
    <x v="0"/>
    <n v="130"/>
    <x v="86"/>
    <x v="0"/>
    <s v="CM"/>
    <s v="N"/>
    <x v="78"/>
    <x v="2"/>
    <x v="65"/>
    <m/>
    <x v="51"/>
    <m/>
    <x v="14"/>
    <x v="0"/>
    <x v="61"/>
    <d v="2011-06-03T00:00:00"/>
    <x v="7"/>
    <x v="0"/>
    <m/>
    <m/>
    <x v="0"/>
    <x v="0"/>
    <m/>
    <x v="0"/>
    <x v="0"/>
    <x v="86"/>
    <x v="14"/>
    <x v="0"/>
    <x v="0"/>
    <x v="61"/>
    <x v="206"/>
  </r>
  <r>
    <x v="0"/>
    <n v="130"/>
    <x v="86"/>
    <x v="0"/>
    <s v="CM"/>
    <s v="N"/>
    <x v="78"/>
    <x v="2"/>
    <x v="22"/>
    <m/>
    <x v="22"/>
    <m/>
    <x v="3"/>
    <x v="0"/>
    <x v="20"/>
    <d v="2011-11-17T00:00:00"/>
    <x v="13"/>
    <x v="1"/>
    <s v="Sessão Competitiva 14"/>
    <m/>
    <x v="0"/>
    <x v="0"/>
    <m/>
    <x v="0"/>
    <x v="0"/>
    <x v="86"/>
    <x v="3"/>
    <x v="0"/>
    <x v="1"/>
    <x v="20"/>
    <x v="207"/>
  </r>
  <r>
    <x v="0"/>
    <n v="131"/>
    <x v="87"/>
    <x v="0"/>
    <s v="LM"/>
    <s v="S"/>
    <x v="79"/>
    <x v="3"/>
    <x v="80"/>
    <m/>
    <x v="60"/>
    <m/>
    <x v="3"/>
    <x v="0"/>
    <x v="70"/>
    <d v="2011-11-13T00:00:00"/>
    <x v="13"/>
    <x v="1"/>
    <s v="Selecção Oficial - Em competição"/>
    <m/>
    <x v="0"/>
    <x v="0"/>
    <m/>
    <x v="0"/>
    <x v="5"/>
    <x v="87"/>
    <x v="3"/>
    <x v="0"/>
    <x v="1"/>
    <x v="70"/>
    <x v="208"/>
  </r>
  <r>
    <x v="0"/>
    <n v="131"/>
    <x v="87"/>
    <x v="0"/>
    <s v="LM"/>
    <s v="S"/>
    <x v="79"/>
    <x v="3"/>
    <x v="97"/>
    <m/>
    <x v="76"/>
    <m/>
    <x v="3"/>
    <x v="0"/>
    <x v="86"/>
    <d v="2011-11-19T00:00:00"/>
    <x v="13"/>
    <x v="1"/>
    <s v="Longas em Competição"/>
    <m/>
    <x v="0"/>
    <x v="0"/>
    <m/>
    <x v="0"/>
    <x v="5"/>
    <x v="87"/>
    <x v="3"/>
    <x v="0"/>
    <x v="1"/>
    <x v="86"/>
    <x v="209"/>
  </r>
  <r>
    <x v="0"/>
    <n v="134"/>
    <x v="88"/>
    <x v="0"/>
    <s v="LM"/>
    <s v="S"/>
    <x v="80"/>
    <x v="4"/>
    <x v="128"/>
    <m/>
    <x v="98"/>
    <m/>
    <x v="29"/>
    <x v="0"/>
    <x v="104"/>
    <d v="2011-05-28T00:00:00"/>
    <x v="6"/>
    <x v="0"/>
    <m/>
    <m/>
    <x v="0"/>
    <x v="1"/>
    <m/>
    <x v="0"/>
    <x v="5"/>
    <x v="88"/>
    <x v="29"/>
    <x v="0"/>
    <x v="0"/>
    <x v="104"/>
    <x v="210"/>
  </r>
  <r>
    <x v="0"/>
    <n v="134"/>
    <x v="88"/>
    <x v="0"/>
    <s v="LM"/>
    <s v="S"/>
    <x v="80"/>
    <x v="4"/>
    <x v="129"/>
    <m/>
    <x v="12"/>
    <m/>
    <x v="2"/>
    <x v="0"/>
    <x v="105"/>
    <d v="2011-07-11T00:00:00"/>
    <x v="8"/>
    <x v="0"/>
    <m/>
    <s v="Écrans Parallèles - Souffrance et Cruauté"/>
    <x v="0"/>
    <x v="0"/>
    <m/>
    <x v="0"/>
    <x v="5"/>
    <x v="88"/>
    <x v="2"/>
    <x v="0"/>
    <x v="0"/>
    <x v="105"/>
    <x v="211"/>
  </r>
  <r>
    <x v="0"/>
    <n v="134"/>
    <x v="88"/>
    <x v="0"/>
    <s v="LM"/>
    <s v="S"/>
    <x v="80"/>
    <x v="4"/>
    <x v="86"/>
    <m/>
    <x v="65"/>
    <m/>
    <x v="9"/>
    <x v="0"/>
    <x v="15"/>
    <d v="2011-12-06T00:00:00"/>
    <x v="12"/>
    <x v="0"/>
    <m/>
    <m/>
    <x v="0"/>
    <x v="1"/>
    <m/>
    <x v="0"/>
    <x v="5"/>
    <x v="88"/>
    <x v="9"/>
    <x v="0"/>
    <x v="0"/>
    <x v="15"/>
    <x v="212"/>
  </r>
  <r>
    <x v="0"/>
    <n v="135"/>
    <x v="89"/>
    <x v="2"/>
    <s v="CM"/>
    <s v="N"/>
    <x v="73"/>
    <x v="2"/>
    <x v="103"/>
    <m/>
    <x v="80"/>
    <m/>
    <x v="2"/>
    <x v="0"/>
    <x v="91"/>
    <d v="2012-12-10T00:00:00"/>
    <x v="12"/>
    <x v="0"/>
    <m/>
    <m/>
    <x v="0"/>
    <x v="0"/>
    <m/>
    <x v="0"/>
    <x v="4"/>
    <x v="89"/>
    <x v="2"/>
    <x v="0"/>
    <x v="0"/>
    <x v="91"/>
    <x v="213"/>
  </r>
  <r>
    <x v="0"/>
    <n v="137"/>
    <x v="90"/>
    <x v="0"/>
    <s v="LM"/>
    <s v="N"/>
    <x v="20"/>
    <x v="14"/>
    <x v="51"/>
    <m/>
    <x v="43"/>
    <m/>
    <x v="3"/>
    <x v="0"/>
    <x v="45"/>
    <d v="2011-09-11T00:00:00"/>
    <x v="9"/>
    <x v="0"/>
    <m/>
    <s v="LBV"/>
    <x v="0"/>
    <x v="0"/>
    <m/>
    <x v="0"/>
    <x v="5"/>
    <x v="90"/>
    <x v="3"/>
    <x v="0"/>
    <x v="1"/>
    <x v="45"/>
    <x v="214"/>
  </r>
  <r>
    <x v="0"/>
    <n v="138"/>
    <x v="91"/>
    <x v="0"/>
    <s v="LM"/>
    <s v="S"/>
    <x v="81"/>
    <x v="2"/>
    <x v="130"/>
    <m/>
    <x v="99"/>
    <m/>
    <x v="3"/>
    <x v="0"/>
    <x v="106"/>
    <m/>
    <x v="9"/>
    <x v="0"/>
    <m/>
    <m/>
    <x v="0"/>
    <x v="1"/>
    <m/>
    <x v="0"/>
    <x v="5"/>
    <x v="91"/>
    <x v="3"/>
    <x v="0"/>
    <x v="1"/>
    <x v="106"/>
    <x v="215"/>
  </r>
  <r>
    <x v="0"/>
    <n v="138"/>
    <x v="91"/>
    <x v="0"/>
    <s v="LM"/>
    <s v="S"/>
    <x v="81"/>
    <x v="2"/>
    <x v="118"/>
    <m/>
    <x v="24"/>
    <m/>
    <x v="3"/>
    <x v="0"/>
    <x v="99"/>
    <d v="2011-12-03T00:00:00"/>
    <x v="11"/>
    <x v="0"/>
    <m/>
    <m/>
    <x v="0"/>
    <x v="1"/>
    <m/>
    <x v="0"/>
    <x v="5"/>
    <x v="91"/>
    <x v="3"/>
    <x v="0"/>
    <x v="1"/>
    <x v="99"/>
    <x v="216"/>
  </r>
  <r>
    <x v="0"/>
    <n v="141"/>
    <x v="92"/>
    <x v="2"/>
    <s v="CM"/>
    <s v="N"/>
    <x v="82"/>
    <x v="5"/>
    <x v="61"/>
    <m/>
    <x v="50"/>
    <m/>
    <x v="13"/>
    <x v="0"/>
    <x v="57"/>
    <d v="2011-02-25T00:00:00"/>
    <x v="1"/>
    <x v="0"/>
    <m/>
    <m/>
    <x v="0"/>
    <x v="1"/>
    <m/>
    <x v="0"/>
    <x v="4"/>
    <x v="92"/>
    <x v="13"/>
    <x v="0"/>
    <x v="0"/>
    <x v="57"/>
    <x v="217"/>
  </r>
  <r>
    <x v="0"/>
    <n v="141"/>
    <x v="92"/>
    <x v="2"/>
    <s v="CM"/>
    <s v="N"/>
    <x v="82"/>
    <x v="5"/>
    <x v="131"/>
    <m/>
    <x v="100"/>
    <m/>
    <x v="15"/>
    <x v="0"/>
    <x v="107"/>
    <d v="2011-03-20T00:00:00"/>
    <x v="2"/>
    <x v="0"/>
    <m/>
    <s v="Cortometraggi . Gruppo 4"/>
    <x v="0"/>
    <x v="0"/>
    <m/>
    <x v="0"/>
    <x v="4"/>
    <x v="92"/>
    <x v="15"/>
    <x v="0"/>
    <x v="0"/>
    <x v="107"/>
    <x v="218"/>
  </r>
  <r>
    <x v="0"/>
    <n v="141"/>
    <x v="92"/>
    <x v="2"/>
    <s v="CM"/>
    <s v="N"/>
    <x v="82"/>
    <x v="5"/>
    <x v="122"/>
    <m/>
    <x v="93"/>
    <m/>
    <x v="2"/>
    <x v="0"/>
    <x v="100"/>
    <d v="2011-06-11T00:00:00"/>
    <x v="7"/>
    <x v="1"/>
    <s v="Films de Commande en compétition: films éducatifs, scientifiques ou d'entreprises"/>
    <m/>
    <x v="0"/>
    <x v="0"/>
    <m/>
    <x v="0"/>
    <x v="4"/>
    <x v="92"/>
    <x v="2"/>
    <x v="0"/>
    <x v="0"/>
    <x v="100"/>
    <x v="219"/>
  </r>
  <r>
    <x v="0"/>
    <n v="141"/>
    <x v="92"/>
    <x v="2"/>
    <s v="CM"/>
    <s v="N"/>
    <x v="82"/>
    <x v="5"/>
    <x v="127"/>
    <m/>
    <x v="97"/>
    <m/>
    <x v="17"/>
    <x v="0"/>
    <x v="40"/>
    <d v="2011-11-12T00:00:00"/>
    <x v="13"/>
    <x v="0"/>
    <m/>
    <s v="Panorama 1"/>
    <x v="0"/>
    <x v="0"/>
    <m/>
    <x v="0"/>
    <x v="4"/>
    <x v="92"/>
    <x v="17"/>
    <x v="0"/>
    <x v="0"/>
    <x v="40"/>
    <x v="220"/>
  </r>
  <r>
    <x v="0"/>
    <n v="141"/>
    <x v="92"/>
    <x v="2"/>
    <s v="CM"/>
    <s v="N"/>
    <x v="82"/>
    <x v="5"/>
    <x v="22"/>
    <m/>
    <x v="22"/>
    <m/>
    <x v="3"/>
    <x v="0"/>
    <x v="20"/>
    <d v="2011-11-17T00:00:00"/>
    <x v="13"/>
    <x v="1"/>
    <s v="Sessão Competitva 11"/>
    <s v="Caminhos Juniores"/>
    <x v="0"/>
    <x v="0"/>
    <m/>
    <x v="0"/>
    <x v="4"/>
    <x v="92"/>
    <x v="3"/>
    <x v="0"/>
    <x v="1"/>
    <x v="20"/>
    <x v="221"/>
  </r>
  <r>
    <x v="0"/>
    <n v="142"/>
    <x v="93"/>
    <x v="4"/>
    <s v=""/>
    <s v=""/>
    <x v="83"/>
    <x v="2"/>
    <x v="3"/>
    <m/>
    <x v="3"/>
    <m/>
    <x v="2"/>
    <x v="0"/>
    <x v="3"/>
    <d v="2011-04-03T00:00:00"/>
    <x v="3"/>
    <x v="0"/>
    <m/>
    <s v="Au Sud de l'Europe - Portugal"/>
    <x v="0"/>
    <x v="0"/>
    <m/>
    <x v="0"/>
    <x v="7"/>
    <x v="93"/>
    <x v="2"/>
    <x v="0"/>
    <x v="0"/>
    <x v="3"/>
    <x v="222"/>
  </r>
  <r>
    <x v="0"/>
    <n v="143"/>
    <x v="94"/>
    <x v="4"/>
    <s v=""/>
    <s v=""/>
    <x v="84"/>
    <x v="2"/>
    <x v="132"/>
    <m/>
    <x v="36"/>
    <m/>
    <x v="3"/>
    <x v="0"/>
    <x v="20"/>
    <m/>
    <x v="13"/>
    <x v="0"/>
    <m/>
    <m/>
    <x v="0"/>
    <x v="1"/>
    <m/>
    <x v="0"/>
    <x v="7"/>
    <x v="94"/>
    <x v="3"/>
    <x v="0"/>
    <x v="1"/>
    <x v="20"/>
    <x v="223"/>
  </r>
  <r>
    <x v="0"/>
    <n v="144"/>
    <x v="95"/>
    <x v="0"/>
    <s v="LM"/>
    <s v="S"/>
    <x v="40"/>
    <x v="0"/>
    <x v="3"/>
    <m/>
    <x v="3"/>
    <m/>
    <x v="2"/>
    <x v="0"/>
    <x v="3"/>
    <d v="2011-04-03T00:00:00"/>
    <x v="3"/>
    <x v="0"/>
    <m/>
    <s v="Au Sud de l'Europe - Portugal: Teresa Villaverde Intégrale"/>
    <x v="0"/>
    <x v="0"/>
    <m/>
    <x v="0"/>
    <x v="5"/>
    <x v="95"/>
    <x v="2"/>
    <x v="0"/>
    <x v="0"/>
    <x v="3"/>
    <x v="224"/>
  </r>
  <r>
    <x v="0"/>
    <n v="145"/>
    <x v="96"/>
    <x v="1"/>
    <s v="CM"/>
    <s v="N"/>
    <x v="85"/>
    <x v="2"/>
    <x v="68"/>
    <m/>
    <x v="53"/>
    <m/>
    <x v="3"/>
    <x v="0"/>
    <x v="64"/>
    <d v="2011-07-17T00:00:00"/>
    <x v="8"/>
    <x v="1"/>
    <s v="Competição Nacional"/>
    <m/>
    <x v="0"/>
    <x v="0"/>
    <m/>
    <x v="0"/>
    <x v="2"/>
    <x v="96"/>
    <x v="3"/>
    <x v="0"/>
    <x v="1"/>
    <x v="64"/>
    <x v="225"/>
  </r>
  <r>
    <x v="0"/>
    <n v="145"/>
    <x v="96"/>
    <x v="1"/>
    <s v="CM"/>
    <s v="N"/>
    <x v="85"/>
    <x v="2"/>
    <x v="25"/>
    <m/>
    <x v="24"/>
    <m/>
    <x v="3"/>
    <x v="0"/>
    <x v="23"/>
    <d v="2011-10-30T00:00:00"/>
    <x v="14"/>
    <x v="1"/>
    <s v="Competição Portuguesa - Curtas"/>
    <m/>
    <x v="0"/>
    <x v="0"/>
    <m/>
    <x v="0"/>
    <x v="2"/>
    <x v="96"/>
    <x v="3"/>
    <x v="0"/>
    <x v="1"/>
    <x v="23"/>
    <x v="226"/>
  </r>
  <r>
    <x v="0"/>
    <n v="145"/>
    <x v="96"/>
    <x v="1"/>
    <s v="CM"/>
    <s v="N"/>
    <x v="85"/>
    <x v="2"/>
    <x v="133"/>
    <m/>
    <x v="101"/>
    <m/>
    <x v="3"/>
    <x v="0"/>
    <x v="108"/>
    <d v="2011-12-11T00:00:00"/>
    <x v="12"/>
    <x v="0"/>
    <m/>
    <s v="Sessão Especial 4 - Porto de Honra"/>
    <x v="0"/>
    <x v="0"/>
    <m/>
    <x v="0"/>
    <x v="2"/>
    <x v="96"/>
    <x v="3"/>
    <x v="0"/>
    <x v="1"/>
    <x v="108"/>
    <x v="227"/>
  </r>
  <r>
    <x v="0"/>
    <n v="146"/>
    <x v="97"/>
    <x v="4"/>
    <s v="CM"/>
    <s v=""/>
    <x v="86"/>
    <x v="2"/>
    <x v="112"/>
    <m/>
    <x v="23"/>
    <m/>
    <x v="3"/>
    <x v="0"/>
    <x v="97"/>
    <d v="2011-05-14T00:00:00"/>
    <x v="6"/>
    <x v="1"/>
    <s v="Competição Vídeo 2"/>
    <m/>
    <x v="0"/>
    <x v="0"/>
    <m/>
    <x v="0"/>
    <x v="8"/>
    <x v="97"/>
    <x v="3"/>
    <x v="0"/>
    <x v="1"/>
    <x v="97"/>
    <x v="228"/>
  </r>
  <r>
    <x v="0"/>
    <n v="147"/>
    <x v="98"/>
    <x v="0"/>
    <s v="LM"/>
    <s v="S"/>
    <x v="87"/>
    <x v="2"/>
    <x v="9"/>
    <m/>
    <x v="9"/>
    <m/>
    <x v="3"/>
    <x v="0"/>
    <x v="109"/>
    <m/>
    <x v="8"/>
    <x v="0"/>
    <m/>
    <m/>
    <x v="0"/>
    <x v="1"/>
    <m/>
    <x v="0"/>
    <x v="5"/>
    <x v="98"/>
    <x v="3"/>
    <x v="0"/>
    <x v="1"/>
    <x v="109"/>
    <x v="229"/>
  </r>
  <r>
    <x v="0"/>
    <n v="147"/>
    <x v="98"/>
    <x v="0"/>
    <s v="LM"/>
    <s v="S"/>
    <x v="87"/>
    <x v="2"/>
    <x v="134"/>
    <m/>
    <x v="99"/>
    <m/>
    <x v="3"/>
    <x v="0"/>
    <x v="110"/>
    <m/>
    <x v="16"/>
    <x v="0"/>
    <m/>
    <m/>
    <x v="0"/>
    <x v="1"/>
    <m/>
    <x v="0"/>
    <x v="5"/>
    <x v="98"/>
    <x v="3"/>
    <x v="0"/>
    <x v="1"/>
    <x v="110"/>
    <x v="230"/>
  </r>
  <r>
    <x v="0"/>
    <n v="147"/>
    <x v="98"/>
    <x v="0"/>
    <s v="LM"/>
    <s v="S"/>
    <x v="87"/>
    <x v="2"/>
    <x v="13"/>
    <m/>
    <x v="13"/>
    <m/>
    <x v="3"/>
    <x v="0"/>
    <x v="111"/>
    <m/>
    <x v="16"/>
    <x v="0"/>
    <m/>
    <m/>
    <x v="0"/>
    <x v="1"/>
    <m/>
    <x v="0"/>
    <x v="5"/>
    <x v="98"/>
    <x v="3"/>
    <x v="0"/>
    <x v="1"/>
    <x v="111"/>
    <x v="231"/>
  </r>
  <r>
    <x v="0"/>
    <n v="148"/>
    <x v="99"/>
    <x v="2"/>
    <s v="CM"/>
    <s v="N"/>
    <x v="88"/>
    <x v="2"/>
    <x v="27"/>
    <m/>
    <x v="25"/>
    <m/>
    <x v="3"/>
    <x v="0"/>
    <x v="25"/>
    <d v="2011-11-13T00:00:00"/>
    <x v="13"/>
    <x v="1"/>
    <s v="Prémio Jovem Cineasta Português (-18 anos)"/>
    <m/>
    <x v="14"/>
    <x v="0"/>
    <m/>
    <x v="1"/>
    <x v="4"/>
    <x v="99"/>
    <x v="3"/>
    <x v="14"/>
    <x v="1"/>
    <x v="25"/>
    <x v="232"/>
  </r>
  <r>
    <x v="0"/>
    <n v="149"/>
    <x v="100"/>
    <x v="0"/>
    <s v="CM"/>
    <s v="N"/>
    <x v="89"/>
    <x v="15"/>
    <x v="62"/>
    <m/>
    <x v="23"/>
    <m/>
    <x v="3"/>
    <x v="0"/>
    <x v="58"/>
    <d v="2011-03-06T00:00:00"/>
    <x v="19"/>
    <x v="0"/>
    <m/>
    <s v="João Menezes 10 Anos"/>
    <x v="0"/>
    <x v="0"/>
    <m/>
    <x v="0"/>
    <x v="0"/>
    <x v="100"/>
    <x v="3"/>
    <x v="0"/>
    <x v="1"/>
    <x v="58"/>
    <x v="233"/>
  </r>
  <r>
    <x v="0"/>
    <n v="150"/>
    <x v="101"/>
    <x v="1"/>
    <s v="LM"/>
    <s v="N"/>
    <x v="90"/>
    <x v="2"/>
    <x v="73"/>
    <m/>
    <x v="56"/>
    <m/>
    <x v="16"/>
    <x v="0"/>
    <x v="56"/>
    <d v="2011-04-26T00:00:00"/>
    <x v="5"/>
    <x v="0"/>
    <m/>
    <m/>
    <x v="0"/>
    <x v="1"/>
    <m/>
    <x v="0"/>
    <x v="1"/>
    <x v="101"/>
    <x v="16"/>
    <x v="0"/>
    <x v="0"/>
    <x v="56"/>
    <x v="234"/>
  </r>
  <r>
    <x v="0"/>
    <n v="150"/>
    <x v="101"/>
    <x v="1"/>
    <s v="LM"/>
    <s v="N"/>
    <x v="90"/>
    <x v="2"/>
    <x v="135"/>
    <m/>
    <x v="102"/>
    <m/>
    <x v="30"/>
    <x v="0"/>
    <x v="104"/>
    <d v="2011-06-01T00:00:00"/>
    <x v="22"/>
    <x v="0"/>
    <m/>
    <m/>
    <x v="0"/>
    <x v="1"/>
    <m/>
    <x v="0"/>
    <x v="1"/>
    <x v="101"/>
    <x v="30"/>
    <x v="0"/>
    <x v="0"/>
    <x v="104"/>
    <x v="235"/>
  </r>
  <r>
    <x v="0"/>
    <n v="152"/>
    <x v="102"/>
    <x v="2"/>
    <s v="CM"/>
    <s v="N"/>
    <x v="91"/>
    <x v="2"/>
    <x v="120"/>
    <m/>
    <x v="83"/>
    <m/>
    <x v="3"/>
    <x v="0"/>
    <x v="16"/>
    <d v="2011-12-04T00:00:00"/>
    <x v="12"/>
    <x v="1"/>
    <s v="Cinéfilos: Ficção"/>
    <m/>
    <x v="0"/>
    <x v="0"/>
    <m/>
    <x v="0"/>
    <x v="4"/>
    <x v="102"/>
    <x v="3"/>
    <x v="0"/>
    <x v="1"/>
    <x v="16"/>
    <x v="236"/>
  </r>
  <r>
    <x v="0"/>
    <n v="151"/>
    <x v="102"/>
    <x v="2"/>
    <s v="CM"/>
    <s v="N"/>
    <x v="92"/>
    <x v="2"/>
    <x v="120"/>
    <m/>
    <x v="83"/>
    <m/>
    <x v="3"/>
    <x v="0"/>
    <x v="16"/>
    <d v="2011-12-04T00:00:00"/>
    <x v="12"/>
    <x v="1"/>
    <s v="Cineastas: Animação"/>
    <m/>
    <x v="21"/>
    <x v="0"/>
    <m/>
    <x v="1"/>
    <x v="4"/>
    <x v="103"/>
    <x v="3"/>
    <x v="21"/>
    <x v="1"/>
    <x v="16"/>
    <x v="237"/>
  </r>
  <r>
    <x v="0"/>
    <n v="153"/>
    <x v="103"/>
    <x v="4"/>
    <s v=""/>
    <s v=""/>
    <x v="93"/>
    <x v="2"/>
    <x v="136"/>
    <m/>
    <x v="103"/>
    <m/>
    <x v="31"/>
    <x v="0"/>
    <x v="14"/>
    <d v="2011-11-27T00:00:00"/>
    <x v="13"/>
    <x v="1"/>
    <s v="On the Roads"/>
    <m/>
    <x v="0"/>
    <x v="0"/>
    <m/>
    <x v="0"/>
    <x v="7"/>
    <x v="104"/>
    <x v="31"/>
    <x v="0"/>
    <x v="0"/>
    <x v="14"/>
    <x v="238"/>
  </r>
  <r>
    <x v="0"/>
    <n v="154"/>
    <x v="104"/>
    <x v="0"/>
    <s v="LM"/>
    <s v=""/>
    <x v="89"/>
    <x v="0"/>
    <x v="62"/>
    <m/>
    <x v="23"/>
    <m/>
    <x v="3"/>
    <x v="0"/>
    <x v="58"/>
    <d v="2011-03-06T00:00:00"/>
    <x v="19"/>
    <x v="0"/>
    <m/>
    <s v="João Menezes 10 Anos"/>
    <x v="0"/>
    <x v="0"/>
    <m/>
    <x v="0"/>
    <x v="5"/>
    <x v="105"/>
    <x v="3"/>
    <x v="0"/>
    <x v="1"/>
    <x v="58"/>
    <x v="239"/>
  </r>
  <r>
    <x v="0"/>
    <n v="155"/>
    <x v="105"/>
    <x v="4"/>
    <s v=""/>
    <s v=""/>
    <x v="94"/>
    <x v="2"/>
    <x v="34"/>
    <m/>
    <x v="32"/>
    <m/>
    <x v="3"/>
    <x v="0"/>
    <x v="31"/>
    <d v="2011-05-15T00:00:00"/>
    <x v="6"/>
    <x v="0"/>
    <m/>
    <s v="Mostra de Curtas-metragens, Selecção Premiados CINANIMA 2010"/>
    <x v="0"/>
    <x v="0"/>
    <m/>
    <x v="0"/>
    <x v="7"/>
    <x v="106"/>
    <x v="3"/>
    <x v="0"/>
    <x v="1"/>
    <x v="31"/>
    <x v="240"/>
  </r>
  <r>
    <x v="0"/>
    <n v="156"/>
    <x v="106"/>
    <x v="1"/>
    <s v="CM"/>
    <s v="N"/>
    <x v="95"/>
    <x v="2"/>
    <x v="46"/>
    <m/>
    <x v="24"/>
    <m/>
    <x v="3"/>
    <x v="0"/>
    <x v="41"/>
    <d v="2011-11-18T00:00:00"/>
    <x v="13"/>
    <x v="1"/>
    <s v="Prémio de Cinema para Filmes sobre Arte"/>
    <m/>
    <x v="7"/>
    <x v="0"/>
    <m/>
    <x v="1"/>
    <x v="2"/>
    <x v="107"/>
    <x v="3"/>
    <x v="22"/>
    <x v="1"/>
    <x v="41"/>
    <x v="241"/>
  </r>
  <r>
    <x v="0"/>
    <n v="159"/>
    <x v="107"/>
    <x v="0"/>
    <s v="CM"/>
    <s v="N"/>
    <x v="96"/>
    <x v="2"/>
    <x v="120"/>
    <m/>
    <x v="83"/>
    <m/>
    <x v="3"/>
    <x v="0"/>
    <x v="16"/>
    <d v="2011-12-04T00:00:00"/>
    <x v="12"/>
    <x v="1"/>
    <s v="Cineastas: Ficção"/>
    <m/>
    <x v="22"/>
    <x v="0"/>
    <m/>
    <x v="1"/>
    <x v="0"/>
    <x v="108"/>
    <x v="3"/>
    <x v="23"/>
    <x v="1"/>
    <x v="16"/>
    <x v="242"/>
  </r>
  <r>
    <x v="0"/>
    <n v="160"/>
    <x v="108"/>
    <x v="0"/>
    <s v="CM"/>
    <s v="N"/>
    <x v="12"/>
    <x v="2"/>
    <x v="63"/>
    <m/>
    <x v="24"/>
    <m/>
    <x v="3"/>
    <x v="0"/>
    <x v="59"/>
    <d v="2011-05-01T00:00:00"/>
    <x v="4"/>
    <x v="1"/>
    <s v="Sessão Competitiva  Curta 3"/>
    <m/>
    <x v="0"/>
    <x v="0"/>
    <m/>
    <x v="0"/>
    <x v="0"/>
    <x v="109"/>
    <x v="3"/>
    <x v="0"/>
    <x v="1"/>
    <x v="59"/>
    <x v="243"/>
  </r>
  <r>
    <x v="0"/>
    <n v="160"/>
    <x v="108"/>
    <x v="0"/>
    <s v="CM"/>
    <s v="N"/>
    <x v="12"/>
    <x v="2"/>
    <x v="65"/>
    <m/>
    <x v="51"/>
    <m/>
    <x v="14"/>
    <x v="0"/>
    <x v="61"/>
    <d v="2011-06-03T00:00:00"/>
    <x v="7"/>
    <x v="0"/>
    <m/>
    <m/>
    <x v="0"/>
    <x v="0"/>
    <m/>
    <x v="0"/>
    <x v="0"/>
    <x v="109"/>
    <x v="14"/>
    <x v="0"/>
    <x v="0"/>
    <x v="61"/>
    <x v="244"/>
  </r>
  <r>
    <x v="0"/>
    <n v="160"/>
    <x v="108"/>
    <x v="0"/>
    <s v="CM"/>
    <s v="N"/>
    <x v="12"/>
    <x v="2"/>
    <x v="70"/>
    <m/>
    <x v="38"/>
    <m/>
    <x v="3"/>
    <x v="0"/>
    <x v="19"/>
    <d v="2011-09-11T00:00:00"/>
    <x v="9"/>
    <x v="1"/>
    <s v="2ª Sessão Competitiva"/>
    <m/>
    <x v="23"/>
    <x v="0"/>
    <m/>
    <x v="1"/>
    <x v="0"/>
    <x v="109"/>
    <x v="3"/>
    <x v="24"/>
    <x v="1"/>
    <x v="19"/>
    <x v="245"/>
  </r>
  <r>
    <x v="0"/>
    <n v="160"/>
    <x v="108"/>
    <x v="0"/>
    <s v="CM"/>
    <s v="N"/>
    <x v="12"/>
    <x v="2"/>
    <x v="71"/>
    <m/>
    <x v="55"/>
    <m/>
    <x v="3"/>
    <x v="0"/>
    <x v="66"/>
    <d v="2011-10-29T00:00:00"/>
    <x v="14"/>
    <x v="0"/>
    <m/>
    <m/>
    <x v="0"/>
    <x v="1"/>
    <m/>
    <x v="0"/>
    <x v="0"/>
    <x v="109"/>
    <x v="3"/>
    <x v="0"/>
    <x v="1"/>
    <x v="66"/>
    <x v="246"/>
  </r>
  <r>
    <x v="0"/>
    <n v="160"/>
    <x v="108"/>
    <x v="0"/>
    <s v="CM"/>
    <s v="N"/>
    <x v="12"/>
    <x v="2"/>
    <x v="22"/>
    <m/>
    <x v="22"/>
    <m/>
    <x v="3"/>
    <x v="0"/>
    <x v="20"/>
    <d v="2011-11-17T00:00:00"/>
    <x v="13"/>
    <x v="1"/>
    <s v="Ensaios Visuais 4"/>
    <m/>
    <x v="24"/>
    <x v="0"/>
    <m/>
    <x v="1"/>
    <x v="0"/>
    <x v="109"/>
    <x v="3"/>
    <x v="25"/>
    <x v="1"/>
    <x v="20"/>
    <x v="247"/>
  </r>
  <r>
    <x v="0"/>
    <n v="160"/>
    <x v="108"/>
    <x v="0"/>
    <s v="CM"/>
    <s v="N"/>
    <x v="12"/>
    <x v="2"/>
    <x v="72"/>
    <m/>
    <x v="22"/>
    <m/>
    <x v="3"/>
    <x v="0"/>
    <x v="14"/>
    <d v="2011-11-26T00:00:00"/>
    <x v="13"/>
    <x v="0"/>
    <m/>
    <m/>
    <x v="0"/>
    <x v="1"/>
    <m/>
    <x v="0"/>
    <x v="0"/>
    <x v="109"/>
    <x v="3"/>
    <x v="0"/>
    <x v="1"/>
    <x v="14"/>
    <x v="248"/>
  </r>
  <r>
    <x v="0"/>
    <n v="162"/>
    <x v="109"/>
    <x v="0"/>
    <s v="CM"/>
    <s v="S"/>
    <x v="97"/>
    <x v="5"/>
    <x v="81"/>
    <m/>
    <x v="61"/>
    <m/>
    <x v="2"/>
    <x v="0"/>
    <x v="71"/>
    <d v="2011-02-12T00:00:00"/>
    <x v="1"/>
    <x v="1"/>
    <s v="Compétition internationale"/>
    <m/>
    <x v="0"/>
    <x v="0"/>
    <m/>
    <x v="0"/>
    <x v="0"/>
    <x v="110"/>
    <x v="2"/>
    <x v="0"/>
    <x v="0"/>
    <x v="71"/>
    <x v="249"/>
  </r>
  <r>
    <x v="0"/>
    <n v="162"/>
    <x v="109"/>
    <x v="0"/>
    <s v="CM"/>
    <s v="S"/>
    <x v="97"/>
    <x v="5"/>
    <x v="62"/>
    <m/>
    <x v="23"/>
    <m/>
    <x v="3"/>
    <x v="0"/>
    <x v="58"/>
    <d v="2011-03-06T00:00:00"/>
    <x v="19"/>
    <x v="0"/>
    <m/>
    <s v="Panorama do Cinema Português"/>
    <x v="0"/>
    <x v="0"/>
    <m/>
    <x v="0"/>
    <x v="0"/>
    <x v="110"/>
    <x v="3"/>
    <x v="0"/>
    <x v="1"/>
    <x v="58"/>
    <x v="250"/>
  </r>
  <r>
    <x v="0"/>
    <n v="162"/>
    <x v="109"/>
    <x v="0"/>
    <s v="CM"/>
    <s v="S"/>
    <x v="97"/>
    <x v="5"/>
    <x v="31"/>
    <m/>
    <x v="29"/>
    <m/>
    <x v="2"/>
    <x v="0"/>
    <x v="24"/>
    <d v="2011-03-26T00:00:00"/>
    <x v="2"/>
    <x v="1"/>
    <s v="Compétion Courts-métrages - Programme 3"/>
    <m/>
    <x v="25"/>
    <x v="0"/>
    <m/>
    <x v="1"/>
    <x v="0"/>
    <x v="110"/>
    <x v="2"/>
    <x v="26"/>
    <x v="0"/>
    <x v="24"/>
    <x v="251"/>
  </r>
  <r>
    <x v="0"/>
    <n v="162"/>
    <x v="109"/>
    <x v="0"/>
    <s v="CM"/>
    <s v="S"/>
    <x v="97"/>
    <x v="5"/>
    <x v="137"/>
    <m/>
    <x v="104"/>
    <m/>
    <x v="9"/>
    <x v="0"/>
    <x v="112"/>
    <d v="2011-05-10T00:00:00"/>
    <x v="6"/>
    <x v="0"/>
    <m/>
    <s v="Short Films Out of Competition"/>
    <x v="0"/>
    <x v="0"/>
    <m/>
    <x v="0"/>
    <x v="0"/>
    <x v="110"/>
    <x v="9"/>
    <x v="0"/>
    <x v="0"/>
    <x v="112"/>
    <x v="252"/>
  </r>
  <r>
    <x v="0"/>
    <n v="162"/>
    <x v="109"/>
    <x v="0"/>
    <s v="CM"/>
    <s v="S"/>
    <x v="97"/>
    <x v="5"/>
    <x v="112"/>
    <m/>
    <x v="23"/>
    <m/>
    <x v="3"/>
    <x v="0"/>
    <x v="97"/>
    <d v="2011-05-14T00:00:00"/>
    <x v="6"/>
    <x v="1"/>
    <s v="Competição Vídeo 3"/>
    <m/>
    <x v="26"/>
    <x v="0"/>
    <m/>
    <x v="1"/>
    <x v="0"/>
    <x v="110"/>
    <x v="3"/>
    <x v="27"/>
    <x v="1"/>
    <x v="97"/>
    <x v="253"/>
  </r>
  <r>
    <x v="0"/>
    <n v="162"/>
    <x v="109"/>
    <x v="0"/>
    <s v="CM"/>
    <s v="S"/>
    <x v="97"/>
    <x v="5"/>
    <x v="34"/>
    <m/>
    <x v="32"/>
    <m/>
    <x v="3"/>
    <x v="0"/>
    <x v="31"/>
    <d v="2011-05-15T00:00:00"/>
    <x v="6"/>
    <x v="1"/>
    <m/>
    <m/>
    <x v="27"/>
    <x v="0"/>
    <m/>
    <x v="1"/>
    <x v="0"/>
    <x v="110"/>
    <x v="3"/>
    <x v="28"/>
    <x v="1"/>
    <x v="31"/>
    <x v="254"/>
  </r>
  <r>
    <x v="0"/>
    <n v="162"/>
    <x v="109"/>
    <x v="0"/>
    <s v="CM"/>
    <s v="S"/>
    <x v="97"/>
    <x v="5"/>
    <x v="138"/>
    <m/>
    <x v="105"/>
    <m/>
    <x v="32"/>
    <x v="0"/>
    <x v="113"/>
    <d v="2011-06-04T00:00:00"/>
    <x v="22"/>
    <x v="1"/>
    <s v="Concurso de cortometrajes"/>
    <m/>
    <x v="0"/>
    <x v="0"/>
    <m/>
    <x v="0"/>
    <x v="0"/>
    <x v="110"/>
    <x v="32"/>
    <x v="0"/>
    <x v="0"/>
    <x v="113"/>
    <x v="255"/>
  </r>
  <r>
    <x v="0"/>
    <n v="162"/>
    <x v="109"/>
    <x v="0"/>
    <s v="CM"/>
    <s v="S"/>
    <x v="97"/>
    <x v="5"/>
    <x v="66"/>
    <m/>
    <x v="52"/>
    <m/>
    <x v="3"/>
    <x v="0"/>
    <x v="62"/>
    <d v="2011-06-12T00:00:00"/>
    <x v="7"/>
    <x v="0"/>
    <m/>
    <s v="Curtas Sadinas Premiadas 2011 - Ficção"/>
    <x v="0"/>
    <x v="0"/>
    <m/>
    <x v="0"/>
    <x v="0"/>
    <x v="110"/>
    <x v="3"/>
    <x v="0"/>
    <x v="1"/>
    <x v="62"/>
    <x v="256"/>
  </r>
  <r>
    <x v="0"/>
    <n v="162"/>
    <x v="109"/>
    <x v="0"/>
    <s v="CM"/>
    <s v="S"/>
    <x v="97"/>
    <x v="5"/>
    <x v="139"/>
    <m/>
    <x v="106"/>
    <m/>
    <x v="15"/>
    <x v="0"/>
    <x v="109"/>
    <d v="2011-07-30T00:00:00"/>
    <x v="8"/>
    <x v="1"/>
    <s v="Nuovi Segni 3"/>
    <m/>
    <x v="1"/>
    <x v="0"/>
    <m/>
    <x v="1"/>
    <x v="0"/>
    <x v="110"/>
    <x v="15"/>
    <x v="29"/>
    <x v="0"/>
    <x v="109"/>
    <x v="257"/>
  </r>
  <r>
    <x v="0"/>
    <n v="162"/>
    <x v="109"/>
    <x v="0"/>
    <s v="CM"/>
    <s v="S"/>
    <x v="97"/>
    <x v="5"/>
    <x v="140"/>
    <m/>
    <x v="91"/>
    <m/>
    <x v="28"/>
    <x v="0"/>
    <x v="111"/>
    <d v="2011-09-02T00:00:00"/>
    <x v="20"/>
    <x v="0"/>
    <m/>
    <s v="Mostra Internacional"/>
    <x v="0"/>
    <x v="0"/>
    <m/>
    <x v="0"/>
    <x v="0"/>
    <x v="110"/>
    <x v="28"/>
    <x v="0"/>
    <x v="0"/>
    <x v="111"/>
    <x v="258"/>
  </r>
  <r>
    <x v="0"/>
    <n v="162"/>
    <x v="109"/>
    <x v="0"/>
    <s v="CM"/>
    <s v="S"/>
    <x v="97"/>
    <x v="5"/>
    <x v="141"/>
    <m/>
    <x v="107"/>
    <m/>
    <x v="31"/>
    <x v="0"/>
    <x v="114"/>
    <d v="2011-09-25T00:00:00"/>
    <x v="9"/>
    <x v="1"/>
    <s v="Experimental"/>
    <m/>
    <x v="0"/>
    <x v="0"/>
    <m/>
    <x v="0"/>
    <x v="0"/>
    <x v="110"/>
    <x v="31"/>
    <x v="0"/>
    <x v="0"/>
    <x v="114"/>
    <x v="259"/>
  </r>
  <r>
    <x v="0"/>
    <n v="162"/>
    <x v="109"/>
    <x v="0"/>
    <s v="CM"/>
    <s v="S"/>
    <x v="97"/>
    <x v="5"/>
    <x v="142"/>
    <m/>
    <x v="108"/>
    <m/>
    <x v="2"/>
    <x v="0"/>
    <x v="85"/>
    <d v="2011-10-23T00:00:00"/>
    <x v="14"/>
    <x v="1"/>
    <s v="Compétition européenne: Programme 6"/>
    <m/>
    <x v="0"/>
    <x v="0"/>
    <m/>
    <x v="0"/>
    <x v="0"/>
    <x v="110"/>
    <x v="2"/>
    <x v="0"/>
    <x v="0"/>
    <x v="85"/>
    <x v="260"/>
  </r>
  <r>
    <x v="0"/>
    <n v="162"/>
    <x v="109"/>
    <x v="0"/>
    <s v="CM"/>
    <s v="S"/>
    <x v="97"/>
    <x v="5"/>
    <x v="143"/>
    <m/>
    <x v="109"/>
    <m/>
    <x v="2"/>
    <x v="0"/>
    <x v="72"/>
    <d v="2011-11-19T00:00:00"/>
    <x v="13"/>
    <x v="1"/>
    <s v="Jeunes Auteurs en Europe"/>
    <m/>
    <x v="0"/>
    <x v="0"/>
    <m/>
    <x v="0"/>
    <x v="0"/>
    <x v="110"/>
    <x v="2"/>
    <x v="0"/>
    <x v="0"/>
    <x v="72"/>
    <x v="261"/>
  </r>
  <r>
    <x v="0"/>
    <n v="164"/>
    <x v="110"/>
    <x v="4"/>
    <s v=""/>
    <s v=""/>
    <x v="11"/>
    <x v="2"/>
    <x v="40"/>
    <m/>
    <x v="37"/>
    <m/>
    <x v="3"/>
    <x v="0"/>
    <x v="36"/>
    <m/>
    <x v="13"/>
    <x v="0"/>
    <m/>
    <m/>
    <x v="0"/>
    <x v="1"/>
    <m/>
    <x v="0"/>
    <x v="7"/>
    <x v="111"/>
    <x v="3"/>
    <x v="0"/>
    <x v="1"/>
    <x v="36"/>
    <x v="262"/>
  </r>
  <r>
    <x v="0"/>
    <n v="165"/>
    <x v="111"/>
    <x v="4"/>
    <s v=""/>
    <s v=""/>
    <x v="98"/>
    <x v="2"/>
    <x v="70"/>
    <m/>
    <x v="38"/>
    <m/>
    <x v="3"/>
    <x v="0"/>
    <x v="19"/>
    <d v="2011-09-11T00:00:00"/>
    <x v="9"/>
    <x v="1"/>
    <m/>
    <m/>
    <x v="0"/>
    <x v="0"/>
    <m/>
    <x v="0"/>
    <x v="7"/>
    <x v="112"/>
    <x v="3"/>
    <x v="0"/>
    <x v="1"/>
    <x v="19"/>
    <x v="263"/>
  </r>
  <r>
    <x v="0"/>
    <n v="166"/>
    <x v="112"/>
    <x v="4"/>
    <s v=""/>
    <s v=""/>
    <x v="99"/>
    <x v="2"/>
    <x v="65"/>
    <m/>
    <x v="51"/>
    <m/>
    <x v="14"/>
    <x v="0"/>
    <x v="61"/>
    <d v="2011-06-03T00:00:00"/>
    <x v="7"/>
    <x v="0"/>
    <m/>
    <m/>
    <x v="0"/>
    <x v="0"/>
    <m/>
    <x v="0"/>
    <x v="7"/>
    <x v="113"/>
    <x v="14"/>
    <x v="0"/>
    <x v="0"/>
    <x v="61"/>
    <x v="264"/>
  </r>
  <r>
    <x v="0"/>
    <n v="167"/>
    <x v="113"/>
    <x v="2"/>
    <s v="CM"/>
    <s v="S"/>
    <x v="100"/>
    <x v="1"/>
    <x v="26"/>
    <m/>
    <x v="24"/>
    <m/>
    <x v="3"/>
    <x v="0"/>
    <x v="24"/>
    <d v="2011-03-27T00:00:00"/>
    <x v="2"/>
    <x v="0"/>
    <m/>
    <s v="Retrospectiva &quot;20 Anos da ANIMANOSTRA&quot;"/>
    <x v="0"/>
    <x v="0"/>
    <m/>
    <x v="0"/>
    <x v="4"/>
    <x v="114"/>
    <x v="3"/>
    <x v="0"/>
    <x v="1"/>
    <x v="24"/>
    <x v="265"/>
  </r>
  <r>
    <x v="0"/>
    <n v="167"/>
    <x v="113"/>
    <x v="2"/>
    <s v="CM"/>
    <s v="S"/>
    <x v="100"/>
    <x v="1"/>
    <x v="18"/>
    <m/>
    <x v="18"/>
    <m/>
    <x v="3"/>
    <x v="0"/>
    <x v="17"/>
    <d v="2011-12-14T00:00:00"/>
    <x v="12"/>
    <x v="0"/>
    <m/>
    <m/>
    <x v="0"/>
    <x v="1"/>
    <m/>
    <x v="0"/>
    <x v="4"/>
    <x v="114"/>
    <x v="3"/>
    <x v="0"/>
    <x v="1"/>
    <x v="17"/>
    <x v="266"/>
  </r>
  <r>
    <x v="0"/>
    <n v="168"/>
    <x v="114"/>
    <x v="4"/>
    <s v=""/>
    <s v=""/>
    <x v="101"/>
    <x v="2"/>
    <x v="22"/>
    <m/>
    <x v="22"/>
    <m/>
    <x v="3"/>
    <x v="0"/>
    <x v="20"/>
    <d v="2011-11-17T00:00:00"/>
    <x v="13"/>
    <x v="1"/>
    <s v="Ensaios Visuais 4"/>
    <m/>
    <x v="0"/>
    <x v="0"/>
    <m/>
    <x v="0"/>
    <x v="7"/>
    <x v="115"/>
    <x v="3"/>
    <x v="0"/>
    <x v="1"/>
    <x v="20"/>
    <x v="267"/>
  </r>
  <r>
    <x v="0"/>
    <n v="169"/>
    <x v="115"/>
    <x v="4"/>
    <s v=""/>
    <s v=""/>
    <x v="102"/>
    <x v="2"/>
    <x v="109"/>
    <m/>
    <x v="23"/>
    <m/>
    <x v="3"/>
    <x v="0"/>
    <x v="115"/>
    <d v="2011-06-05T00:00:00"/>
    <x v="23"/>
    <x v="0"/>
    <m/>
    <s v="Momento XIX"/>
    <x v="0"/>
    <x v="1"/>
    <m/>
    <x v="0"/>
    <x v="7"/>
    <x v="116"/>
    <x v="3"/>
    <x v="0"/>
    <x v="1"/>
    <x v="115"/>
    <x v="268"/>
  </r>
  <r>
    <x v="0"/>
    <n v="169"/>
    <x v="115"/>
    <x v="4"/>
    <s v=""/>
    <s v=""/>
    <x v="102"/>
    <x v="2"/>
    <x v="25"/>
    <m/>
    <x v="24"/>
    <m/>
    <x v="3"/>
    <x v="0"/>
    <x v="23"/>
    <d v="2011-10-30T00:00:00"/>
    <x v="14"/>
    <x v="0"/>
    <m/>
    <s v="Retrospectiva movimentos de libertação em Moçambique, Angola e Guiné-Bissau (1961-1974)"/>
    <x v="0"/>
    <x v="0"/>
    <m/>
    <x v="0"/>
    <x v="7"/>
    <x v="116"/>
    <x v="3"/>
    <x v="0"/>
    <x v="1"/>
    <x v="23"/>
    <x v="269"/>
  </r>
  <r>
    <x v="0"/>
    <n v="170"/>
    <x v="116"/>
    <x v="0"/>
    <s v="LM"/>
    <s v="S"/>
    <x v="103"/>
    <x v="2"/>
    <x v="144"/>
    <m/>
    <x v="110"/>
    <m/>
    <x v="9"/>
    <x v="0"/>
    <x v="116"/>
    <d v="2011-04-21T00:00:00"/>
    <x v="5"/>
    <x v="0"/>
    <m/>
    <m/>
    <x v="0"/>
    <x v="1"/>
    <m/>
    <x v="0"/>
    <x v="5"/>
    <x v="117"/>
    <x v="9"/>
    <x v="0"/>
    <x v="0"/>
    <x v="116"/>
    <x v="270"/>
  </r>
  <r>
    <x v="0"/>
    <n v="170"/>
    <x v="116"/>
    <x v="0"/>
    <s v="LM"/>
    <s v="S"/>
    <x v="103"/>
    <x v="2"/>
    <x v="145"/>
    <m/>
    <x v="111"/>
    <m/>
    <x v="33"/>
    <x v="0"/>
    <x v="117"/>
    <d v="2011-07-26T00:00:00"/>
    <x v="8"/>
    <x v="0"/>
    <m/>
    <m/>
    <x v="0"/>
    <x v="1"/>
    <m/>
    <x v="0"/>
    <x v="5"/>
    <x v="117"/>
    <x v="33"/>
    <x v="0"/>
    <x v="0"/>
    <x v="117"/>
    <x v="271"/>
  </r>
  <r>
    <x v="0"/>
    <n v="170"/>
    <x v="116"/>
    <x v="0"/>
    <s v="LM"/>
    <s v="S"/>
    <x v="103"/>
    <x v="2"/>
    <x v="58"/>
    <m/>
    <x v="47"/>
    <m/>
    <x v="3"/>
    <x v="0"/>
    <x v="118"/>
    <d v="2012-09-09T00:00:00"/>
    <x v="9"/>
    <x v="0"/>
    <m/>
    <m/>
    <x v="0"/>
    <x v="1"/>
    <m/>
    <x v="0"/>
    <x v="5"/>
    <x v="117"/>
    <x v="3"/>
    <x v="0"/>
    <x v="1"/>
    <x v="118"/>
    <x v="272"/>
  </r>
  <r>
    <x v="0"/>
    <n v="171"/>
    <x v="117"/>
    <x v="4"/>
    <s v=""/>
    <s v=""/>
    <x v="104"/>
    <x v="2"/>
    <x v="26"/>
    <m/>
    <x v="24"/>
    <m/>
    <x v="3"/>
    <x v="0"/>
    <x v="24"/>
    <d v="2011-03-27T00:00:00"/>
    <x v="2"/>
    <x v="1"/>
    <s v="Curtíssimas"/>
    <m/>
    <x v="0"/>
    <x v="0"/>
    <m/>
    <x v="0"/>
    <x v="7"/>
    <x v="118"/>
    <x v="3"/>
    <x v="0"/>
    <x v="1"/>
    <x v="24"/>
    <x v="273"/>
  </r>
  <r>
    <x v="0"/>
    <n v="172"/>
    <x v="118"/>
    <x v="4"/>
    <s v=""/>
    <s v=""/>
    <x v="105"/>
    <x v="2"/>
    <x v="14"/>
    <m/>
    <x v="14"/>
    <m/>
    <x v="3"/>
    <x v="0"/>
    <x v="13"/>
    <d v="2011-11-05T00:00:00"/>
    <x v="0"/>
    <x v="0"/>
    <m/>
    <s v="Homenagem a António de Macedo"/>
    <x v="0"/>
    <x v="0"/>
    <m/>
    <x v="0"/>
    <x v="7"/>
    <x v="119"/>
    <x v="3"/>
    <x v="0"/>
    <x v="1"/>
    <x v="13"/>
    <x v="274"/>
  </r>
  <r>
    <x v="0"/>
    <n v="174"/>
    <x v="119"/>
    <x v="1"/>
    <s v="CM"/>
    <s v="N"/>
    <x v="106"/>
    <x v="3"/>
    <x v="146"/>
    <m/>
    <x v="24"/>
    <m/>
    <x v="3"/>
    <x v="0"/>
    <x v="112"/>
    <d v="2011-05-15T00:00:00"/>
    <x v="6"/>
    <x v="1"/>
    <s v="Competição Internacional - Curtas Metragens"/>
    <m/>
    <x v="28"/>
    <x v="0"/>
    <m/>
    <x v="1"/>
    <x v="2"/>
    <x v="120"/>
    <x v="3"/>
    <x v="30"/>
    <x v="1"/>
    <x v="112"/>
    <x v="275"/>
  </r>
  <r>
    <x v="0"/>
    <n v="174"/>
    <x v="119"/>
    <x v="1"/>
    <s v="CM"/>
    <s v="N"/>
    <x v="106"/>
    <x v="3"/>
    <x v="68"/>
    <m/>
    <x v="53"/>
    <m/>
    <x v="3"/>
    <x v="0"/>
    <x v="64"/>
    <d v="2011-07-17T00:00:00"/>
    <x v="8"/>
    <x v="0"/>
    <m/>
    <s v="Panorama Nacional"/>
    <x v="0"/>
    <x v="0"/>
    <m/>
    <x v="0"/>
    <x v="2"/>
    <x v="120"/>
    <x v="3"/>
    <x v="0"/>
    <x v="1"/>
    <x v="64"/>
    <x v="276"/>
  </r>
  <r>
    <x v="0"/>
    <n v="174"/>
    <x v="119"/>
    <x v="1"/>
    <s v="CM"/>
    <s v="N"/>
    <x v="106"/>
    <x v="3"/>
    <x v="147"/>
    <m/>
    <x v="112"/>
    <m/>
    <x v="34"/>
    <x v="0"/>
    <x v="48"/>
    <d v="2011-08-13T00:00:00"/>
    <x v="16"/>
    <x v="0"/>
    <m/>
    <s v="Pardi di Domani: Programma Speciale Corti d'autore"/>
    <x v="0"/>
    <x v="0"/>
    <m/>
    <x v="0"/>
    <x v="2"/>
    <x v="120"/>
    <x v="34"/>
    <x v="0"/>
    <x v="0"/>
    <x v="48"/>
    <x v="277"/>
  </r>
  <r>
    <x v="0"/>
    <n v="174"/>
    <x v="119"/>
    <x v="1"/>
    <s v="CM"/>
    <s v="N"/>
    <x v="106"/>
    <x v="3"/>
    <x v="148"/>
    <m/>
    <x v="113"/>
    <m/>
    <x v="7"/>
    <x v="0"/>
    <x v="119"/>
    <d v="2011-10-14T00:00:00"/>
    <x v="10"/>
    <x v="0"/>
    <m/>
    <s v="Cinema of Our Time"/>
    <x v="0"/>
    <x v="0"/>
    <m/>
    <x v="0"/>
    <x v="2"/>
    <x v="120"/>
    <x v="7"/>
    <x v="0"/>
    <x v="0"/>
    <x v="119"/>
    <x v="278"/>
  </r>
  <r>
    <x v="0"/>
    <n v="174"/>
    <x v="119"/>
    <x v="1"/>
    <s v="CM"/>
    <s v="N"/>
    <x v="106"/>
    <x v="3"/>
    <x v="149"/>
    <m/>
    <x v="114"/>
    <m/>
    <x v="35"/>
    <x v="0"/>
    <x v="23"/>
    <d v="2011-11-02T00:00:00"/>
    <x v="0"/>
    <x v="0"/>
    <m/>
    <s v="Short Films"/>
    <x v="0"/>
    <x v="0"/>
    <m/>
    <x v="0"/>
    <x v="2"/>
    <x v="120"/>
    <x v="35"/>
    <x v="0"/>
    <x v="0"/>
    <x v="23"/>
    <x v="279"/>
  </r>
  <r>
    <x v="0"/>
    <n v="174"/>
    <x v="119"/>
    <x v="1"/>
    <s v="CM"/>
    <s v="N"/>
    <x v="106"/>
    <x v="3"/>
    <x v="150"/>
    <m/>
    <x v="115"/>
    <m/>
    <x v="36"/>
    <x v="0"/>
    <x v="120"/>
    <d v="2011-11-13T00:00:00"/>
    <x v="13"/>
    <x v="1"/>
    <s v="New: Vision Award Competition"/>
    <m/>
    <x v="0"/>
    <x v="0"/>
    <m/>
    <x v="0"/>
    <x v="2"/>
    <x v="120"/>
    <x v="36"/>
    <x v="0"/>
    <x v="0"/>
    <x v="120"/>
    <x v="280"/>
  </r>
  <r>
    <x v="0"/>
    <n v="174"/>
    <x v="119"/>
    <x v="1"/>
    <s v="CM"/>
    <s v="N"/>
    <x v="106"/>
    <x v="3"/>
    <x v="22"/>
    <m/>
    <x v="22"/>
    <m/>
    <x v="3"/>
    <x v="0"/>
    <x v="20"/>
    <d v="2011-11-17T00:00:00"/>
    <x v="13"/>
    <x v="1"/>
    <s v="Sessão Competitiva 12"/>
    <m/>
    <x v="0"/>
    <x v="0"/>
    <m/>
    <x v="0"/>
    <x v="2"/>
    <x v="120"/>
    <x v="3"/>
    <x v="0"/>
    <x v="1"/>
    <x v="20"/>
    <x v="281"/>
  </r>
  <r>
    <x v="0"/>
    <n v="174"/>
    <x v="119"/>
    <x v="1"/>
    <s v="CM"/>
    <s v="N"/>
    <x v="106"/>
    <x v="3"/>
    <x v="95"/>
    <m/>
    <x v="74"/>
    <m/>
    <x v="1"/>
    <x v="0"/>
    <x v="86"/>
    <d v="2011-11-18T00:00:00"/>
    <x v="13"/>
    <x v="0"/>
    <m/>
    <s v="Una Mirada por Delante"/>
    <x v="0"/>
    <x v="0"/>
    <m/>
    <x v="0"/>
    <x v="2"/>
    <x v="120"/>
    <x v="1"/>
    <x v="0"/>
    <x v="0"/>
    <x v="86"/>
    <x v="282"/>
  </r>
  <r>
    <x v="0"/>
    <n v="174"/>
    <x v="119"/>
    <x v="1"/>
    <s v="CM"/>
    <s v="N"/>
    <x v="106"/>
    <x v="3"/>
    <x v="151"/>
    <m/>
    <x v="116"/>
    <m/>
    <x v="1"/>
    <x v="0"/>
    <x v="34"/>
    <d v="2011-11-26T00:00:00"/>
    <x v="13"/>
    <x v="0"/>
    <m/>
    <s v="Llendes"/>
    <x v="0"/>
    <x v="0"/>
    <m/>
    <x v="0"/>
    <x v="2"/>
    <x v="120"/>
    <x v="1"/>
    <x v="0"/>
    <x v="0"/>
    <x v="34"/>
    <x v="283"/>
  </r>
  <r>
    <x v="0"/>
    <n v="174"/>
    <x v="119"/>
    <x v="1"/>
    <s v="CM"/>
    <s v="N"/>
    <x v="106"/>
    <x v="3"/>
    <x v="18"/>
    <m/>
    <x v="18"/>
    <m/>
    <x v="3"/>
    <x v="0"/>
    <x v="17"/>
    <d v="2011-12-14T00:00:00"/>
    <x v="12"/>
    <x v="0"/>
    <m/>
    <m/>
    <x v="0"/>
    <x v="1"/>
    <m/>
    <x v="0"/>
    <x v="2"/>
    <x v="120"/>
    <x v="3"/>
    <x v="0"/>
    <x v="1"/>
    <x v="17"/>
    <x v="284"/>
  </r>
  <r>
    <x v="0"/>
    <n v="175"/>
    <x v="120"/>
    <x v="0"/>
    <s v="LM"/>
    <s v="N"/>
    <x v="107"/>
    <x v="2"/>
    <x v="152"/>
    <m/>
    <x v="117"/>
    <m/>
    <x v="9"/>
    <x v="0"/>
    <x v="121"/>
    <m/>
    <x v="1"/>
    <x v="1"/>
    <m/>
    <m/>
    <x v="29"/>
    <x v="2"/>
    <m/>
    <x v="1"/>
    <x v="5"/>
    <x v="121"/>
    <x v="9"/>
    <x v="31"/>
    <x v="0"/>
    <x v="121"/>
    <x v="285"/>
  </r>
  <r>
    <x v="0"/>
    <n v="175"/>
    <x v="120"/>
    <x v="0"/>
    <s v="LM"/>
    <s v="N"/>
    <x v="107"/>
    <x v="2"/>
    <x v="130"/>
    <m/>
    <x v="99"/>
    <m/>
    <x v="3"/>
    <x v="0"/>
    <x v="122"/>
    <m/>
    <x v="14"/>
    <x v="0"/>
    <m/>
    <m/>
    <x v="0"/>
    <x v="1"/>
    <m/>
    <x v="0"/>
    <x v="5"/>
    <x v="121"/>
    <x v="3"/>
    <x v="0"/>
    <x v="1"/>
    <x v="122"/>
    <x v="286"/>
  </r>
  <r>
    <x v="0"/>
    <n v="178"/>
    <x v="121"/>
    <x v="0"/>
    <s v="LM"/>
    <s v="S"/>
    <x v="108"/>
    <x v="5"/>
    <x v="153"/>
    <m/>
    <x v="98"/>
    <m/>
    <x v="29"/>
    <x v="0"/>
    <x v="123"/>
    <d v="2011-03-13T00:00:00"/>
    <x v="2"/>
    <x v="1"/>
    <s v="International Competition"/>
    <m/>
    <x v="30"/>
    <x v="0"/>
    <m/>
    <x v="1"/>
    <x v="5"/>
    <x v="122"/>
    <x v="29"/>
    <x v="32"/>
    <x v="0"/>
    <x v="123"/>
    <x v="287"/>
  </r>
  <r>
    <x v="0"/>
    <n v="178"/>
    <x v="121"/>
    <x v="0"/>
    <s v="LM"/>
    <s v="S"/>
    <x v="108"/>
    <x v="5"/>
    <x v="146"/>
    <m/>
    <x v="24"/>
    <m/>
    <x v="3"/>
    <x v="0"/>
    <x v="112"/>
    <d v="2011-05-15T00:00:00"/>
    <x v="6"/>
    <x v="0"/>
    <m/>
    <s v="Cinema Emergente"/>
    <x v="31"/>
    <x v="0"/>
    <m/>
    <x v="1"/>
    <x v="5"/>
    <x v="122"/>
    <x v="3"/>
    <x v="33"/>
    <x v="1"/>
    <x v="112"/>
    <x v="288"/>
  </r>
  <r>
    <x v="0"/>
    <n v="178"/>
    <x v="121"/>
    <x v="0"/>
    <s v="LM"/>
    <s v="S"/>
    <x v="108"/>
    <x v="5"/>
    <x v="9"/>
    <m/>
    <x v="9"/>
    <m/>
    <x v="3"/>
    <x v="0"/>
    <x v="19"/>
    <m/>
    <x v="9"/>
    <x v="0"/>
    <m/>
    <m/>
    <x v="0"/>
    <x v="1"/>
    <m/>
    <x v="0"/>
    <x v="5"/>
    <x v="122"/>
    <x v="3"/>
    <x v="0"/>
    <x v="1"/>
    <x v="19"/>
    <x v="289"/>
  </r>
  <r>
    <x v="0"/>
    <n v="178"/>
    <x v="121"/>
    <x v="0"/>
    <s v="LM"/>
    <s v="S"/>
    <x v="108"/>
    <x v="5"/>
    <x v="10"/>
    <m/>
    <x v="10"/>
    <m/>
    <x v="0"/>
    <x v="0"/>
    <x v="10"/>
    <d v="2011-09-25T00:00:00"/>
    <x v="9"/>
    <x v="1"/>
    <s v="Andorinha Longa Ficção"/>
    <m/>
    <x v="32"/>
    <x v="0"/>
    <m/>
    <x v="1"/>
    <x v="5"/>
    <x v="122"/>
    <x v="0"/>
    <x v="34"/>
    <x v="0"/>
    <x v="10"/>
    <x v="290"/>
  </r>
  <r>
    <x v="0"/>
    <n v="178"/>
    <x v="121"/>
    <x v="0"/>
    <s v="LM"/>
    <s v="S"/>
    <x v="108"/>
    <x v="5"/>
    <x v="134"/>
    <m/>
    <x v="99"/>
    <m/>
    <x v="3"/>
    <x v="0"/>
    <x v="77"/>
    <m/>
    <x v="14"/>
    <x v="0"/>
    <m/>
    <m/>
    <x v="0"/>
    <x v="1"/>
    <m/>
    <x v="0"/>
    <x v="5"/>
    <x v="122"/>
    <x v="3"/>
    <x v="0"/>
    <x v="1"/>
    <x v="77"/>
    <x v="291"/>
  </r>
  <r>
    <x v="0"/>
    <n v="178"/>
    <x v="121"/>
    <x v="0"/>
    <s v="LM"/>
    <s v="S"/>
    <x v="108"/>
    <x v="5"/>
    <x v="88"/>
    <m/>
    <x v="67"/>
    <m/>
    <x v="3"/>
    <x v="0"/>
    <x v="79"/>
    <d v="2011-10-15T00:00:00"/>
    <x v="14"/>
    <x v="0"/>
    <m/>
    <s v="Panorama"/>
    <x v="0"/>
    <x v="0"/>
    <m/>
    <x v="0"/>
    <x v="5"/>
    <x v="122"/>
    <x v="3"/>
    <x v="0"/>
    <x v="1"/>
    <x v="79"/>
    <x v="292"/>
  </r>
  <r>
    <x v="0"/>
    <n v="178"/>
    <x v="121"/>
    <x v="0"/>
    <s v="LM"/>
    <s v="S"/>
    <x v="108"/>
    <x v="5"/>
    <x v="154"/>
    <m/>
    <x v="118"/>
    <m/>
    <x v="9"/>
    <x v="0"/>
    <x v="120"/>
    <d v="2011-11-22T00:00:00"/>
    <x v="13"/>
    <x v="0"/>
    <m/>
    <m/>
    <x v="0"/>
    <x v="1"/>
    <m/>
    <x v="0"/>
    <x v="5"/>
    <x v="122"/>
    <x v="9"/>
    <x v="0"/>
    <x v="0"/>
    <x v="120"/>
    <x v="293"/>
  </r>
  <r>
    <x v="0"/>
    <n v="178"/>
    <x v="121"/>
    <x v="0"/>
    <s v="LM"/>
    <s v="S"/>
    <x v="108"/>
    <x v="5"/>
    <x v="22"/>
    <m/>
    <x v="22"/>
    <m/>
    <x v="3"/>
    <x v="0"/>
    <x v="20"/>
    <d v="2011-11-17T00:00:00"/>
    <x v="13"/>
    <x v="1"/>
    <s v="Sessão Competitiva 10"/>
    <m/>
    <x v="33"/>
    <x v="0"/>
    <m/>
    <x v="1"/>
    <x v="5"/>
    <x v="122"/>
    <x v="3"/>
    <x v="35"/>
    <x v="1"/>
    <x v="20"/>
    <x v="294"/>
  </r>
  <r>
    <x v="0"/>
    <n v="178"/>
    <x v="121"/>
    <x v="0"/>
    <s v="LM"/>
    <s v="S"/>
    <x v="108"/>
    <x v="5"/>
    <x v="155"/>
    <m/>
    <x v="119"/>
    <m/>
    <x v="3"/>
    <x v="0"/>
    <x v="124"/>
    <d v="2011-12-29T00:00:00"/>
    <x v="12"/>
    <x v="0"/>
    <m/>
    <m/>
    <x v="0"/>
    <x v="1"/>
    <m/>
    <x v="0"/>
    <x v="5"/>
    <x v="122"/>
    <x v="3"/>
    <x v="0"/>
    <x v="1"/>
    <x v="124"/>
    <x v="295"/>
  </r>
  <r>
    <x v="0"/>
    <n v="178"/>
    <x v="121"/>
    <x v="0"/>
    <s v="LM"/>
    <s v="S"/>
    <x v="108"/>
    <x v="5"/>
    <x v="156"/>
    <m/>
    <x v="49"/>
    <m/>
    <x v="3"/>
    <x v="0"/>
    <x v="96"/>
    <m/>
    <x v="12"/>
    <x v="0"/>
    <m/>
    <m/>
    <x v="0"/>
    <x v="1"/>
    <m/>
    <x v="0"/>
    <x v="5"/>
    <x v="122"/>
    <x v="3"/>
    <x v="0"/>
    <x v="1"/>
    <x v="96"/>
    <x v="296"/>
  </r>
  <r>
    <x v="0"/>
    <n v="179"/>
    <x v="122"/>
    <x v="2"/>
    <s v="CM"/>
    <s v="N"/>
    <x v="109"/>
    <x v="3"/>
    <x v="22"/>
    <m/>
    <x v="22"/>
    <m/>
    <x v="3"/>
    <x v="0"/>
    <x v="20"/>
    <d v="2011-11-17T00:00:00"/>
    <x v="13"/>
    <x v="1"/>
    <s v="Sessão Competitiva 15"/>
    <s v="Caminhos Juniores"/>
    <x v="0"/>
    <x v="0"/>
    <m/>
    <x v="0"/>
    <x v="4"/>
    <x v="123"/>
    <x v="3"/>
    <x v="0"/>
    <x v="1"/>
    <x v="20"/>
    <x v="297"/>
  </r>
  <r>
    <x v="0"/>
    <n v="1287"/>
    <x v="123"/>
    <x v="1"/>
    <s v="CM"/>
    <s v="N"/>
    <x v="110"/>
    <x v="3"/>
    <x v="157"/>
    <m/>
    <x v="120"/>
    <m/>
    <x v="1"/>
    <x v="0"/>
    <x v="41"/>
    <d v="2011-11-25T00:00:00"/>
    <x v="13"/>
    <x v="1"/>
    <s v="Transfrontera"/>
    <m/>
    <x v="0"/>
    <x v="0"/>
    <m/>
    <x v="0"/>
    <x v="2"/>
    <x v="124"/>
    <x v="1"/>
    <x v="0"/>
    <x v="0"/>
    <x v="41"/>
    <x v="298"/>
  </r>
  <r>
    <x v="0"/>
    <n v="181"/>
    <x v="124"/>
    <x v="0"/>
    <s v="LM"/>
    <s v=""/>
    <x v="20"/>
    <x v="2"/>
    <x v="85"/>
    <m/>
    <x v="64"/>
    <m/>
    <x v="18"/>
    <x v="0"/>
    <x v="77"/>
    <d v="2011-10-14T00:00:00"/>
    <x v="14"/>
    <x v="0"/>
    <m/>
    <s v="Extreme Portuguese Cinema: Six Auteurs in Focus"/>
    <x v="0"/>
    <x v="0"/>
    <m/>
    <x v="0"/>
    <x v="5"/>
    <x v="125"/>
    <x v="18"/>
    <x v="0"/>
    <x v="0"/>
    <x v="77"/>
    <x v="299"/>
  </r>
  <r>
    <x v="0"/>
    <n v="182"/>
    <x v="125"/>
    <x v="1"/>
    <s v="LM"/>
    <s v="N"/>
    <x v="111"/>
    <x v="16"/>
    <x v="91"/>
    <m/>
    <x v="70"/>
    <m/>
    <x v="18"/>
    <x v="0"/>
    <x v="82"/>
    <d v="2011-05-06T00:00:00"/>
    <x v="4"/>
    <x v="0"/>
    <m/>
    <s v="Focus On: Portuguese Cinema 1- António Reis &amp; Margarida Cordeiro"/>
    <x v="0"/>
    <x v="0"/>
    <m/>
    <x v="0"/>
    <x v="1"/>
    <x v="126"/>
    <x v="18"/>
    <x v="0"/>
    <x v="0"/>
    <x v="82"/>
    <x v="300"/>
  </r>
  <r>
    <x v="0"/>
    <n v="182"/>
    <x v="125"/>
    <x v="1"/>
    <s v="LM"/>
    <s v="N"/>
    <x v="111"/>
    <x v="16"/>
    <x v="158"/>
    <m/>
    <x v="121"/>
    <m/>
    <x v="3"/>
    <x v="0"/>
    <x v="119"/>
    <d v="2011-10-02T00:00:00"/>
    <x v="10"/>
    <x v="0"/>
    <m/>
    <s v="Povo e Território"/>
    <x v="0"/>
    <x v="0"/>
    <m/>
    <x v="0"/>
    <x v="1"/>
    <x v="126"/>
    <x v="3"/>
    <x v="0"/>
    <x v="1"/>
    <x v="119"/>
    <x v="301"/>
  </r>
  <r>
    <x v="0"/>
    <n v="183"/>
    <x v="126"/>
    <x v="4"/>
    <s v=""/>
    <s v=""/>
    <x v="41"/>
    <x v="2"/>
    <x v="46"/>
    <m/>
    <x v="24"/>
    <m/>
    <x v="3"/>
    <x v="0"/>
    <x v="41"/>
    <d v="2011-11-18T00:00:00"/>
    <x v="13"/>
    <x v="1"/>
    <s v="Prémio de Cinema para Filmes sobre Arte"/>
    <m/>
    <x v="0"/>
    <x v="0"/>
    <m/>
    <x v="0"/>
    <x v="7"/>
    <x v="127"/>
    <x v="3"/>
    <x v="0"/>
    <x v="1"/>
    <x v="41"/>
    <x v="302"/>
  </r>
  <r>
    <x v="0"/>
    <n v="184"/>
    <x v="127"/>
    <x v="4"/>
    <s v=""/>
    <s v=""/>
    <x v="112"/>
    <x v="2"/>
    <x v="107"/>
    <m/>
    <x v="83"/>
    <m/>
    <x v="3"/>
    <x v="0"/>
    <x v="25"/>
    <d v="2011-11-10T00:00:00"/>
    <x v="13"/>
    <x v="1"/>
    <m/>
    <m/>
    <x v="0"/>
    <x v="0"/>
    <m/>
    <x v="0"/>
    <x v="7"/>
    <x v="128"/>
    <x v="3"/>
    <x v="0"/>
    <x v="1"/>
    <x v="25"/>
    <x v="303"/>
  </r>
  <r>
    <x v="0"/>
    <n v="186"/>
    <x v="128"/>
    <x v="3"/>
    <s v="CM"/>
    <s v="N"/>
    <x v="80"/>
    <x v="3"/>
    <x v="151"/>
    <m/>
    <x v="116"/>
    <m/>
    <x v="1"/>
    <x v="0"/>
    <x v="34"/>
    <d v="2011-11-26T00:00:00"/>
    <x v="13"/>
    <x v="0"/>
    <m/>
    <s v="Stereo"/>
    <x v="0"/>
    <x v="0"/>
    <m/>
    <x v="0"/>
    <x v="6"/>
    <x v="129"/>
    <x v="1"/>
    <x v="0"/>
    <x v="0"/>
    <x v="34"/>
    <x v="304"/>
  </r>
  <r>
    <x v="0"/>
    <n v="187"/>
    <x v="129"/>
    <x v="4"/>
    <s v=""/>
    <s v=""/>
    <x v="113"/>
    <x v="2"/>
    <x v="26"/>
    <m/>
    <x v="24"/>
    <m/>
    <x v="3"/>
    <x v="0"/>
    <x v="24"/>
    <d v="2011-03-27T00:00:00"/>
    <x v="2"/>
    <x v="0"/>
    <m/>
    <s v="Retrospectiva &quot;20 Anos da ANIMANOSTRA&quot;"/>
    <x v="0"/>
    <x v="0"/>
    <m/>
    <x v="0"/>
    <x v="7"/>
    <x v="130"/>
    <x v="3"/>
    <x v="0"/>
    <x v="1"/>
    <x v="24"/>
    <x v="305"/>
  </r>
  <r>
    <x v="0"/>
    <n v="189"/>
    <x v="130"/>
    <x v="1"/>
    <s v="LM"/>
    <s v="S"/>
    <x v="114"/>
    <x v="5"/>
    <x v="159"/>
    <m/>
    <x v="122"/>
    <m/>
    <x v="0"/>
    <x v="0"/>
    <x v="125"/>
    <d v="2011-04-10T00:00:00"/>
    <x v="3"/>
    <x v="0"/>
    <m/>
    <s v="O Estado das Coisas"/>
    <x v="0"/>
    <x v="0"/>
    <m/>
    <x v="0"/>
    <x v="1"/>
    <x v="131"/>
    <x v="0"/>
    <x v="0"/>
    <x v="0"/>
    <x v="125"/>
    <x v="306"/>
  </r>
  <r>
    <x v="0"/>
    <n v="189"/>
    <x v="130"/>
    <x v="1"/>
    <s v="LM"/>
    <s v="S"/>
    <x v="114"/>
    <x v="5"/>
    <x v="160"/>
    <m/>
    <x v="123"/>
    <m/>
    <x v="9"/>
    <x v="0"/>
    <x v="126"/>
    <d v="2011-04-17T00:00:00"/>
    <x v="5"/>
    <x v="1"/>
    <s v="New Docs"/>
    <m/>
    <x v="0"/>
    <x v="0"/>
    <m/>
    <x v="0"/>
    <x v="1"/>
    <x v="131"/>
    <x v="9"/>
    <x v="0"/>
    <x v="0"/>
    <x v="126"/>
    <x v="307"/>
  </r>
  <r>
    <x v="0"/>
    <n v="189"/>
    <x v="130"/>
    <x v="1"/>
    <s v="LM"/>
    <s v="S"/>
    <x v="114"/>
    <x v="5"/>
    <x v="68"/>
    <m/>
    <x v="53"/>
    <m/>
    <x v="3"/>
    <x v="0"/>
    <x v="64"/>
    <d v="2011-07-17T00:00:00"/>
    <x v="8"/>
    <x v="0"/>
    <m/>
    <s v="Panorama Nacional"/>
    <x v="0"/>
    <x v="0"/>
    <m/>
    <x v="0"/>
    <x v="1"/>
    <x v="131"/>
    <x v="3"/>
    <x v="0"/>
    <x v="1"/>
    <x v="64"/>
    <x v="308"/>
  </r>
  <r>
    <x v="0"/>
    <n v="189"/>
    <x v="130"/>
    <x v="1"/>
    <s v="LM"/>
    <s v="S"/>
    <x v="114"/>
    <x v="5"/>
    <x v="10"/>
    <m/>
    <x v="10"/>
    <m/>
    <x v="0"/>
    <x v="0"/>
    <x v="10"/>
    <d v="2011-09-25T00:00:00"/>
    <x v="9"/>
    <x v="1"/>
    <s v="Andorinha Curta Documentário"/>
    <m/>
    <x v="34"/>
    <x v="0"/>
    <m/>
    <x v="1"/>
    <x v="1"/>
    <x v="131"/>
    <x v="0"/>
    <x v="36"/>
    <x v="0"/>
    <x v="10"/>
    <x v="309"/>
  </r>
  <r>
    <x v="0"/>
    <n v="189"/>
    <x v="130"/>
    <x v="1"/>
    <s v="LM"/>
    <s v="S"/>
    <x v="114"/>
    <x v="5"/>
    <x v="88"/>
    <m/>
    <x v="67"/>
    <m/>
    <x v="3"/>
    <x v="0"/>
    <x v="79"/>
    <d v="2011-10-15T00:00:00"/>
    <x v="14"/>
    <x v="1"/>
    <s v="Competição Internacional e Competição Lusófona"/>
    <m/>
    <x v="35"/>
    <x v="0"/>
    <m/>
    <x v="1"/>
    <x v="1"/>
    <x v="131"/>
    <x v="3"/>
    <x v="37"/>
    <x v="1"/>
    <x v="79"/>
    <x v="310"/>
  </r>
  <r>
    <x v="0"/>
    <n v="189"/>
    <x v="130"/>
    <x v="1"/>
    <s v="LM"/>
    <s v="S"/>
    <x v="114"/>
    <x v="5"/>
    <x v="161"/>
    <m/>
    <x v="35"/>
    <m/>
    <x v="2"/>
    <x v="0"/>
    <x v="127"/>
    <d v="2011-10-29T00:00:00"/>
    <x v="14"/>
    <x v="1"/>
    <s v="Compétiton Documentaires"/>
    <m/>
    <x v="36"/>
    <x v="0"/>
    <m/>
    <x v="1"/>
    <x v="1"/>
    <x v="131"/>
    <x v="2"/>
    <x v="38"/>
    <x v="0"/>
    <x v="127"/>
    <x v="311"/>
  </r>
  <r>
    <x v="0"/>
    <n v="189"/>
    <x v="130"/>
    <x v="1"/>
    <s v="LM"/>
    <s v="S"/>
    <x v="114"/>
    <x v="5"/>
    <x v="89"/>
    <m/>
    <x v="68"/>
    <m/>
    <x v="1"/>
    <x v="0"/>
    <x v="80"/>
    <d v="2011-10-28T00:00:00"/>
    <x v="14"/>
    <x v="0"/>
    <m/>
    <m/>
    <x v="0"/>
    <x v="1"/>
    <m/>
    <x v="0"/>
    <x v="1"/>
    <x v="131"/>
    <x v="1"/>
    <x v="0"/>
    <x v="0"/>
    <x v="80"/>
    <x v="312"/>
  </r>
  <r>
    <x v="0"/>
    <n v="189"/>
    <x v="130"/>
    <x v="1"/>
    <s v="LM"/>
    <s v="S"/>
    <x v="114"/>
    <x v="5"/>
    <x v="162"/>
    <m/>
    <x v="124"/>
    <m/>
    <x v="3"/>
    <x v="0"/>
    <x v="36"/>
    <m/>
    <x v="13"/>
    <x v="0"/>
    <m/>
    <m/>
    <x v="0"/>
    <x v="1"/>
    <m/>
    <x v="0"/>
    <x v="1"/>
    <x v="131"/>
    <x v="3"/>
    <x v="0"/>
    <x v="1"/>
    <x v="36"/>
    <x v="313"/>
  </r>
  <r>
    <x v="0"/>
    <n v="190"/>
    <x v="131"/>
    <x v="0"/>
    <s v="LM"/>
    <s v="N"/>
    <x v="20"/>
    <x v="17"/>
    <x v="163"/>
    <m/>
    <x v="8"/>
    <m/>
    <x v="3"/>
    <x v="0"/>
    <x v="44"/>
    <m/>
    <x v="7"/>
    <x v="0"/>
    <m/>
    <s v="Escolha de Manuel António Pina"/>
    <x v="0"/>
    <x v="1"/>
    <m/>
    <x v="0"/>
    <x v="5"/>
    <x v="132"/>
    <x v="3"/>
    <x v="0"/>
    <x v="1"/>
    <x v="44"/>
    <x v="314"/>
  </r>
  <r>
    <x v="0"/>
    <n v="190"/>
    <x v="131"/>
    <x v="0"/>
    <s v="LM"/>
    <s v="N"/>
    <x v="20"/>
    <x v="17"/>
    <x v="164"/>
    <m/>
    <x v="125"/>
    <m/>
    <x v="3"/>
    <x v="0"/>
    <x v="128"/>
    <m/>
    <x v="16"/>
    <x v="0"/>
    <m/>
    <m/>
    <x v="0"/>
    <x v="1"/>
    <m/>
    <x v="0"/>
    <x v="5"/>
    <x v="132"/>
    <x v="3"/>
    <x v="0"/>
    <x v="1"/>
    <x v="128"/>
    <x v="315"/>
  </r>
  <r>
    <x v="0"/>
    <n v="190"/>
    <x v="131"/>
    <x v="0"/>
    <s v="LM"/>
    <s v="N"/>
    <x v="20"/>
    <x v="17"/>
    <x v="51"/>
    <m/>
    <x v="43"/>
    <m/>
    <x v="3"/>
    <x v="0"/>
    <x v="45"/>
    <d v="2011-09-11T00:00:00"/>
    <x v="9"/>
    <x v="0"/>
    <m/>
    <m/>
    <x v="0"/>
    <x v="0"/>
    <m/>
    <x v="0"/>
    <x v="5"/>
    <x v="132"/>
    <x v="3"/>
    <x v="0"/>
    <x v="1"/>
    <x v="45"/>
    <x v="316"/>
  </r>
  <r>
    <x v="0"/>
    <n v="191"/>
    <x v="132"/>
    <x v="4"/>
    <s v=""/>
    <s v=""/>
    <x v="115"/>
    <x v="2"/>
    <x v="23"/>
    <m/>
    <x v="23"/>
    <m/>
    <x v="3"/>
    <x v="0"/>
    <x v="21"/>
    <d v="2011-09-23T00:00:00"/>
    <x v="9"/>
    <x v="0"/>
    <m/>
    <m/>
    <x v="0"/>
    <x v="1"/>
    <m/>
    <x v="0"/>
    <x v="7"/>
    <x v="133"/>
    <x v="3"/>
    <x v="0"/>
    <x v="1"/>
    <x v="21"/>
    <x v="317"/>
  </r>
  <r>
    <x v="0"/>
    <n v="193"/>
    <x v="133"/>
    <x v="4"/>
    <s v=""/>
    <s v=""/>
    <x v="116"/>
    <x v="2"/>
    <x v="60"/>
    <m/>
    <x v="49"/>
    <m/>
    <x v="3"/>
    <x v="0"/>
    <x v="56"/>
    <m/>
    <x v="5"/>
    <x v="0"/>
    <m/>
    <m/>
    <x v="0"/>
    <x v="1"/>
    <m/>
    <x v="0"/>
    <x v="7"/>
    <x v="134"/>
    <x v="3"/>
    <x v="0"/>
    <x v="1"/>
    <x v="56"/>
    <x v="318"/>
  </r>
  <r>
    <x v="0"/>
    <n v="193"/>
    <x v="133"/>
    <x v="4"/>
    <s v=""/>
    <s v=""/>
    <x v="116"/>
    <x v="2"/>
    <x v="165"/>
    <m/>
    <x v="65"/>
    <m/>
    <x v="9"/>
    <x v="0"/>
    <x v="111"/>
    <m/>
    <x v="16"/>
    <x v="0"/>
    <m/>
    <m/>
    <x v="0"/>
    <x v="1"/>
    <m/>
    <x v="0"/>
    <x v="7"/>
    <x v="134"/>
    <x v="9"/>
    <x v="0"/>
    <x v="0"/>
    <x v="111"/>
    <x v="319"/>
  </r>
  <r>
    <x v="0"/>
    <n v="193"/>
    <x v="133"/>
    <x v="4"/>
    <s v=""/>
    <s v=""/>
    <x v="116"/>
    <x v="2"/>
    <x v="76"/>
    <m/>
    <x v="58"/>
    <m/>
    <x v="17"/>
    <x v="0"/>
    <x v="67"/>
    <d v="2011-11-30T00:00:00"/>
    <x v="13"/>
    <x v="0"/>
    <m/>
    <m/>
    <x v="0"/>
    <x v="0"/>
    <m/>
    <x v="0"/>
    <x v="7"/>
    <x v="134"/>
    <x v="17"/>
    <x v="0"/>
    <x v="0"/>
    <x v="67"/>
    <x v="320"/>
  </r>
  <r>
    <x v="0"/>
    <n v="195"/>
    <x v="134"/>
    <x v="4"/>
    <s v=""/>
    <s v=""/>
    <x v="117"/>
    <x v="2"/>
    <x v="46"/>
    <m/>
    <x v="24"/>
    <m/>
    <x v="3"/>
    <x v="0"/>
    <x v="41"/>
    <d v="2011-11-18T00:00:00"/>
    <x v="13"/>
    <x v="1"/>
    <s v="Prémio de Cinema para Filmes sobre Arte"/>
    <m/>
    <x v="0"/>
    <x v="0"/>
    <m/>
    <x v="0"/>
    <x v="7"/>
    <x v="135"/>
    <x v="3"/>
    <x v="0"/>
    <x v="1"/>
    <x v="41"/>
    <x v="321"/>
  </r>
  <r>
    <x v="0"/>
    <n v="197"/>
    <x v="135"/>
    <x v="4"/>
    <s v=""/>
    <s v=""/>
    <x v="35"/>
    <x v="2"/>
    <x v="81"/>
    <m/>
    <x v="61"/>
    <m/>
    <x v="2"/>
    <x v="0"/>
    <x v="71"/>
    <d v="2011-02-12T00:00:00"/>
    <x v="1"/>
    <x v="0"/>
    <m/>
    <s v="Décibels 1"/>
    <x v="0"/>
    <x v="0"/>
    <m/>
    <x v="0"/>
    <x v="7"/>
    <x v="136"/>
    <x v="2"/>
    <x v="0"/>
    <x v="0"/>
    <x v="71"/>
    <x v="322"/>
  </r>
  <r>
    <x v="0"/>
    <n v="198"/>
    <x v="136"/>
    <x v="4"/>
    <s v=""/>
    <s v=""/>
    <x v="118"/>
    <x v="2"/>
    <x v="166"/>
    <m/>
    <x v="126"/>
    <m/>
    <x v="37"/>
    <x v="0"/>
    <x v="51"/>
    <d v="2011-06-29T00:00:00"/>
    <x v="7"/>
    <x v="0"/>
    <m/>
    <m/>
    <x v="0"/>
    <x v="0"/>
    <m/>
    <x v="0"/>
    <x v="7"/>
    <x v="137"/>
    <x v="37"/>
    <x v="0"/>
    <x v="0"/>
    <x v="51"/>
    <x v="323"/>
  </r>
  <r>
    <x v="0"/>
    <n v="199"/>
    <x v="137"/>
    <x v="0"/>
    <s v="LM"/>
    <s v="S"/>
    <x v="0"/>
    <x v="4"/>
    <x v="167"/>
    <m/>
    <x v="127"/>
    <m/>
    <x v="38"/>
    <x v="0"/>
    <x v="3"/>
    <d v="2011-04-07T00:00:00"/>
    <x v="3"/>
    <x v="0"/>
    <m/>
    <m/>
    <x v="0"/>
    <x v="0"/>
    <m/>
    <x v="0"/>
    <x v="5"/>
    <x v="138"/>
    <x v="38"/>
    <x v="0"/>
    <x v="0"/>
    <x v="3"/>
    <x v="324"/>
  </r>
  <r>
    <x v="0"/>
    <n v="199"/>
    <x v="137"/>
    <x v="0"/>
    <s v="LM"/>
    <s v="S"/>
    <x v="0"/>
    <x v="4"/>
    <x v="85"/>
    <m/>
    <x v="64"/>
    <m/>
    <x v="18"/>
    <x v="0"/>
    <x v="77"/>
    <d v="2011-10-14T00:00:00"/>
    <x v="14"/>
    <x v="0"/>
    <m/>
    <s v="Extreme Portuguese Cinema: Six Auteurs in Focus"/>
    <x v="0"/>
    <x v="0"/>
    <m/>
    <x v="0"/>
    <x v="5"/>
    <x v="138"/>
    <x v="18"/>
    <x v="0"/>
    <x v="0"/>
    <x v="77"/>
    <x v="325"/>
  </r>
  <r>
    <x v="0"/>
    <n v="199"/>
    <x v="137"/>
    <x v="0"/>
    <s v="LM"/>
    <s v="S"/>
    <x v="0"/>
    <x v="4"/>
    <x v="118"/>
    <m/>
    <x v="24"/>
    <m/>
    <x v="3"/>
    <x v="0"/>
    <x v="99"/>
    <d v="2011-12-03T00:00:00"/>
    <x v="11"/>
    <x v="0"/>
    <m/>
    <m/>
    <x v="0"/>
    <x v="1"/>
    <m/>
    <x v="0"/>
    <x v="5"/>
    <x v="138"/>
    <x v="3"/>
    <x v="0"/>
    <x v="1"/>
    <x v="99"/>
    <x v="326"/>
  </r>
  <r>
    <x v="0"/>
    <n v="199"/>
    <x v="137"/>
    <x v="0"/>
    <s v="LM"/>
    <s v="S"/>
    <x v="0"/>
    <x v="4"/>
    <x v="151"/>
    <m/>
    <x v="116"/>
    <m/>
    <x v="1"/>
    <x v="0"/>
    <x v="34"/>
    <d v="2011-11-26T00:00:00"/>
    <x v="13"/>
    <x v="0"/>
    <m/>
    <s v="Géneros Mutantes"/>
    <x v="0"/>
    <x v="0"/>
    <m/>
    <x v="0"/>
    <x v="5"/>
    <x v="138"/>
    <x v="1"/>
    <x v="0"/>
    <x v="0"/>
    <x v="34"/>
    <x v="327"/>
  </r>
  <r>
    <x v="0"/>
    <n v="199"/>
    <x v="137"/>
    <x v="0"/>
    <s v="LM"/>
    <s v="S"/>
    <x v="0"/>
    <x v="4"/>
    <x v="168"/>
    <m/>
    <x v="128"/>
    <m/>
    <x v="1"/>
    <x v="0"/>
    <x v="92"/>
    <d v="2011-11-25T00:00:00"/>
    <x v="13"/>
    <x v="0"/>
    <m/>
    <m/>
    <x v="0"/>
    <x v="1"/>
    <m/>
    <x v="0"/>
    <x v="5"/>
    <x v="138"/>
    <x v="1"/>
    <x v="0"/>
    <x v="0"/>
    <x v="92"/>
    <x v="328"/>
  </r>
  <r>
    <x v="0"/>
    <n v="199"/>
    <x v="137"/>
    <x v="0"/>
    <s v="LM"/>
    <s v="S"/>
    <x v="0"/>
    <x v="4"/>
    <x v="86"/>
    <m/>
    <x v="65"/>
    <m/>
    <x v="9"/>
    <x v="0"/>
    <x v="15"/>
    <d v="2011-12-06T00:00:00"/>
    <x v="12"/>
    <x v="0"/>
    <m/>
    <m/>
    <x v="0"/>
    <x v="1"/>
    <m/>
    <x v="0"/>
    <x v="5"/>
    <x v="138"/>
    <x v="9"/>
    <x v="0"/>
    <x v="0"/>
    <x v="15"/>
    <x v="329"/>
  </r>
  <r>
    <x v="0"/>
    <n v="202"/>
    <x v="138"/>
    <x v="4"/>
    <s v=""/>
    <s v=""/>
    <x v="29"/>
    <x v="2"/>
    <x v="12"/>
    <m/>
    <x v="12"/>
    <m/>
    <x v="2"/>
    <x v="0"/>
    <x v="11"/>
    <d v="2011-09-27T00:00:00"/>
    <x v="9"/>
    <x v="0"/>
    <m/>
    <s v="Désir d'Eternité"/>
    <x v="0"/>
    <x v="1"/>
    <m/>
    <x v="0"/>
    <x v="7"/>
    <x v="139"/>
    <x v="2"/>
    <x v="0"/>
    <x v="0"/>
    <x v="11"/>
    <x v="330"/>
  </r>
  <r>
    <x v="0"/>
    <n v="204"/>
    <x v="139"/>
    <x v="4"/>
    <s v=""/>
    <s v=""/>
    <x v="119"/>
    <x v="2"/>
    <x v="112"/>
    <m/>
    <x v="23"/>
    <m/>
    <x v="3"/>
    <x v="0"/>
    <x v="97"/>
    <d v="2011-05-14T00:00:00"/>
    <x v="6"/>
    <x v="1"/>
    <s v="Competição Vídeo 2"/>
    <m/>
    <x v="0"/>
    <x v="0"/>
    <m/>
    <x v="0"/>
    <x v="7"/>
    <x v="140"/>
    <x v="3"/>
    <x v="0"/>
    <x v="1"/>
    <x v="97"/>
    <x v="331"/>
  </r>
  <r>
    <x v="0"/>
    <n v="205"/>
    <x v="140"/>
    <x v="0"/>
    <s v="CM"/>
    <s v="S"/>
    <x v="120"/>
    <x v="1"/>
    <x v="30"/>
    <m/>
    <x v="28"/>
    <m/>
    <x v="8"/>
    <x v="0"/>
    <x v="28"/>
    <d v="2011-03-20T00:00:00"/>
    <x v="2"/>
    <x v="0"/>
    <m/>
    <s v="A Portuguesa 1 - Journeys"/>
    <x v="0"/>
    <x v="0"/>
    <m/>
    <x v="0"/>
    <x v="0"/>
    <x v="141"/>
    <x v="8"/>
    <x v="0"/>
    <x v="0"/>
    <x v="28"/>
    <x v="332"/>
  </r>
  <r>
    <x v="0"/>
    <n v="205"/>
    <x v="140"/>
    <x v="0"/>
    <s v="CM"/>
    <s v="S"/>
    <x v="120"/>
    <x v="1"/>
    <x v="169"/>
    <m/>
    <x v="129"/>
    <m/>
    <x v="1"/>
    <x v="0"/>
    <x v="97"/>
    <d v="2011-05-14T00:00:00"/>
    <x v="6"/>
    <x v="1"/>
    <s v="Certamen de cortometrajes"/>
    <m/>
    <x v="0"/>
    <x v="0"/>
    <m/>
    <x v="0"/>
    <x v="0"/>
    <x v="141"/>
    <x v="1"/>
    <x v="0"/>
    <x v="0"/>
    <x v="97"/>
    <x v="333"/>
  </r>
  <r>
    <x v="0"/>
    <n v="205"/>
    <x v="140"/>
    <x v="0"/>
    <s v="CM"/>
    <s v="S"/>
    <x v="120"/>
    <x v="1"/>
    <x v="135"/>
    <m/>
    <x v="102"/>
    <m/>
    <x v="30"/>
    <x v="0"/>
    <x v="104"/>
    <d v="2011-06-01T00:00:00"/>
    <x v="22"/>
    <x v="0"/>
    <m/>
    <m/>
    <x v="0"/>
    <x v="1"/>
    <m/>
    <x v="0"/>
    <x v="0"/>
    <x v="141"/>
    <x v="30"/>
    <x v="0"/>
    <x v="0"/>
    <x v="104"/>
    <x v="334"/>
  </r>
  <r>
    <x v="0"/>
    <n v="205"/>
    <x v="140"/>
    <x v="0"/>
    <s v="CM"/>
    <s v="S"/>
    <x v="120"/>
    <x v="1"/>
    <x v="110"/>
    <m/>
    <x v="85"/>
    <m/>
    <x v="23"/>
    <x v="0"/>
    <x v="95"/>
    <m/>
    <x v="7"/>
    <x v="0"/>
    <m/>
    <m/>
    <x v="0"/>
    <x v="1"/>
    <m/>
    <x v="0"/>
    <x v="0"/>
    <x v="141"/>
    <x v="23"/>
    <x v="0"/>
    <x v="0"/>
    <x v="95"/>
    <x v="335"/>
  </r>
  <r>
    <x v="0"/>
    <n v="205"/>
    <x v="140"/>
    <x v="0"/>
    <s v="CM"/>
    <s v="S"/>
    <x v="120"/>
    <x v="1"/>
    <x v="0"/>
    <m/>
    <x v="0"/>
    <m/>
    <x v="0"/>
    <x v="0"/>
    <x v="0"/>
    <d v="2011-11-06T00:00:00"/>
    <x v="0"/>
    <x v="0"/>
    <m/>
    <s v="Foco Portugal: Programa IndieLisboa"/>
    <x v="0"/>
    <x v="0"/>
    <m/>
    <x v="0"/>
    <x v="0"/>
    <x v="141"/>
    <x v="0"/>
    <x v="0"/>
    <x v="0"/>
    <x v="0"/>
    <x v="336"/>
  </r>
  <r>
    <x v="0"/>
    <n v="207"/>
    <x v="141"/>
    <x v="1"/>
    <s v="CM"/>
    <s v="N"/>
    <x v="121"/>
    <x v="2"/>
    <x v="41"/>
    <m/>
    <x v="38"/>
    <m/>
    <x v="3"/>
    <x v="0"/>
    <x v="37"/>
    <m/>
    <x v="16"/>
    <x v="1"/>
    <m/>
    <m/>
    <x v="37"/>
    <x v="0"/>
    <m/>
    <x v="1"/>
    <x v="2"/>
    <x v="142"/>
    <x v="3"/>
    <x v="39"/>
    <x v="1"/>
    <x v="37"/>
    <x v="337"/>
  </r>
  <r>
    <x v="0"/>
    <n v="206"/>
    <x v="141"/>
    <x v="1"/>
    <s v="CM"/>
    <s v="N"/>
    <x v="122"/>
    <x v="2"/>
    <x v="70"/>
    <m/>
    <x v="38"/>
    <m/>
    <x v="3"/>
    <x v="0"/>
    <x v="19"/>
    <d v="2011-09-11T00:00:00"/>
    <x v="9"/>
    <x v="1"/>
    <s v="1ª Sessão Competitiva"/>
    <m/>
    <x v="38"/>
    <x v="0"/>
    <m/>
    <x v="1"/>
    <x v="2"/>
    <x v="143"/>
    <x v="3"/>
    <x v="40"/>
    <x v="1"/>
    <x v="19"/>
    <x v="338"/>
  </r>
  <r>
    <x v="0"/>
    <n v="208"/>
    <x v="142"/>
    <x v="0"/>
    <s v="CM"/>
    <s v="N"/>
    <x v="123"/>
    <x v="2"/>
    <x v="41"/>
    <m/>
    <x v="38"/>
    <m/>
    <x v="3"/>
    <x v="0"/>
    <x v="37"/>
    <m/>
    <x v="16"/>
    <x v="1"/>
    <m/>
    <m/>
    <x v="39"/>
    <x v="0"/>
    <m/>
    <x v="1"/>
    <x v="0"/>
    <x v="144"/>
    <x v="3"/>
    <x v="41"/>
    <x v="1"/>
    <x v="37"/>
    <x v="339"/>
  </r>
  <r>
    <x v="0"/>
    <n v="209"/>
    <x v="143"/>
    <x v="0"/>
    <s v="CM"/>
    <s v="S"/>
    <x v="80"/>
    <x v="18"/>
    <x v="90"/>
    <m/>
    <x v="69"/>
    <m/>
    <x v="8"/>
    <x v="0"/>
    <x v="81"/>
    <d v="2011-02-06T00:00:00"/>
    <x v="18"/>
    <x v="0"/>
    <m/>
    <s v="Spectrum Shorts - Short Profile: Sandro Aguilar"/>
    <x v="0"/>
    <x v="0"/>
    <m/>
    <x v="0"/>
    <x v="0"/>
    <x v="145"/>
    <x v="8"/>
    <x v="0"/>
    <x v="0"/>
    <x v="81"/>
    <x v="340"/>
  </r>
  <r>
    <x v="0"/>
    <n v="209"/>
    <x v="143"/>
    <x v="0"/>
    <s v="CM"/>
    <s v="S"/>
    <x v="80"/>
    <x v="18"/>
    <x v="86"/>
    <m/>
    <x v="65"/>
    <m/>
    <x v="9"/>
    <x v="0"/>
    <x v="15"/>
    <d v="2011-12-06T00:00:00"/>
    <x v="12"/>
    <x v="0"/>
    <m/>
    <s v="Sandro Aguilar Shorts"/>
    <x v="0"/>
    <x v="1"/>
    <m/>
    <x v="0"/>
    <x v="0"/>
    <x v="145"/>
    <x v="9"/>
    <x v="0"/>
    <x v="0"/>
    <x v="15"/>
    <x v="341"/>
  </r>
  <r>
    <x v="0"/>
    <n v="210"/>
    <x v="144"/>
    <x v="1"/>
    <s v="CM"/>
    <s v="N"/>
    <x v="124"/>
    <x v="2"/>
    <x v="34"/>
    <m/>
    <x v="32"/>
    <m/>
    <x v="3"/>
    <x v="0"/>
    <x v="31"/>
    <d v="2011-05-15T00:00:00"/>
    <x v="6"/>
    <x v="1"/>
    <m/>
    <m/>
    <x v="40"/>
    <x v="0"/>
    <m/>
    <x v="1"/>
    <x v="2"/>
    <x v="146"/>
    <x v="3"/>
    <x v="42"/>
    <x v="1"/>
    <x v="31"/>
    <x v="342"/>
  </r>
  <r>
    <x v="0"/>
    <n v="210"/>
    <x v="144"/>
    <x v="1"/>
    <s v="CM"/>
    <s v="N"/>
    <x v="124"/>
    <x v="2"/>
    <x v="66"/>
    <m/>
    <x v="52"/>
    <m/>
    <x v="3"/>
    <x v="0"/>
    <x v="62"/>
    <d v="2011-06-12T00:00:00"/>
    <x v="7"/>
    <x v="0"/>
    <m/>
    <s v="Curtas Sadinas Premiadas 2011 - Documentário"/>
    <x v="0"/>
    <x v="0"/>
    <m/>
    <x v="0"/>
    <x v="2"/>
    <x v="146"/>
    <x v="3"/>
    <x v="0"/>
    <x v="1"/>
    <x v="62"/>
    <x v="343"/>
  </r>
  <r>
    <x v="0"/>
    <n v="212"/>
    <x v="145"/>
    <x v="0"/>
    <s v="LM"/>
    <s v="S"/>
    <x v="70"/>
    <x v="2"/>
    <x v="145"/>
    <m/>
    <x v="111"/>
    <m/>
    <x v="33"/>
    <x v="0"/>
    <x v="117"/>
    <d v="2011-07-26T00:00:00"/>
    <x v="8"/>
    <x v="0"/>
    <m/>
    <m/>
    <x v="0"/>
    <x v="1"/>
    <m/>
    <x v="0"/>
    <x v="5"/>
    <x v="147"/>
    <x v="33"/>
    <x v="0"/>
    <x v="0"/>
    <x v="117"/>
    <x v="344"/>
  </r>
  <r>
    <x v="0"/>
    <n v="213"/>
    <x v="146"/>
    <x v="4"/>
    <s v=""/>
    <s v=""/>
    <x v="125"/>
    <x v="2"/>
    <x v="22"/>
    <m/>
    <x v="22"/>
    <m/>
    <x v="3"/>
    <x v="0"/>
    <x v="20"/>
    <d v="2011-11-17T00:00:00"/>
    <x v="13"/>
    <x v="1"/>
    <s v="Sessão Competitiva 3"/>
    <m/>
    <x v="0"/>
    <x v="0"/>
    <m/>
    <x v="0"/>
    <x v="7"/>
    <x v="148"/>
    <x v="3"/>
    <x v="0"/>
    <x v="1"/>
    <x v="20"/>
    <x v="345"/>
  </r>
  <r>
    <x v="0"/>
    <n v="214"/>
    <x v="147"/>
    <x v="1"/>
    <s v="CM"/>
    <s v="N"/>
    <x v="126"/>
    <x v="5"/>
    <x v="66"/>
    <m/>
    <x v="52"/>
    <m/>
    <x v="3"/>
    <x v="0"/>
    <x v="62"/>
    <d v="2011-06-12T00:00:00"/>
    <x v="7"/>
    <x v="0"/>
    <m/>
    <s v="Cinema Português"/>
    <x v="0"/>
    <x v="0"/>
    <m/>
    <x v="0"/>
    <x v="2"/>
    <x v="149"/>
    <x v="3"/>
    <x v="0"/>
    <x v="1"/>
    <x v="62"/>
    <x v="346"/>
  </r>
  <r>
    <x v="0"/>
    <n v="214"/>
    <x v="147"/>
    <x v="1"/>
    <s v="CM"/>
    <s v="N"/>
    <x v="126"/>
    <x v="5"/>
    <x v="22"/>
    <m/>
    <x v="22"/>
    <m/>
    <x v="3"/>
    <x v="0"/>
    <x v="20"/>
    <d v="2011-11-17T00:00:00"/>
    <x v="13"/>
    <x v="1"/>
    <s v="Sessão Competitiva 11"/>
    <m/>
    <x v="0"/>
    <x v="0"/>
    <m/>
    <x v="0"/>
    <x v="2"/>
    <x v="149"/>
    <x v="3"/>
    <x v="0"/>
    <x v="1"/>
    <x v="20"/>
    <x v="347"/>
  </r>
  <r>
    <x v="0"/>
    <n v="215"/>
    <x v="148"/>
    <x v="1"/>
    <s v="CM"/>
    <s v="S"/>
    <x v="127"/>
    <x v="2"/>
    <x v="68"/>
    <m/>
    <x v="53"/>
    <m/>
    <x v="3"/>
    <x v="0"/>
    <x v="64"/>
    <d v="2011-07-17T00:00:00"/>
    <x v="8"/>
    <x v="1"/>
    <s v="Take One!"/>
    <m/>
    <x v="41"/>
    <x v="0"/>
    <m/>
    <x v="1"/>
    <x v="2"/>
    <x v="150"/>
    <x v="3"/>
    <x v="43"/>
    <x v="1"/>
    <x v="64"/>
    <x v="348"/>
  </r>
  <r>
    <x v="0"/>
    <n v="215"/>
    <x v="148"/>
    <x v="1"/>
    <s v="CM"/>
    <s v="S"/>
    <x v="127"/>
    <x v="2"/>
    <x v="170"/>
    <m/>
    <x v="23"/>
    <m/>
    <x v="3"/>
    <x v="0"/>
    <x v="129"/>
    <m/>
    <x v="16"/>
    <x v="0"/>
    <m/>
    <m/>
    <x v="0"/>
    <x v="1"/>
    <m/>
    <x v="0"/>
    <x v="2"/>
    <x v="150"/>
    <x v="3"/>
    <x v="0"/>
    <x v="1"/>
    <x v="129"/>
    <x v="349"/>
  </r>
  <r>
    <x v="0"/>
    <n v="215"/>
    <x v="148"/>
    <x v="1"/>
    <s v="CM"/>
    <s v="S"/>
    <x v="127"/>
    <x v="2"/>
    <x v="22"/>
    <m/>
    <x v="22"/>
    <m/>
    <x v="3"/>
    <x v="0"/>
    <x v="20"/>
    <d v="2011-11-17T00:00:00"/>
    <x v="13"/>
    <x v="1"/>
    <s v="Ensaios Visuais 1"/>
    <m/>
    <x v="0"/>
    <x v="0"/>
    <m/>
    <x v="0"/>
    <x v="2"/>
    <x v="150"/>
    <x v="3"/>
    <x v="0"/>
    <x v="1"/>
    <x v="20"/>
    <x v="350"/>
  </r>
  <r>
    <x v="0"/>
    <n v="216"/>
    <x v="149"/>
    <x v="4"/>
    <s v=""/>
    <s v=""/>
    <x v="128"/>
    <x v="2"/>
    <x v="0"/>
    <m/>
    <x v="0"/>
    <m/>
    <x v="0"/>
    <x v="0"/>
    <x v="0"/>
    <d v="2011-11-06T00:00:00"/>
    <x v="0"/>
    <x v="0"/>
    <m/>
    <s v="Panorama Internacional"/>
    <x v="0"/>
    <x v="0"/>
    <m/>
    <x v="0"/>
    <x v="7"/>
    <x v="151"/>
    <x v="0"/>
    <x v="0"/>
    <x v="0"/>
    <x v="0"/>
    <x v="351"/>
  </r>
  <r>
    <x v="0"/>
    <n v="216"/>
    <x v="149"/>
    <x v="4"/>
    <s v=""/>
    <s v=""/>
    <x v="128"/>
    <x v="2"/>
    <x v="22"/>
    <m/>
    <x v="22"/>
    <m/>
    <x v="3"/>
    <x v="0"/>
    <x v="20"/>
    <d v="2011-11-17T00:00:00"/>
    <x v="13"/>
    <x v="1"/>
    <s v="Sessão Competitiva 13"/>
    <m/>
    <x v="0"/>
    <x v="0"/>
    <m/>
    <x v="0"/>
    <x v="7"/>
    <x v="151"/>
    <x v="3"/>
    <x v="0"/>
    <x v="1"/>
    <x v="20"/>
    <x v="352"/>
  </r>
  <r>
    <x v="0"/>
    <n v="216"/>
    <x v="149"/>
    <x v="4"/>
    <s v=""/>
    <s v=""/>
    <x v="128"/>
    <x v="2"/>
    <x v="133"/>
    <m/>
    <x v="101"/>
    <m/>
    <x v="3"/>
    <x v="0"/>
    <x v="108"/>
    <d v="2011-12-11T00:00:00"/>
    <x v="12"/>
    <x v="1"/>
    <s v="Sessão Competitiva de Curtas Metragens 4"/>
    <m/>
    <x v="0"/>
    <x v="0"/>
    <m/>
    <x v="0"/>
    <x v="7"/>
    <x v="151"/>
    <x v="3"/>
    <x v="0"/>
    <x v="1"/>
    <x v="108"/>
    <x v="353"/>
  </r>
  <r>
    <x v="0"/>
    <n v="218"/>
    <x v="150"/>
    <x v="2"/>
    <s v="Série"/>
    <s v=""/>
    <x v="73"/>
    <x v="2"/>
    <x v="61"/>
    <m/>
    <x v="50"/>
    <m/>
    <x v="13"/>
    <x v="0"/>
    <x v="57"/>
    <d v="2011-02-25T00:00:00"/>
    <x v="1"/>
    <x v="0"/>
    <m/>
    <m/>
    <x v="0"/>
    <x v="1"/>
    <m/>
    <x v="0"/>
    <x v="9"/>
    <x v="152"/>
    <x v="13"/>
    <x v="0"/>
    <x v="0"/>
    <x v="57"/>
    <x v="354"/>
  </r>
  <r>
    <x v="0"/>
    <n v="223"/>
    <x v="151"/>
    <x v="4"/>
    <s v=""/>
    <s v=""/>
    <x v="129"/>
    <x v="2"/>
    <x v="102"/>
    <m/>
    <x v="24"/>
    <m/>
    <x v="3"/>
    <x v="0"/>
    <x v="90"/>
    <d v="2011-07-20T00:00:00"/>
    <x v="17"/>
    <x v="0"/>
    <m/>
    <m/>
    <x v="0"/>
    <x v="1"/>
    <m/>
    <x v="0"/>
    <x v="7"/>
    <x v="153"/>
    <x v="3"/>
    <x v="0"/>
    <x v="1"/>
    <x v="90"/>
    <x v="355"/>
  </r>
  <r>
    <x v="0"/>
    <n v="224"/>
    <x v="152"/>
    <x v="4"/>
    <s v=""/>
    <s v=""/>
    <x v="83"/>
    <x v="2"/>
    <x v="103"/>
    <m/>
    <x v="80"/>
    <m/>
    <x v="2"/>
    <x v="0"/>
    <x v="91"/>
    <d v="2012-12-10T00:00:00"/>
    <x v="12"/>
    <x v="0"/>
    <m/>
    <s v="Carnets de Voyage 1: Onda Curta RTP2"/>
    <x v="0"/>
    <x v="0"/>
    <m/>
    <x v="0"/>
    <x v="7"/>
    <x v="154"/>
    <x v="2"/>
    <x v="0"/>
    <x v="0"/>
    <x v="91"/>
    <x v="356"/>
  </r>
  <r>
    <x v="0"/>
    <n v="225"/>
    <x v="153"/>
    <x v="0"/>
    <s v="LM"/>
    <s v="S"/>
    <x v="130"/>
    <x v="1"/>
    <x v="171"/>
    <m/>
    <x v="82"/>
    <m/>
    <x v="21"/>
    <x v="0"/>
    <x v="130"/>
    <d v="2011-03-30T00:00:00"/>
    <x v="2"/>
    <x v="0"/>
    <m/>
    <m/>
    <x v="0"/>
    <x v="1"/>
    <m/>
    <x v="0"/>
    <x v="5"/>
    <x v="155"/>
    <x v="21"/>
    <x v="0"/>
    <x v="0"/>
    <x v="130"/>
    <x v="357"/>
  </r>
  <r>
    <x v="0"/>
    <n v="225"/>
    <x v="153"/>
    <x v="0"/>
    <s v="LM"/>
    <s v="S"/>
    <x v="130"/>
    <x v="1"/>
    <x v="8"/>
    <m/>
    <x v="8"/>
    <m/>
    <x v="3"/>
    <x v="0"/>
    <x v="131"/>
    <m/>
    <x v="5"/>
    <x v="0"/>
    <m/>
    <m/>
    <x v="0"/>
    <x v="1"/>
    <m/>
    <x v="0"/>
    <x v="5"/>
    <x v="155"/>
    <x v="3"/>
    <x v="0"/>
    <x v="1"/>
    <x v="131"/>
    <x v="358"/>
  </r>
  <r>
    <x v="0"/>
    <n v="225"/>
    <x v="153"/>
    <x v="0"/>
    <s v="LM"/>
    <s v="S"/>
    <x v="130"/>
    <x v="1"/>
    <x v="66"/>
    <m/>
    <x v="52"/>
    <m/>
    <x v="3"/>
    <x v="0"/>
    <x v="62"/>
    <d v="2011-06-12T00:00:00"/>
    <x v="7"/>
    <x v="0"/>
    <m/>
    <s v="Cinema Português"/>
    <x v="0"/>
    <x v="0"/>
    <m/>
    <x v="0"/>
    <x v="5"/>
    <x v="155"/>
    <x v="3"/>
    <x v="0"/>
    <x v="1"/>
    <x v="62"/>
    <x v="359"/>
  </r>
  <r>
    <x v="0"/>
    <n v="225"/>
    <x v="153"/>
    <x v="0"/>
    <s v="LM"/>
    <s v="S"/>
    <x v="130"/>
    <x v="1"/>
    <x v="13"/>
    <m/>
    <x v="13"/>
    <m/>
    <x v="3"/>
    <x v="0"/>
    <x v="132"/>
    <m/>
    <x v="7"/>
    <x v="0"/>
    <m/>
    <m/>
    <x v="0"/>
    <x v="1"/>
    <m/>
    <x v="0"/>
    <x v="5"/>
    <x v="155"/>
    <x v="3"/>
    <x v="0"/>
    <x v="1"/>
    <x v="132"/>
    <x v="360"/>
  </r>
  <r>
    <x v="0"/>
    <n v="225"/>
    <x v="153"/>
    <x v="0"/>
    <s v="LM"/>
    <s v="S"/>
    <x v="130"/>
    <x v="1"/>
    <x v="172"/>
    <m/>
    <x v="130"/>
    <m/>
    <x v="39"/>
    <x v="0"/>
    <x v="105"/>
    <d v="2011-07-18T00:00:00"/>
    <x v="8"/>
    <x v="0"/>
    <m/>
    <m/>
    <x v="0"/>
    <x v="0"/>
    <m/>
    <x v="0"/>
    <x v="5"/>
    <x v="155"/>
    <x v="39"/>
    <x v="0"/>
    <x v="0"/>
    <x v="105"/>
    <x v="361"/>
  </r>
  <r>
    <x v="0"/>
    <n v="225"/>
    <x v="153"/>
    <x v="0"/>
    <s v="LM"/>
    <s v="S"/>
    <x v="130"/>
    <x v="1"/>
    <x v="173"/>
    <m/>
    <x v="131"/>
    <m/>
    <x v="40"/>
    <x v="0"/>
    <x v="133"/>
    <d v="2011-09-20T00:00:00"/>
    <x v="9"/>
    <x v="0"/>
    <m/>
    <m/>
    <x v="0"/>
    <x v="1"/>
    <m/>
    <x v="0"/>
    <x v="5"/>
    <x v="155"/>
    <x v="40"/>
    <x v="0"/>
    <x v="0"/>
    <x v="133"/>
    <x v="362"/>
  </r>
  <r>
    <x v="0"/>
    <n v="227"/>
    <x v="154"/>
    <x v="3"/>
    <s v="CM"/>
    <s v="N"/>
    <x v="131"/>
    <x v="3"/>
    <x v="80"/>
    <m/>
    <x v="60"/>
    <m/>
    <x v="3"/>
    <x v="0"/>
    <x v="70"/>
    <d v="2011-11-13T00:00:00"/>
    <x v="13"/>
    <x v="0"/>
    <m/>
    <s v="Encontros das Escolas Europeias de Cinema"/>
    <x v="0"/>
    <x v="0"/>
    <m/>
    <x v="0"/>
    <x v="6"/>
    <x v="156"/>
    <x v="3"/>
    <x v="0"/>
    <x v="1"/>
    <x v="70"/>
    <x v="363"/>
  </r>
  <r>
    <x v="0"/>
    <n v="227"/>
    <x v="154"/>
    <x v="3"/>
    <s v="CM"/>
    <s v="N"/>
    <x v="131"/>
    <x v="3"/>
    <x v="22"/>
    <m/>
    <x v="22"/>
    <m/>
    <x v="3"/>
    <x v="0"/>
    <x v="20"/>
    <d v="2011-11-17T00:00:00"/>
    <x v="13"/>
    <x v="1"/>
    <s v="Ensaios Visuais 5"/>
    <m/>
    <x v="0"/>
    <x v="0"/>
    <m/>
    <x v="0"/>
    <x v="6"/>
    <x v="156"/>
    <x v="3"/>
    <x v="0"/>
    <x v="1"/>
    <x v="20"/>
    <x v="364"/>
  </r>
  <r>
    <x v="0"/>
    <n v="228"/>
    <x v="155"/>
    <x v="0"/>
    <s v="CM"/>
    <s v="N"/>
    <x v="132"/>
    <x v="2"/>
    <x v="10"/>
    <m/>
    <x v="10"/>
    <m/>
    <x v="0"/>
    <x v="0"/>
    <x v="10"/>
    <d v="2011-09-25T00:00:00"/>
    <x v="9"/>
    <x v="1"/>
    <s v="Andorinha Curta  Ficção"/>
    <m/>
    <x v="0"/>
    <x v="0"/>
    <m/>
    <x v="0"/>
    <x v="0"/>
    <x v="157"/>
    <x v="0"/>
    <x v="0"/>
    <x v="0"/>
    <x v="10"/>
    <x v="365"/>
  </r>
  <r>
    <x v="0"/>
    <n v="230"/>
    <x v="156"/>
    <x v="4"/>
    <s v=""/>
    <s v=""/>
    <x v="133"/>
    <x v="2"/>
    <x v="67"/>
    <m/>
    <x v="23"/>
    <m/>
    <x v="3"/>
    <x v="0"/>
    <x v="63"/>
    <d v="2011-06-12T00:00:00"/>
    <x v="7"/>
    <x v="0"/>
    <m/>
    <s v="Sessão Não Competitiva 5"/>
    <x v="0"/>
    <x v="0"/>
    <m/>
    <x v="0"/>
    <x v="7"/>
    <x v="158"/>
    <x v="3"/>
    <x v="0"/>
    <x v="1"/>
    <x v="63"/>
    <x v="366"/>
  </r>
  <r>
    <x v="0"/>
    <n v="231"/>
    <x v="157"/>
    <x v="2"/>
    <s v="LM"/>
    <s v="S"/>
    <x v="134"/>
    <x v="2"/>
    <x v="174"/>
    <m/>
    <x v="117"/>
    <m/>
    <x v="9"/>
    <x v="2"/>
    <x v="78"/>
    <m/>
    <x v="12"/>
    <x v="1"/>
    <s v="Fall 2011 Festival Winners: Animated Films"/>
    <m/>
    <x v="42"/>
    <x v="0"/>
    <s v="Dez"/>
    <x v="1"/>
    <x v="10"/>
    <x v="159"/>
    <x v="9"/>
    <x v="44"/>
    <x v="0"/>
    <x v="78"/>
    <x v="367"/>
  </r>
  <r>
    <x v="0"/>
    <n v="232"/>
    <x v="158"/>
    <x v="4"/>
    <s v=""/>
    <s v=""/>
    <x v="135"/>
    <x v="2"/>
    <x v="46"/>
    <m/>
    <x v="24"/>
    <m/>
    <x v="3"/>
    <x v="0"/>
    <x v="41"/>
    <d v="2011-11-18T00:00:00"/>
    <x v="13"/>
    <x v="1"/>
    <s v="Prémio de Cinema para Filmes sobre Arte"/>
    <m/>
    <x v="0"/>
    <x v="0"/>
    <m/>
    <x v="0"/>
    <x v="7"/>
    <x v="160"/>
    <x v="3"/>
    <x v="0"/>
    <x v="1"/>
    <x v="41"/>
    <x v="368"/>
  </r>
  <r>
    <x v="0"/>
    <n v="234"/>
    <x v="159"/>
    <x v="0"/>
    <s v="LM"/>
    <s v="S"/>
    <x v="136"/>
    <x v="2"/>
    <x v="175"/>
    <m/>
    <x v="132"/>
    <m/>
    <x v="2"/>
    <x v="0"/>
    <x v="28"/>
    <d v="2011-03-30T00:00:00"/>
    <x v="2"/>
    <x v="0"/>
    <m/>
    <m/>
    <x v="0"/>
    <x v="1"/>
    <m/>
    <x v="0"/>
    <x v="5"/>
    <x v="161"/>
    <x v="2"/>
    <x v="0"/>
    <x v="0"/>
    <x v="28"/>
    <x v="369"/>
  </r>
  <r>
    <x v="0"/>
    <n v="234"/>
    <x v="159"/>
    <x v="0"/>
    <s v="LM"/>
    <s v="S"/>
    <x v="136"/>
    <x v="2"/>
    <x v="176"/>
    <m/>
    <x v="120"/>
    <m/>
    <x v="1"/>
    <x v="0"/>
    <x v="8"/>
    <m/>
    <x v="8"/>
    <x v="0"/>
    <m/>
    <m/>
    <x v="0"/>
    <x v="1"/>
    <m/>
    <x v="0"/>
    <x v="5"/>
    <x v="161"/>
    <x v="1"/>
    <x v="0"/>
    <x v="0"/>
    <x v="8"/>
    <x v="370"/>
  </r>
  <r>
    <x v="0"/>
    <n v="234"/>
    <x v="159"/>
    <x v="0"/>
    <s v="LM"/>
    <s v="S"/>
    <x v="136"/>
    <x v="2"/>
    <x v="12"/>
    <m/>
    <x v="12"/>
    <m/>
    <x v="2"/>
    <x v="0"/>
    <x v="11"/>
    <d v="2011-09-27T00:00:00"/>
    <x v="9"/>
    <x v="0"/>
    <m/>
    <s v="Jeune Public"/>
    <x v="0"/>
    <x v="1"/>
    <m/>
    <x v="0"/>
    <x v="5"/>
    <x v="161"/>
    <x v="2"/>
    <x v="0"/>
    <x v="0"/>
    <x v="11"/>
    <x v="371"/>
  </r>
  <r>
    <x v="0"/>
    <n v="235"/>
    <x v="160"/>
    <x v="4"/>
    <s v=""/>
    <s v=""/>
    <x v="137"/>
    <x v="2"/>
    <x v="46"/>
    <m/>
    <x v="24"/>
    <m/>
    <x v="3"/>
    <x v="0"/>
    <x v="41"/>
    <d v="2011-11-18T00:00:00"/>
    <x v="13"/>
    <x v="1"/>
    <s v="Prémio de Cinema para Filmes sobre Arte"/>
    <m/>
    <x v="0"/>
    <x v="0"/>
    <m/>
    <x v="0"/>
    <x v="7"/>
    <x v="162"/>
    <x v="3"/>
    <x v="0"/>
    <x v="1"/>
    <x v="41"/>
    <x v="372"/>
  </r>
  <r>
    <x v="0"/>
    <n v="237"/>
    <x v="161"/>
    <x v="4"/>
    <s v=""/>
    <s v=""/>
    <x v="138"/>
    <x v="2"/>
    <x v="109"/>
    <m/>
    <x v="23"/>
    <m/>
    <x v="3"/>
    <x v="0"/>
    <x v="115"/>
    <d v="2011-06-05T00:00:00"/>
    <x v="23"/>
    <x v="0"/>
    <m/>
    <s v="Momento XIX"/>
    <x v="0"/>
    <x v="1"/>
    <m/>
    <x v="0"/>
    <x v="7"/>
    <x v="163"/>
    <x v="3"/>
    <x v="0"/>
    <x v="1"/>
    <x v="115"/>
    <x v="373"/>
  </r>
  <r>
    <x v="0"/>
    <n v="237"/>
    <x v="161"/>
    <x v="4"/>
    <s v=""/>
    <s v=""/>
    <x v="138"/>
    <x v="2"/>
    <x v="139"/>
    <m/>
    <x v="106"/>
    <m/>
    <x v="15"/>
    <x v="0"/>
    <x v="109"/>
    <d v="2011-07-30T00:00:00"/>
    <x v="8"/>
    <x v="1"/>
    <s v="Nuovi Segni 2"/>
    <m/>
    <x v="0"/>
    <x v="0"/>
    <m/>
    <x v="0"/>
    <x v="7"/>
    <x v="163"/>
    <x v="15"/>
    <x v="0"/>
    <x v="0"/>
    <x v="109"/>
    <x v="374"/>
  </r>
  <r>
    <x v="0"/>
    <n v="237"/>
    <x v="161"/>
    <x v="4"/>
    <s v=""/>
    <s v=""/>
    <x v="138"/>
    <x v="2"/>
    <x v="141"/>
    <m/>
    <x v="107"/>
    <m/>
    <x v="31"/>
    <x v="0"/>
    <x v="114"/>
    <d v="2011-09-25T00:00:00"/>
    <x v="9"/>
    <x v="1"/>
    <s v="Experimental"/>
    <m/>
    <x v="0"/>
    <x v="0"/>
    <m/>
    <x v="0"/>
    <x v="7"/>
    <x v="163"/>
    <x v="31"/>
    <x v="0"/>
    <x v="0"/>
    <x v="114"/>
    <x v="375"/>
  </r>
  <r>
    <x v="0"/>
    <n v="237"/>
    <x v="161"/>
    <x v="4"/>
    <s v=""/>
    <s v=""/>
    <x v="138"/>
    <x v="2"/>
    <x v="0"/>
    <m/>
    <x v="0"/>
    <m/>
    <x v="0"/>
    <x v="0"/>
    <x v="0"/>
    <d v="2011-11-06T00:00:00"/>
    <x v="0"/>
    <x v="1"/>
    <s v="Competição Internacional"/>
    <m/>
    <x v="0"/>
    <x v="0"/>
    <m/>
    <x v="0"/>
    <x v="7"/>
    <x v="163"/>
    <x v="0"/>
    <x v="0"/>
    <x v="0"/>
    <x v="0"/>
    <x v="376"/>
  </r>
  <r>
    <x v="0"/>
    <n v="238"/>
    <x v="162"/>
    <x v="0"/>
    <s v="CM"/>
    <s v="S"/>
    <x v="139"/>
    <x v="1"/>
    <x v="110"/>
    <m/>
    <x v="85"/>
    <m/>
    <x v="23"/>
    <x v="0"/>
    <x v="95"/>
    <m/>
    <x v="7"/>
    <x v="0"/>
    <m/>
    <m/>
    <x v="0"/>
    <x v="1"/>
    <m/>
    <x v="0"/>
    <x v="0"/>
    <x v="164"/>
    <x v="23"/>
    <x v="0"/>
    <x v="0"/>
    <x v="95"/>
    <x v="377"/>
  </r>
  <r>
    <x v="0"/>
    <n v="238"/>
    <x v="162"/>
    <x v="0"/>
    <s v="CM"/>
    <s v="S"/>
    <x v="139"/>
    <x v="1"/>
    <x v="177"/>
    <m/>
    <x v="23"/>
    <m/>
    <x v="3"/>
    <x v="0"/>
    <x v="134"/>
    <m/>
    <x v="16"/>
    <x v="0"/>
    <m/>
    <m/>
    <x v="0"/>
    <x v="1"/>
    <m/>
    <x v="0"/>
    <x v="0"/>
    <x v="164"/>
    <x v="3"/>
    <x v="0"/>
    <x v="1"/>
    <x v="134"/>
    <x v="378"/>
  </r>
  <r>
    <x v="0"/>
    <n v="238"/>
    <x v="162"/>
    <x v="0"/>
    <s v="CM"/>
    <s v="S"/>
    <x v="139"/>
    <x v="1"/>
    <x v="37"/>
    <m/>
    <x v="35"/>
    <m/>
    <x v="2"/>
    <x v="0"/>
    <x v="15"/>
    <d v="2011-12-04T00:00:00"/>
    <x v="12"/>
    <x v="0"/>
    <m/>
    <s v="Panorama Fenêtre Ouverte Documentaire 2"/>
    <x v="0"/>
    <x v="0"/>
    <m/>
    <x v="0"/>
    <x v="0"/>
    <x v="164"/>
    <x v="2"/>
    <x v="0"/>
    <x v="0"/>
    <x v="15"/>
    <x v="379"/>
  </r>
  <r>
    <x v="0"/>
    <n v="239"/>
    <x v="163"/>
    <x v="4"/>
    <s v=""/>
    <s v=""/>
    <x v="140"/>
    <x v="2"/>
    <x v="57"/>
    <m/>
    <x v="40"/>
    <m/>
    <x v="3"/>
    <x v="0"/>
    <x v="130"/>
    <m/>
    <x v="2"/>
    <x v="0"/>
    <m/>
    <m/>
    <x v="0"/>
    <x v="1"/>
    <m/>
    <x v="0"/>
    <x v="7"/>
    <x v="165"/>
    <x v="3"/>
    <x v="0"/>
    <x v="1"/>
    <x v="130"/>
    <x v="380"/>
  </r>
  <r>
    <x v="0"/>
    <n v="240"/>
    <x v="164"/>
    <x v="4"/>
    <s v=""/>
    <s v=""/>
    <x v="141"/>
    <x v="2"/>
    <x v="178"/>
    <m/>
    <x v="25"/>
    <m/>
    <x v="3"/>
    <x v="0"/>
    <x v="44"/>
    <d v="2011-07-03T00:00:00"/>
    <x v="17"/>
    <x v="1"/>
    <s v="Sessão Competitiva 2"/>
    <m/>
    <x v="43"/>
    <x v="0"/>
    <m/>
    <x v="1"/>
    <x v="7"/>
    <x v="166"/>
    <x v="3"/>
    <x v="45"/>
    <x v="1"/>
    <x v="44"/>
    <x v="381"/>
  </r>
  <r>
    <x v="0"/>
    <n v="241"/>
    <x v="165"/>
    <x v="4"/>
    <s v=""/>
    <s v=""/>
    <x v="47"/>
    <x v="2"/>
    <x v="68"/>
    <m/>
    <x v="53"/>
    <m/>
    <x v="3"/>
    <x v="0"/>
    <x v="64"/>
    <d v="2011-07-17T00:00:00"/>
    <x v="8"/>
    <x v="0"/>
    <m/>
    <s v="Panorama Nacional - Super 8"/>
    <x v="0"/>
    <x v="0"/>
    <m/>
    <x v="0"/>
    <x v="7"/>
    <x v="167"/>
    <x v="3"/>
    <x v="0"/>
    <x v="1"/>
    <x v="64"/>
    <x v="382"/>
  </r>
  <r>
    <x v="0"/>
    <n v="242"/>
    <x v="166"/>
    <x v="4"/>
    <s v=""/>
    <s v=""/>
    <x v="142"/>
    <x v="2"/>
    <x v="179"/>
    <m/>
    <x v="133"/>
    <m/>
    <x v="0"/>
    <x v="0"/>
    <x v="127"/>
    <d v="2011-11-03T00:00:00"/>
    <x v="0"/>
    <x v="0"/>
    <m/>
    <s v="Apresentação Especial: O Mundo Invisível"/>
    <x v="0"/>
    <x v="1"/>
    <m/>
    <x v="0"/>
    <x v="7"/>
    <x v="168"/>
    <x v="0"/>
    <x v="0"/>
    <x v="0"/>
    <x v="127"/>
    <x v="383"/>
  </r>
  <r>
    <x v="0"/>
    <n v="243"/>
    <x v="167"/>
    <x v="1"/>
    <s v="CM"/>
    <s v="N"/>
    <x v="143"/>
    <x v="5"/>
    <x v="3"/>
    <m/>
    <x v="3"/>
    <m/>
    <x v="2"/>
    <x v="0"/>
    <x v="3"/>
    <d v="2011-04-03T00:00:00"/>
    <x v="3"/>
    <x v="0"/>
    <m/>
    <s v="Au Sud de l'Europe - Portugal"/>
    <x v="0"/>
    <x v="0"/>
    <m/>
    <x v="0"/>
    <x v="2"/>
    <x v="169"/>
    <x v="2"/>
    <x v="0"/>
    <x v="0"/>
    <x v="3"/>
    <x v="384"/>
  </r>
  <r>
    <x v="0"/>
    <n v="243"/>
    <x v="167"/>
    <x v="1"/>
    <s v="CM"/>
    <s v="N"/>
    <x v="143"/>
    <x v="5"/>
    <x v="106"/>
    <m/>
    <x v="82"/>
    <m/>
    <x v="21"/>
    <x v="0"/>
    <x v="19"/>
    <d v="2011-09-18T00:00:00"/>
    <x v="9"/>
    <x v="0"/>
    <m/>
    <s v="Videoarte"/>
    <x v="0"/>
    <x v="0"/>
    <m/>
    <x v="0"/>
    <x v="2"/>
    <x v="169"/>
    <x v="21"/>
    <x v="0"/>
    <x v="0"/>
    <x v="19"/>
    <x v="385"/>
  </r>
  <r>
    <x v="0"/>
    <n v="244"/>
    <x v="168"/>
    <x v="1"/>
    <s v="CM"/>
    <s v="N"/>
    <x v="144"/>
    <x v="2"/>
    <x v="157"/>
    <m/>
    <x v="120"/>
    <m/>
    <x v="1"/>
    <x v="0"/>
    <x v="41"/>
    <d v="2011-11-25T00:00:00"/>
    <x v="13"/>
    <x v="1"/>
    <s v="Transfrontera"/>
    <m/>
    <x v="0"/>
    <x v="0"/>
    <m/>
    <x v="0"/>
    <x v="2"/>
    <x v="170"/>
    <x v="1"/>
    <x v="0"/>
    <x v="0"/>
    <x v="41"/>
    <x v="386"/>
  </r>
  <r>
    <x v="0"/>
    <n v="245"/>
    <x v="169"/>
    <x v="4"/>
    <s v=""/>
    <s v=""/>
    <x v="145"/>
    <x v="2"/>
    <x v="97"/>
    <m/>
    <x v="76"/>
    <m/>
    <x v="3"/>
    <x v="0"/>
    <x v="86"/>
    <d v="2011-11-20T00:00:00"/>
    <x v="13"/>
    <x v="1"/>
    <s v="Naval VideoSub"/>
    <m/>
    <x v="44"/>
    <x v="0"/>
    <m/>
    <x v="1"/>
    <x v="7"/>
    <x v="171"/>
    <x v="3"/>
    <x v="46"/>
    <x v="1"/>
    <x v="86"/>
    <x v="387"/>
  </r>
  <r>
    <x v="0"/>
    <n v="246"/>
    <x v="170"/>
    <x v="0"/>
    <s v="CM"/>
    <s v="N"/>
    <x v="146"/>
    <x v="3"/>
    <x v="151"/>
    <m/>
    <x v="116"/>
    <m/>
    <x v="1"/>
    <x v="0"/>
    <x v="34"/>
    <d v="2011-11-26T00:00:00"/>
    <x v="13"/>
    <x v="0"/>
    <m/>
    <s v="Stereo"/>
    <x v="0"/>
    <x v="0"/>
    <m/>
    <x v="0"/>
    <x v="0"/>
    <x v="172"/>
    <x v="1"/>
    <x v="0"/>
    <x v="0"/>
    <x v="34"/>
    <x v="388"/>
  </r>
  <r>
    <x v="0"/>
    <n v="247"/>
    <x v="171"/>
    <x v="4"/>
    <s v=""/>
    <s v=""/>
    <x v="147"/>
    <x v="2"/>
    <x v="26"/>
    <m/>
    <x v="24"/>
    <m/>
    <x v="3"/>
    <x v="0"/>
    <x v="24"/>
    <d v="2011-03-27T00:00:00"/>
    <x v="2"/>
    <x v="1"/>
    <s v="Curtíssimas"/>
    <m/>
    <x v="0"/>
    <x v="0"/>
    <m/>
    <x v="0"/>
    <x v="7"/>
    <x v="173"/>
    <x v="3"/>
    <x v="0"/>
    <x v="1"/>
    <x v="24"/>
    <x v="389"/>
  </r>
  <r>
    <x v="0"/>
    <n v="248"/>
    <x v="172"/>
    <x v="4"/>
    <s v=""/>
    <s v=""/>
    <x v="148"/>
    <x v="2"/>
    <x v="120"/>
    <m/>
    <x v="83"/>
    <m/>
    <x v="3"/>
    <x v="0"/>
    <x v="16"/>
    <d v="2011-12-04T00:00:00"/>
    <x v="12"/>
    <x v="1"/>
    <s v="Cinéfilos: Ficção"/>
    <m/>
    <x v="45"/>
    <x v="0"/>
    <m/>
    <x v="1"/>
    <x v="7"/>
    <x v="174"/>
    <x v="3"/>
    <x v="47"/>
    <x v="1"/>
    <x v="16"/>
    <x v="390"/>
  </r>
  <r>
    <x v="0"/>
    <n v="249"/>
    <x v="173"/>
    <x v="1"/>
    <s v="CM"/>
    <s v="N"/>
    <x v="149"/>
    <x v="4"/>
    <x v="107"/>
    <m/>
    <x v="83"/>
    <m/>
    <x v="3"/>
    <x v="0"/>
    <x v="25"/>
    <d v="2011-11-10T00:00:00"/>
    <x v="13"/>
    <x v="1"/>
    <m/>
    <m/>
    <x v="46"/>
    <x v="0"/>
    <m/>
    <x v="1"/>
    <x v="2"/>
    <x v="175"/>
    <x v="3"/>
    <x v="48"/>
    <x v="1"/>
    <x v="25"/>
    <x v="391"/>
  </r>
  <r>
    <x v="0"/>
    <n v="249"/>
    <x v="173"/>
    <x v="1"/>
    <s v="CM"/>
    <s v="N"/>
    <x v="149"/>
    <x v="4"/>
    <x v="22"/>
    <m/>
    <x v="22"/>
    <m/>
    <x v="3"/>
    <x v="0"/>
    <x v="20"/>
    <d v="2011-11-17T00:00:00"/>
    <x v="13"/>
    <x v="1"/>
    <s v="Sessão Competitica 13"/>
    <m/>
    <x v="0"/>
    <x v="0"/>
    <m/>
    <x v="0"/>
    <x v="2"/>
    <x v="175"/>
    <x v="3"/>
    <x v="0"/>
    <x v="1"/>
    <x v="20"/>
    <x v="392"/>
  </r>
  <r>
    <x v="0"/>
    <n v="251"/>
    <x v="174"/>
    <x v="0"/>
    <s v="CM"/>
    <s v="N"/>
    <x v="150"/>
    <x v="3"/>
    <x v="48"/>
    <m/>
    <x v="24"/>
    <m/>
    <x v="3"/>
    <x v="0"/>
    <x v="21"/>
    <d v="2011-09-11T00:00:00"/>
    <x v="9"/>
    <x v="1"/>
    <s v="Prémio Motelx . Melhor Curta de Terror Portuguesa"/>
    <m/>
    <x v="0"/>
    <x v="0"/>
    <m/>
    <x v="0"/>
    <x v="0"/>
    <x v="176"/>
    <x v="3"/>
    <x v="0"/>
    <x v="1"/>
    <x v="21"/>
    <x v="393"/>
  </r>
  <r>
    <x v="0"/>
    <n v="251"/>
    <x v="174"/>
    <x v="0"/>
    <s v="CM"/>
    <s v="N"/>
    <x v="150"/>
    <x v="3"/>
    <x v="22"/>
    <m/>
    <x v="22"/>
    <m/>
    <x v="3"/>
    <x v="0"/>
    <x v="20"/>
    <d v="2011-11-17T00:00:00"/>
    <x v="13"/>
    <x v="1"/>
    <s v="Sessão Competitiva 17"/>
    <m/>
    <x v="0"/>
    <x v="0"/>
    <m/>
    <x v="0"/>
    <x v="0"/>
    <x v="176"/>
    <x v="3"/>
    <x v="0"/>
    <x v="1"/>
    <x v="20"/>
    <x v="394"/>
  </r>
  <r>
    <x v="0"/>
    <n v="252"/>
    <x v="175"/>
    <x v="0"/>
    <s v="CM"/>
    <s v="S"/>
    <x v="151"/>
    <x v="3"/>
    <x v="133"/>
    <m/>
    <x v="101"/>
    <m/>
    <x v="3"/>
    <x v="0"/>
    <x v="108"/>
    <d v="2011-12-11T00:00:00"/>
    <x v="12"/>
    <x v="1"/>
    <s v="Sessão Competitiva de Curtas Metragens 8"/>
    <m/>
    <x v="47"/>
    <x v="0"/>
    <m/>
    <x v="1"/>
    <x v="0"/>
    <x v="177"/>
    <x v="3"/>
    <x v="49"/>
    <x v="1"/>
    <x v="108"/>
    <x v="395"/>
  </r>
  <r>
    <x v="0"/>
    <n v="253"/>
    <x v="176"/>
    <x v="1"/>
    <s v="LM"/>
    <s v="N"/>
    <x v="41"/>
    <x v="1"/>
    <x v="13"/>
    <m/>
    <x v="13"/>
    <m/>
    <x v="3"/>
    <x v="0"/>
    <x v="135"/>
    <m/>
    <x v="12"/>
    <x v="0"/>
    <m/>
    <m/>
    <x v="0"/>
    <x v="1"/>
    <m/>
    <x v="0"/>
    <x v="1"/>
    <x v="178"/>
    <x v="3"/>
    <x v="0"/>
    <x v="1"/>
    <x v="135"/>
    <x v="396"/>
  </r>
  <r>
    <x v="0"/>
    <n v="254"/>
    <x v="177"/>
    <x v="4"/>
    <s v=""/>
    <s v=""/>
    <x v="152"/>
    <x v="2"/>
    <x v="62"/>
    <m/>
    <x v="23"/>
    <m/>
    <x v="3"/>
    <x v="0"/>
    <x v="58"/>
    <d v="2011-03-06T00:00:00"/>
    <x v="19"/>
    <x v="0"/>
    <m/>
    <s v="Panorama do Cinema Português"/>
    <x v="0"/>
    <x v="0"/>
    <m/>
    <x v="0"/>
    <x v="7"/>
    <x v="179"/>
    <x v="3"/>
    <x v="0"/>
    <x v="1"/>
    <x v="58"/>
    <x v="397"/>
  </r>
  <r>
    <x v="0"/>
    <n v="255"/>
    <x v="178"/>
    <x v="2"/>
    <s v="CM"/>
    <s v="N"/>
    <x v="153"/>
    <x v="5"/>
    <x v="62"/>
    <m/>
    <x v="23"/>
    <m/>
    <x v="3"/>
    <x v="0"/>
    <x v="58"/>
    <d v="2011-03-06T00:00:00"/>
    <x v="19"/>
    <x v="0"/>
    <m/>
    <s v="Panorama do Cinema Português"/>
    <x v="48"/>
    <x v="0"/>
    <m/>
    <x v="1"/>
    <x v="4"/>
    <x v="180"/>
    <x v="3"/>
    <x v="50"/>
    <x v="1"/>
    <x v="58"/>
    <x v="398"/>
  </r>
  <r>
    <x v="0"/>
    <n v="255"/>
    <x v="178"/>
    <x v="2"/>
    <s v="CM"/>
    <s v="N"/>
    <x v="153"/>
    <x v="5"/>
    <x v="67"/>
    <m/>
    <x v="23"/>
    <m/>
    <x v="3"/>
    <x v="0"/>
    <x v="63"/>
    <d v="2011-06-12T00:00:00"/>
    <x v="7"/>
    <x v="1"/>
    <s v="Sessão Competitiva 5"/>
    <m/>
    <x v="0"/>
    <x v="0"/>
    <m/>
    <x v="0"/>
    <x v="4"/>
    <x v="180"/>
    <x v="3"/>
    <x v="0"/>
    <x v="1"/>
    <x v="63"/>
    <x v="399"/>
  </r>
  <r>
    <x v="0"/>
    <n v="255"/>
    <x v="178"/>
    <x v="2"/>
    <s v="CM"/>
    <s v="N"/>
    <x v="153"/>
    <x v="5"/>
    <x v="107"/>
    <m/>
    <x v="83"/>
    <m/>
    <x v="3"/>
    <x v="0"/>
    <x v="25"/>
    <d v="2011-11-10T00:00:00"/>
    <x v="13"/>
    <x v="1"/>
    <m/>
    <m/>
    <x v="49"/>
    <x v="0"/>
    <m/>
    <x v="1"/>
    <x v="4"/>
    <x v="180"/>
    <x v="3"/>
    <x v="51"/>
    <x v="1"/>
    <x v="25"/>
    <x v="400"/>
  </r>
  <r>
    <x v="0"/>
    <n v="255"/>
    <x v="178"/>
    <x v="2"/>
    <s v="CM"/>
    <s v="N"/>
    <x v="153"/>
    <x v="5"/>
    <x v="27"/>
    <m/>
    <x v="25"/>
    <m/>
    <x v="3"/>
    <x v="0"/>
    <x v="25"/>
    <d v="2011-11-13T00:00:00"/>
    <x v="13"/>
    <x v="1"/>
    <s v="Prémio Jovem Cineasta Português (+18 anos)"/>
    <m/>
    <x v="50"/>
    <x v="0"/>
    <m/>
    <x v="1"/>
    <x v="4"/>
    <x v="180"/>
    <x v="3"/>
    <x v="52"/>
    <x v="1"/>
    <x v="25"/>
    <x v="401"/>
  </r>
  <r>
    <x v="0"/>
    <n v="255"/>
    <x v="178"/>
    <x v="2"/>
    <s v="CM"/>
    <s v="N"/>
    <x v="153"/>
    <x v="5"/>
    <x v="22"/>
    <m/>
    <x v="22"/>
    <m/>
    <x v="3"/>
    <x v="0"/>
    <x v="20"/>
    <d v="2011-11-17T00:00:00"/>
    <x v="13"/>
    <x v="1"/>
    <s v="Sessão Competitica 17"/>
    <m/>
    <x v="0"/>
    <x v="0"/>
    <m/>
    <x v="0"/>
    <x v="4"/>
    <x v="180"/>
    <x v="3"/>
    <x v="0"/>
    <x v="1"/>
    <x v="20"/>
    <x v="402"/>
  </r>
  <r>
    <x v="0"/>
    <n v="255"/>
    <x v="178"/>
    <x v="2"/>
    <s v="CM"/>
    <s v="N"/>
    <x v="153"/>
    <x v="5"/>
    <x v="21"/>
    <m/>
    <x v="21"/>
    <m/>
    <x v="3"/>
    <x v="0"/>
    <x v="15"/>
    <d v="2011-12-03T00:00:00"/>
    <x v="12"/>
    <x v="1"/>
    <s v="Curtas Animação"/>
    <m/>
    <x v="51"/>
    <x v="0"/>
    <m/>
    <x v="1"/>
    <x v="4"/>
    <x v="180"/>
    <x v="3"/>
    <x v="53"/>
    <x v="1"/>
    <x v="15"/>
    <x v="403"/>
  </r>
  <r>
    <x v="0"/>
    <n v="256"/>
    <x v="179"/>
    <x v="4"/>
    <s v=""/>
    <s v=""/>
    <x v="154"/>
    <x v="2"/>
    <x v="26"/>
    <m/>
    <x v="24"/>
    <m/>
    <x v="3"/>
    <x v="0"/>
    <x v="24"/>
    <d v="2011-03-27T00:00:00"/>
    <x v="2"/>
    <x v="1"/>
    <s v="Curtíssimas"/>
    <m/>
    <x v="0"/>
    <x v="0"/>
    <m/>
    <x v="0"/>
    <x v="7"/>
    <x v="181"/>
    <x v="3"/>
    <x v="0"/>
    <x v="1"/>
    <x v="24"/>
    <x v="404"/>
  </r>
  <r>
    <x v="0"/>
    <n v="257"/>
    <x v="180"/>
    <x v="1"/>
    <s v="CM"/>
    <s v="S"/>
    <x v="155"/>
    <x v="18"/>
    <x v="180"/>
    <m/>
    <x v="134"/>
    <m/>
    <x v="41"/>
    <x v="0"/>
    <x v="21"/>
    <d v="2011-09-14T00:00:00"/>
    <x v="9"/>
    <x v="0"/>
    <m/>
    <m/>
    <x v="0"/>
    <x v="1"/>
    <m/>
    <x v="0"/>
    <x v="2"/>
    <x v="182"/>
    <x v="41"/>
    <x v="0"/>
    <x v="0"/>
    <x v="21"/>
    <x v="405"/>
  </r>
  <r>
    <x v="0"/>
    <n v="260"/>
    <x v="181"/>
    <x v="4"/>
    <s v=""/>
    <s v=""/>
    <x v="156"/>
    <x v="2"/>
    <x v="22"/>
    <m/>
    <x v="22"/>
    <m/>
    <x v="3"/>
    <x v="0"/>
    <x v="20"/>
    <d v="2011-11-17T00:00:00"/>
    <x v="13"/>
    <x v="1"/>
    <s v="Ensaios Visuais 4"/>
    <m/>
    <x v="0"/>
    <x v="0"/>
    <m/>
    <x v="0"/>
    <x v="7"/>
    <x v="183"/>
    <x v="3"/>
    <x v="0"/>
    <x v="1"/>
    <x v="20"/>
    <x v="406"/>
  </r>
  <r>
    <x v="0"/>
    <n v="261"/>
    <x v="182"/>
    <x v="4"/>
    <s v=""/>
    <s v=""/>
    <x v="157"/>
    <x v="2"/>
    <x v="22"/>
    <m/>
    <x v="22"/>
    <m/>
    <x v="3"/>
    <x v="0"/>
    <x v="20"/>
    <d v="2011-11-17T00:00:00"/>
    <x v="13"/>
    <x v="1"/>
    <s v="Ensaios Visuais 3"/>
    <m/>
    <x v="0"/>
    <x v="0"/>
    <m/>
    <x v="0"/>
    <x v="7"/>
    <x v="184"/>
    <x v="3"/>
    <x v="0"/>
    <x v="1"/>
    <x v="20"/>
    <x v="407"/>
  </r>
  <r>
    <x v="0"/>
    <n v="262"/>
    <x v="183"/>
    <x v="0"/>
    <s v="LM"/>
    <s v="N"/>
    <x v="158"/>
    <x v="19"/>
    <x v="91"/>
    <m/>
    <x v="70"/>
    <m/>
    <x v="18"/>
    <x v="0"/>
    <x v="82"/>
    <d v="2011-05-06T00:00:00"/>
    <x v="4"/>
    <x v="0"/>
    <m/>
    <s v="Focus On: Portuguese Cinema 2- Before and After Revolution"/>
    <x v="0"/>
    <x v="0"/>
    <m/>
    <x v="0"/>
    <x v="5"/>
    <x v="185"/>
    <x v="18"/>
    <x v="0"/>
    <x v="0"/>
    <x v="82"/>
    <x v="408"/>
  </r>
  <r>
    <x v="0"/>
    <n v="263"/>
    <x v="184"/>
    <x v="4"/>
    <s v=""/>
    <s v=""/>
    <x v="20"/>
    <x v="2"/>
    <x v="91"/>
    <m/>
    <x v="70"/>
    <m/>
    <x v="18"/>
    <x v="0"/>
    <x v="82"/>
    <d v="2011-05-06T00:00:00"/>
    <x v="4"/>
    <x v="0"/>
    <m/>
    <s v="Focus On: Portuguese Cinema 2- Before and After Revolution"/>
    <x v="0"/>
    <x v="0"/>
    <m/>
    <x v="0"/>
    <x v="7"/>
    <x v="186"/>
    <x v="18"/>
    <x v="0"/>
    <x v="0"/>
    <x v="82"/>
    <x v="409"/>
  </r>
  <r>
    <x v="0"/>
    <n v="264"/>
    <x v="185"/>
    <x v="4"/>
    <s v=""/>
    <s v=""/>
    <x v="159"/>
    <x v="2"/>
    <x v="180"/>
    <m/>
    <x v="134"/>
    <m/>
    <x v="41"/>
    <x v="0"/>
    <x v="21"/>
    <d v="2011-09-14T00:00:00"/>
    <x v="9"/>
    <x v="0"/>
    <m/>
    <m/>
    <x v="0"/>
    <x v="1"/>
    <m/>
    <x v="0"/>
    <x v="7"/>
    <x v="187"/>
    <x v="41"/>
    <x v="0"/>
    <x v="0"/>
    <x v="21"/>
    <x v="410"/>
  </r>
  <r>
    <x v="0"/>
    <n v="265"/>
    <x v="186"/>
    <x v="4"/>
    <s v=""/>
    <s v=""/>
    <x v="160"/>
    <x v="2"/>
    <x v="180"/>
    <m/>
    <x v="134"/>
    <m/>
    <x v="41"/>
    <x v="0"/>
    <x v="21"/>
    <d v="2011-09-14T00:00:00"/>
    <x v="9"/>
    <x v="0"/>
    <m/>
    <m/>
    <x v="0"/>
    <x v="1"/>
    <m/>
    <x v="0"/>
    <x v="7"/>
    <x v="188"/>
    <x v="41"/>
    <x v="0"/>
    <x v="0"/>
    <x v="21"/>
    <x v="411"/>
  </r>
  <r>
    <x v="0"/>
    <n v="266"/>
    <x v="187"/>
    <x v="4"/>
    <s v=""/>
    <s v=""/>
    <x v="21"/>
    <x v="2"/>
    <x v="52"/>
    <m/>
    <x v="24"/>
    <m/>
    <x v="3"/>
    <x v="0"/>
    <x v="46"/>
    <m/>
    <x v="9"/>
    <x v="0"/>
    <m/>
    <m/>
    <x v="0"/>
    <x v="1"/>
    <m/>
    <x v="0"/>
    <x v="7"/>
    <x v="189"/>
    <x v="3"/>
    <x v="0"/>
    <x v="1"/>
    <x v="46"/>
    <x v="412"/>
  </r>
  <r>
    <x v="0"/>
    <n v="267"/>
    <x v="188"/>
    <x v="4"/>
    <s v=""/>
    <s v=""/>
    <x v="161"/>
    <x v="2"/>
    <x v="34"/>
    <m/>
    <x v="32"/>
    <m/>
    <x v="3"/>
    <x v="0"/>
    <x v="31"/>
    <d v="2011-05-15T00:00:00"/>
    <x v="6"/>
    <x v="1"/>
    <m/>
    <m/>
    <x v="0"/>
    <x v="0"/>
    <m/>
    <x v="0"/>
    <x v="7"/>
    <x v="190"/>
    <x v="3"/>
    <x v="0"/>
    <x v="1"/>
    <x v="31"/>
    <x v="413"/>
  </r>
  <r>
    <x v="0"/>
    <n v="267"/>
    <x v="188"/>
    <x v="4"/>
    <s v=""/>
    <s v=""/>
    <x v="161"/>
    <x v="2"/>
    <x v="67"/>
    <m/>
    <x v="23"/>
    <m/>
    <x v="3"/>
    <x v="0"/>
    <x v="63"/>
    <d v="2011-06-12T00:00:00"/>
    <x v="7"/>
    <x v="0"/>
    <m/>
    <s v="Sessão Não Competitiva 4"/>
    <x v="0"/>
    <x v="0"/>
    <m/>
    <x v="0"/>
    <x v="7"/>
    <x v="190"/>
    <x v="3"/>
    <x v="0"/>
    <x v="1"/>
    <x v="63"/>
    <x v="414"/>
  </r>
  <r>
    <x v="0"/>
    <n v="267"/>
    <x v="188"/>
    <x v="4"/>
    <s v=""/>
    <s v=""/>
    <x v="161"/>
    <x v="2"/>
    <x v="181"/>
    <m/>
    <x v="23"/>
    <m/>
    <x v="3"/>
    <x v="0"/>
    <x v="136"/>
    <m/>
    <x v="14"/>
    <x v="0"/>
    <m/>
    <m/>
    <x v="0"/>
    <x v="1"/>
    <m/>
    <x v="0"/>
    <x v="7"/>
    <x v="190"/>
    <x v="3"/>
    <x v="0"/>
    <x v="1"/>
    <x v="136"/>
    <x v="415"/>
  </r>
  <r>
    <x v="0"/>
    <n v="268"/>
    <x v="189"/>
    <x v="0"/>
    <s v="LM"/>
    <s v=""/>
    <x v="162"/>
    <x v="2"/>
    <x v="182"/>
    <m/>
    <x v="17"/>
    <m/>
    <x v="2"/>
    <x v="0"/>
    <x v="29"/>
    <d v="2011-04-05T00:00:00"/>
    <x v="3"/>
    <x v="0"/>
    <m/>
    <s v="Exploring Documentary: Le poème documentaire - Poème 4: Rui Simões, le &quot;film-révolution&quot;"/>
    <x v="0"/>
    <x v="0"/>
    <m/>
    <x v="0"/>
    <x v="5"/>
    <x v="191"/>
    <x v="2"/>
    <x v="0"/>
    <x v="0"/>
    <x v="29"/>
    <x v="416"/>
  </r>
  <r>
    <x v="0"/>
    <n v="268"/>
    <x v="189"/>
    <x v="0"/>
    <s v="LM"/>
    <s v=""/>
    <x v="162"/>
    <x v="2"/>
    <x v="91"/>
    <m/>
    <x v="70"/>
    <m/>
    <x v="18"/>
    <x v="0"/>
    <x v="82"/>
    <d v="2011-05-06T00:00:00"/>
    <x v="4"/>
    <x v="0"/>
    <m/>
    <s v="Focus On: Portuguese Cinema 2- Before and After Revolution"/>
    <x v="0"/>
    <x v="0"/>
    <m/>
    <x v="0"/>
    <x v="5"/>
    <x v="191"/>
    <x v="18"/>
    <x v="0"/>
    <x v="0"/>
    <x v="82"/>
    <x v="417"/>
  </r>
  <r>
    <x v="0"/>
    <n v="268"/>
    <x v="189"/>
    <x v="0"/>
    <s v="LM"/>
    <s v=""/>
    <x v="162"/>
    <x v="2"/>
    <x v="183"/>
    <m/>
    <x v="17"/>
    <m/>
    <x v="2"/>
    <x v="0"/>
    <x v="137"/>
    <m/>
    <x v="14"/>
    <x v="0"/>
    <m/>
    <m/>
    <x v="0"/>
    <x v="1"/>
    <m/>
    <x v="0"/>
    <x v="5"/>
    <x v="191"/>
    <x v="2"/>
    <x v="0"/>
    <x v="0"/>
    <x v="137"/>
    <x v="418"/>
  </r>
  <r>
    <x v="0"/>
    <n v="269"/>
    <x v="190"/>
    <x v="0"/>
    <s v="LM"/>
    <s v="S"/>
    <x v="163"/>
    <x v="5"/>
    <x v="184"/>
    <m/>
    <x v="135"/>
    <m/>
    <x v="2"/>
    <x v="0"/>
    <x v="97"/>
    <d v="2011-05-22T00:00:00"/>
    <x v="6"/>
    <x v="1"/>
    <s v="Un Certain Regard"/>
    <m/>
    <x v="0"/>
    <x v="0"/>
    <m/>
    <x v="0"/>
    <x v="5"/>
    <x v="192"/>
    <x v="2"/>
    <x v="0"/>
    <x v="0"/>
    <x v="97"/>
    <x v="419"/>
  </r>
  <r>
    <x v="0"/>
    <n v="269"/>
    <x v="190"/>
    <x v="0"/>
    <s v="LM"/>
    <s v="S"/>
    <x v="163"/>
    <x v="5"/>
    <x v="185"/>
    <m/>
    <x v="136"/>
    <m/>
    <x v="7"/>
    <x v="0"/>
    <x v="55"/>
    <d v="2011-09-18T00:00:00"/>
    <x v="9"/>
    <x v="0"/>
    <m/>
    <s v="Contemporary World Cinema"/>
    <x v="0"/>
    <x v="0"/>
    <m/>
    <x v="0"/>
    <x v="5"/>
    <x v="192"/>
    <x v="7"/>
    <x v="0"/>
    <x v="0"/>
    <x v="55"/>
    <x v="420"/>
  </r>
  <r>
    <x v="0"/>
    <n v="269"/>
    <x v="190"/>
    <x v="0"/>
    <s v="LM"/>
    <s v="S"/>
    <x v="163"/>
    <x v="5"/>
    <x v="186"/>
    <m/>
    <x v="137"/>
    <m/>
    <x v="1"/>
    <x v="0"/>
    <x v="22"/>
    <d v="2011-09-24T00:00:00"/>
    <x v="9"/>
    <x v="1"/>
    <s v="Horizontes Latinos"/>
    <m/>
    <x v="0"/>
    <x v="0"/>
    <m/>
    <x v="0"/>
    <x v="5"/>
    <x v="192"/>
    <x v="1"/>
    <x v="0"/>
    <x v="0"/>
    <x v="22"/>
    <x v="421"/>
  </r>
  <r>
    <x v="0"/>
    <n v="269"/>
    <x v="190"/>
    <x v="0"/>
    <s v="LM"/>
    <s v="S"/>
    <x v="163"/>
    <x v="5"/>
    <x v="187"/>
    <m/>
    <x v="58"/>
    <m/>
    <x v="17"/>
    <x v="0"/>
    <x v="138"/>
    <d v="2011-10-09T00:00:00"/>
    <x v="10"/>
    <x v="0"/>
    <m/>
    <s v="Closing Film"/>
    <x v="0"/>
    <x v="0"/>
    <m/>
    <x v="0"/>
    <x v="5"/>
    <x v="192"/>
    <x v="17"/>
    <x v="0"/>
    <x v="0"/>
    <x v="138"/>
    <x v="422"/>
  </r>
  <r>
    <x v="0"/>
    <n v="269"/>
    <x v="190"/>
    <x v="0"/>
    <s v="LM"/>
    <s v="S"/>
    <x v="163"/>
    <x v="5"/>
    <x v="188"/>
    <m/>
    <x v="0"/>
    <m/>
    <x v="0"/>
    <x v="0"/>
    <x v="77"/>
    <d v="2011-10-18T00:00:00"/>
    <x v="14"/>
    <x v="0"/>
    <m/>
    <m/>
    <x v="0"/>
    <x v="0"/>
    <m/>
    <x v="0"/>
    <x v="5"/>
    <x v="192"/>
    <x v="0"/>
    <x v="0"/>
    <x v="0"/>
    <x v="77"/>
    <x v="423"/>
  </r>
  <r>
    <x v="0"/>
    <n v="269"/>
    <x v="190"/>
    <x v="0"/>
    <s v="LM"/>
    <s v="S"/>
    <x v="163"/>
    <x v="5"/>
    <x v="189"/>
    <m/>
    <x v="138"/>
    <m/>
    <x v="42"/>
    <x v="0"/>
    <x v="139"/>
    <d v="2011-10-30T00:00:00"/>
    <x v="14"/>
    <x v="0"/>
    <m/>
    <s v="Première Latina"/>
    <x v="0"/>
    <x v="0"/>
    <m/>
    <x v="0"/>
    <x v="5"/>
    <x v="192"/>
    <x v="42"/>
    <x v="0"/>
    <x v="0"/>
    <x v="139"/>
    <x v="424"/>
  </r>
  <r>
    <x v="0"/>
    <n v="269"/>
    <x v="190"/>
    <x v="0"/>
    <s v="LM"/>
    <s v="S"/>
    <x v="163"/>
    <x v="5"/>
    <x v="190"/>
    <m/>
    <x v="139"/>
    <m/>
    <x v="10"/>
    <x v="0"/>
    <x v="70"/>
    <d v="2011-11-13T00:00:00"/>
    <x v="13"/>
    <x v="0"/>
    <m/>
    <s v="Open Horizons"/>
    <x v="0"/>
    <x v="0"/>
    <m/>
    <x v="0"/>
    <x v="5"/>
    <x v="192"/>
    <x v="10"/>
    <x v="0"/>
    <x v="0"/>
    <x v="70"/>
    <x v="425"/>
  </r>
  <r>
    <x v="0"/>
    <n v="269"/>
    <x v="190"/>
    <x v="0"/>
    <s v="LM"/>
    <s v="S"/>
    <x v="163"/>
    <x v="5"/>
    <x v="99"/>
    <m/>
    <x v="78"/>
    <m/>
    <x v="20"/>
    <x v="0"/>
    <x v="69"/>
    <d v="2011-11-13T00:00:00"/>
    <x v="13"/>
    <x v="0"/>
    <m/>
    <s v="Galas 2011"/>
    <x v="0"/>
    <x v="0"/>
    <m/>
    <x v="0"/>
    <x v="5"/>
    <x v="192"/>
    <x v="20"/>
    <x v="0"/>
    <x v="0"/>
    <x v="69"/>
    <x v="426"/>
  </r>
  <r>
    <x v="0"/>
    <n v="269"/>
    <x v="190"/>
    <x v="0"/>
    <s v="LM"/>
    <s v="S"/>
    <x v="163"/>
    <x v="5"/>
    <x v="191"/>
    <m/>
    <x v="95"/>
    <m/>
    <x v="2"/>
    <x v="0"/>
    <x v="78"/>
    <m/>
    <x v="24"/>
    <x v="1"/>
    <m/>
    <m/>
    <x v="52"/>
    <x v="0"/>
    <m/>
    <x v="1"/>
    <x v="5"/>
    <x v="192"/>
    <x v="2"/>
    <x v="54"/>
    <x v="0"/>
    <x v="78"/>
    <x v="427"/>
  </r>
  <r>
    <x v="0"/>
    <n v="270"/>
    <x v="191"/>
    <x v="0"/>
    <s v="CM"/>
    <s v="N"/>
    <x v="164"/>
    <x v="2"/>
    <x v="133"/>
    <m/>
    <x v="101"/>
    <m/>
    <x v="3"/>
    <x v="0"/>
    <x v="108"/>
    <d v="2011-12-11T00:00:00"/>
    <x v="12"/>
    <x v="1"/>
    <s v="Sessão Competitiva de Curtas Metragens 2"/>
    <m/>
    <x v="0"/>
    <x v="0"/>
    <m/>
    <x v="0"/>
    <x v="0"/>
    <x v="193"/>
    <x v="3"/>
    <x v="0"/>
    <x v="1"/>
    <x v="108"/>
    <x v="428"/>
  </r>
  <r>
    <x v="0"/>
    <n v="271"/>
    <x v="192"/>
    <x v="0"/>
    <s v="LM"/>
    <s v="S"/>
    <x v="165"/>
    <x v="2"/>
    <x v="55"/>
    <m/>
    <x v="45"/>
    <m/>
    <x v="3"/>
    <x v="0"/>
    <x v="74"/>
    <d v="2011-05-25T00:00:00"/>
    <x v="6"/>
    <x v="0"/>
    <m/>
    <s v="10º Programa: As Escolhas de Alberto Seixas Santos"/>
    <x v="0"/>
    <x v="1"/>
    <m/>
    <x v="0"/>
    <x v="5"/>
    <x v="194"/>
    <x v="3"/>
    <x v="0"/>
    <x v="1"/>
    <x v="74"/>
    <x v="429"/>
  </r>
  <r>
    <x v="0"/>
    <n v="272"/>
    <x v="193"/>
    <x v="4"/>
    <s v=""/>
    <s v=""/>
    <x v="166"/>
    <x v="2"/>
    <x v="62"/>
    <m/>
    <x v="23"/>
    <m/>
    <x v="3"/>
    <x v="0"/>
    <x v="58"/>
    <d v="2011-03-06T00:00:00"/>
    <x v="19"/>
    <x v="0"/>
    <m/>
    <s v="Panorama do Cinema Português"/>
    <x v="0"/>
    <x v="0"/>
    <m/>
    <x v="0"/>
    <x v="7"/>
    <x v="195"/>
    <x v="3"/>
    <x v="0"/>
    <x v="1"/>
    <x v="58"/>
    <x v="430"/>
  </r>
  <r>
    <x v="0"/>
    <n v="272"/>
    <x v="193"/>
    <x v="4"/>
    <s v=""/>
    <s v=""/>
    <x v="166"/>
    <x v="2"/>
    <x v="58"/>
    <m/>
    <x v="47"/>
    <m/>
    <x v="3"/>
    <x v="0"/>
    <x v="53"/>
    <d v="2011-09-04T00:00:00"/>
    <x v="9"/>
    <x v="0"/>
    <m/>
    <m/>
    <x v="0"/>
    <x v="1"/>
    <m/>
    <x v="0"/>
    <x v="7"/>
    <x v="195"/>
    <x v="3"/>
    <x v="0"/>
    <x v="1"/>
    <x v="53"/>
    <x v="431"/>
  </r>
  <r>
    <x v="0"/>
    <n v="274"/>
    <x v="194"/>
    <x v="2"/>
    <s v="Série"/>
    <s v="S"/>
    <x v="167"/>
    <x v="2"/>
    <x v="192"/>
    <m/>
    <x v="140"/>
    <m/>
    <x v="3"/>
    <x v="0"/>
    <x v="140"/>
    <d v="2011-07-24T00:00:00"/>
    <x v="8"/>
    <x v="1"/>
    <s v="Competição Curtas Metragens"/>
    <m/>
    <x v="0"/>
    <x v="0"/>
    <m/>
    <x v="0"/>
    <x v="9"/>
    <x v="196"/>
    <x v="3"/>
    <x v="0"/>
    <x v="1"/>
    <x v="140"/>
    <x v="432"/>
  </r>
  <r>
    <x v="0"/>
    <n v="274"/>
    <x v="194"/>
    <x v="2"/>
    <s v="Série"/>
    <s v="S"/>
    <x v="167"/>
    <x v="2"/>
    <x v="22"/>
    <m/>
    <x v="22"/>
    <m/>
    <x v="3"/>
    <x v="0"/>
    <x v="20"/>
    <d v="2011-11-17T00:00:00"/>
    <x v="13"/>
    <x v="1"/>
    <s v="Sessão Competitiva 16"/>
    <s v="Caminhos Juniores"/>
    <x v="0"/>
    <x v="0"/>
    <m/>
    <x v="0"/>
    <x v="9"/>
    <x v="196"/>
    <x v="3"/>
    <x v="0"/>
    <x v="1"/>
    <x v="20"/>
    <x v="433"/>
  </r>
  <r>
    <x v="0"/>
    <n v="275"/>
    <x v="195"/>
    <x v="4"/>
    <s v=""/>
    <s v=""/>
    <x v="168"/>
    <x v="2"/>
    <x v="70"/>
    <m/>
    <x v="38"/>
    <m/>
    <x v="3"/>
    <x v="0"/>
    <x v="19"/>
    <d v="2011-09-11T00:00:00"/>
    <x v="9"/>
    <x v="1"/>
    <s v="3ª sessão Competitiva"/>
    <m/>
    <x v="0"/>
    <x v="0"/>
    <m/>
    <x v="0"/>
    <x v="7"/>
    <x v="197"/>
    <x v="3"/>
    <x v="0"/>
    <x v="1"/>
    <x v="19"/>
    <x v="434"/>
  </r>
  <r>
    <x v="0"/>
    <n v="276"/>
    <x v="196"/>
    <x v="0"/>
    <s v="CM"/>
    <s v="N"/>
    <x v="169"/>
    <x v="2"/>
    <x v="193"/>
    <m/>
    <x v="17"/>
    <m/>
    <x v="2"/>
    <x v="0"/>
    <x v="141"/>
    <d v="2011-04-03T00:00:00"/>
    <x v="5"/>
    <x v="1"/>
    <s v="Non-European Dramatic Short"/>
    <m/>
    <x v="53"/>
    <x v="0"/>
    <m/>
    <x v="1"/>
    <x v="0"/>
    <x v="198"/>
    <x v="2"/>
    <x v="55"/>
    <x v="0"/>
    <x v="141"/>
    <x v="435"/>
  </r>
  <r>
    <x v="0"/>
    <n v="276"/>
    <x v="196"/>
    <x v="0"/>
    <s v="CM"/>
    <s v="N"/>
    <x v="169"/>
    <x v="2"/>
    <x v="194"/>
    <m/>
    <x v="141"/>
    <m/>
    <x v="9"/>
    <x v="0"/>
    <x v="112"/>
    <m/>
    <x v="6"/>
    <x v="0"/>
    <m/>
    <m/>
    <x v="0"/>
    <x v="0"/>
    <m/>
    <x v="0"/>
    <x v="0"/>
    <x v="198"/>
    <x v="9"/>
    <x v="0"/>
    <x v="0"/>
    <x v="112"/>
    <x v="436"/>
  </r>
  <r>
    <x v="0"/>
    <n v="276"/>
    <x v="196"/>
    <x v="0"/>
    <s v="CM"/>
    <s v="N"/>
    <x v="169"/>
    <x v="2"/>
    <x v="65"/>
    <m/>
    <x v="51"/>
    <m/>
    <x v="14"/>
    <x v="0"/>
    <x v="61"/>
    <d v="2011-06-03T00:00:00"/>
    <x v="7"/>
    <x v="0"/>
    <m/>
    <m/>
    <x v="0"/>
    <x v="0"/>
    <m/>
    <x v="0"/>
    <x v="0"/>
    <x v="198"/>
    <x v="14"/>
    <x v="0"/>
    <x v="0"/>
    <x v="61"/>
    <x v="437"/>
  </r>
  <r>
    <x v="0"/>
    <n v="276"/>
    <x v="196"/>
    <x v="0"/>
    <s v="CM"/>
    <s v="N"/>
    <x v="169"/>
    <x v="2"/>
    <x v="192"/>
    <m/>
    <x v="140"/>
    <m/>
    <x v="3"/>
    <x v="0"/>
    <x v="142"/>
    <d v="2011-07-24T00:00:00"/>
    <x v="8"/>
    <x v="1"/>
    <s v="Competição Curtas Metragens"/>
    <m/>
    <x v="54"/>
    <x v="0"/>
    <m/>
    <x v="1"/>
    <x v="0"/>
    <x v="198"/>
    <x v="3"/>
    <x v="56"/>
    <x v="1"/>
    <x v="142"/>
    <x v="438"/>
  </r>
  <r>
    <x v="0"/>
    <n v="276"/>
    <x v="196"/>
    <x v="0"/>
    <s v="CM"/>
    <s v="N"/>
    <x v="169"/>
    <x v="2"/>
    <x v="195"/>
    <m/>
    <x v="65"/>
    <m/>
    <x v="9"/>
    <x v="0"/>
    <x v="143"/>
    <d v="2011-08-21T00:00:00"/>
    <x v="16"/>
    <x v="1"/>
    <m/>
    <m/>
    <x v="0"/>
    <x v="0"/>
    <m/>
    <x v="0"/>
    <x v="0"/>
    <x v="198"/>
    <x v="9"/>
    <x v="0"/>
    <x v="0"/>
    <x v="143"/>
    <x v="439"/>
  </r>
  <r>
    <x v="0"/>
    <n v="276"/>
    <x v="196"/>
    <x v="0"/>
    <s v="CM"/>
    <s v="N"/>
    <x v="169"/>
    <x v="2"/>
    <x v="196"/>
    <m/>
    <x v="65"/>
    <m/>
    <x v="9"/>
    <x v="0"/>
    <x v="144"/>
    <d v="2011-08-24T00:00:00"/>
    <x v="16"/>
    <x v="0"/>
    <m/>
    <m/>
    <x v="0"/>
    <x v="0"/>
    <m/>
    <x v="0"/>
    <x v="0"/>
    <x v="198"/>
    <x v="9"/>
    <x v="0"/>
    <x v="0"/>
    <x v="144"/>
    <x v="440"/>
  </r>
  <r>
    <x v="0"/>
    <n v="276"/>
    <x v="196"/>
    <x v="0"/>
    <s v="CM"/>
    <s v="N"/>
    <x v="169"/>
    <x v="2"/>
    <x v="78"/>
    <m/>
    <x v="59"/>
    <m/>
    <x v="3"/>
    <x v="0"/>
    <x v="66"/>
    <d v="2011-10-30T00:00:00"/>
    <x v="14"/>
    <x v="1"/>
    <s v="Competição Nacional"/>
    <m/>
    <x v="0"/>
    <x v="0"/>
    <m/>
    <x v="0"/>
    <x v="0"/>
    <x v="198"/>
    <x v="3"/>
    <x v="0"/>
    <x v="1"/>
    <x v="66"/>
    <x v="441"/>
  </r>
  <r>
    <x v="0"/>
    <n v="277"/>
    <x v="197"/>
    <x v="2"/>
    <s v="CM"/>
    <s v=""/>
    <x v="170"/>
    <x v="2"/>
    <x v="192"/>
    <m/>
    <x v="140"/>
    <m/>
    <x v="3"/>
    <x v="0"/>
    <x v="140"/>
    <d v="2011-07-24T00:00:00"/>
    <x v="8"/>
    <x v="1"/>
    <s v="Competição Curtas Metragens"/>
    <m/>
    <x v="0"/>
    <x v="0"/>
    <m/>
    <x v="0"/>
    <x v="4"/>
    <x v="199"/>
    <x v="3"/>
    <x v="0"/>
    <x v="1"/>
    <x v="140"/>
    <x v="442"/>
  </r>
  <r>
    <x v="0"/>
    <n v="277"/>
    <x v="197"/>
    <x v="2"/>
    <s v="CM"/>
    <s v=""/>
    <x v="170"/>
    <x v="2"/>
    <x v="22"/>
    <m/>
    <x v="22"/>
    <m/>
    <x v="3"/>
    <x v="0"/>
    <x v="20"/>
    <d v="2011-11-17T00:00:00"/>
    <x v="13"/>
    <x v="1"/>
    <s v="Sessão Competitiva 1"/>
    <m/>
    <x v="0"/>
    <x v="0"/>
    <m/>
    <x v="0"/>
    <x v="4"/>
    <x v="199"/>
    <x v="3"/>
    <x v="0"/>
    <x v="1"/>
    <x v="20"/>
    <x v="443"/>
  </r>
  <r>
    <x v="0"/>
    <n v="281"/>
    <x v="198"/>
    <x v="4"/>
    <s v=""/>
    <s v=""/>
    <x v="171"/>
    <x v="2"/>
    <x v="68"/>
    <m/>
    <x v="53"/>
    <m/>
    <x v="3"/>
    <x v="0"/>
    <x v="64"/>
    <d v="2011-07-17T00:00:00"/>
    <x v="8"/>
    <x v="1"/>
    <s v="Take One!"/>
    <m/>
    <x v="0"/>
    <x v="0"/>
    <m/>
    <x v="0"/>
    <x v="7"/>
    <x v="200"/>
    <x v="3"/>
    <x v="0"/>
    <x v="1"/>
    <x v="64"/>
    <x v="444"/>
  </r>
  <r>
    <x v="0"/>
    <n v="281"/>
    <x v="198"/>
    <x v="4"/>
    <s v=""/>
    <s v=""/>
    <x v="171"/>
    <x v="2"/>
    <x v="132"/>
    <m/>
    <x v="36"/>
    <m/>
    <x v="3"/>
    <x v="0"/>
    <x v="20"/>
    <m/>
    <x v="13"/>
    <x v="0"/>
    <m/>
    <m/>
    <x v="0"/>
    <x v="1"/>
    <m/>
    <x v="0"/>
    <x v="7"/>
    <x v="200"/>
    <x v="3"/>
    <x v="0"/>
    <x v="1"/>
    <x v="20"/>
    <x v="445"/>
  </r>
  <r>
    <x v="0"/>
    <n v="283"/>
    <x v="199"/>
    <x v="4"/>
    <s v=""/>
    <s v=""/>
    <x v="172"/>
    <x v="2"/>
    <x v="65"/>
    <m/>
    <x v="51"/>
    <m/>
    <x v="14"/>
    <x v="0"/>
    <x v="61"/>
    <d v="2011-06-03T00:00:00"/>
    <x v="7"/>
    <x v="0"/>
    <m/>
    <m/>
    <x v="0"/>
    <x v="0"/>
    <m/>
    <x v="0"/>
    <x v="7"/>
    <x v="201"/>
    <x v="14"/>
    <x v="0"/>
    <x v="0"/>
    <x v="61"/>
    <x v="446"/>
  </r>
  <r>
    <x v="0"/>
    <n v="283"/>
    <x v="199"/>
    <x v="4"/>
    <s v=""/>
    <s v=""/>
    <x v="172"/>
    <x v="2"/>
    <x v="67"/>
    <m/>
    <x v="23"/>
    <m/>
    <x v="3"/>
    <x v="0"/>
    <x v="63"/>
    <d v="2011-06-12T00:00:00"/>
    <x v="7"/>
    <x v="0"/>
    <m/>
    <s v="Sessão Não Competitiva 5"/>
    <x v="0"/>
    <x v="0"/>
    <m/>
    <x v="0"/>
    <x v="7"/>
    <x v="201"/>
    <x v="3"/>
    <x v="0"/>
    <x v="1"/>
    <x v="63"/>
    <x v="447"/>
  </r>
  <r>
    <x v="0"/>
    <n v="283"/>
    <x v="199"/>
    <x v="4"/>
    <s v=""/>
    <s v=""/>
    <x v="172"/>
    <x v="2"/>
    <x v="22"/>
    <m/>
    <x v="22"/>
    <m/>
    <x v="3"/>
    <x v="0"/>
    <x v="20"/>
    <d v="2011-11-17T00:00:00"/>
    <x v="13"/>
    <x v="1"/>
    <s v="Sessão Competitiva 3"/>
    <m/>
    <x v="0"/>
    <x v="0"/>
    <m/>
    <x v="0"/>
    <x v="7"/>
    <x v="201"/>
    <x v="3"/>
    <x v="0"/>
    <x v="1"/>
    <x v="20"/>
    <x v="448"/>
  </r>
  <r>
    <x v="0"/>
    <n v="284"/>
    <x v="200"/>
    <x v="2"/>
    <s v="CM"/>
    <s v="S"/>
    <x v="33"/>
    <x v="2"/>
    <x v="34"/>
    <m/>
    <x v="32"/>
    <m/>
    <x v="3"/>
    <x v="0"/>
    <x v="31"/>
    <d v="2011-05-15T00:00:00"/>
    <x v="6"/>
    <x v="0"/>
    <m/>
    <s v="Mostra de Curtas-metragens de Animação, Selecção FIKE"/>
    <x v="0"/>
    <x v="0"/>
    <m/>
    <x v="0"/>
    <x v="4"/>
    <x v="202"/>
    <x v="3"/>
    <x v="0"/>
    <x v="1"/>
    <x v="31"/>
    <x v="449"/>
  </r>
  <r>
    <x v="0"/>
    <n v="284"/>
    <x v="200"/>
    <x v="2"/>
    <s v="CM"/>
    <s v="S"/>
    <x v="33"/>
    <x v="2"/>
    <x v="76"/>
    <m/>
    <x v="58"/>
    <m/>
    <x v="17"/>
    <x v="0"/>
    <x v="67"/>
    <d v="2011-11-30T00:00:00"/>
    <x v="13"/>
    <x v="0"/>
    <m/>
    <m/>
    <x v="0"/>
    <x v="0"/>
    <m/>
    <x v="0"/>
    <x v="4"/>
    <x v="202"/>
    <x v="17"/>
    <x v="0"/>
    <x v="0"/>
    <x v="67"/>
    <x v="450"/>
  </r>
  <r>
    <x v="0"/>
    <n v="285"/>
    <x v="201"/>
    <x v="2"/>
    <s v="CM"/>
    <s v="S"/>
    <x v="173"/>
    <x v="1"/>
    <x v="34"/>
    <m/>
    <x v="32"/>
    <m/>
    <x v="3"/>
    <x v="0"/>
    <x v="31"/>
    <d v="2011-05-15T00:00:00"/>
    <x v="6"/>
    <x v="1"/>
    <m/>
    <m/>
    <x v="0"/>
    <x v="0"/>
    <m/>
    <x v="0"/>
    <x v="4"/>
    <x v="203"/>
    <x v="3"/>
    <x v="0"/>
    <x v="1"/>
    <x v="31"/>
    <x v="451"/>
  </r>
  <r>
    <x v="0"/>
    <n v="285"/>
    <x v="201"/>
    <x v="2"/>
    <s v="CM"/>
    <s v="S"/>
    <x v="173"/>
    <x v="1"/>
    <x v="21"/>
    <m/>
    <x v="21"/>
    <m/>
    <x v="3"/>
    <x v="0"/>
    <x v="15"/>
    <d v="2011-12-03T00:00:00"/>
    <x v="12"/>
    <x v="1"/>
    <s v="Curtas Animação"/>
    <m/>
    <x v="0"/>
    <x v="0"/>
    <m/>
    <x v="0"/>
    <x v="4"/>
    <x v="203"/>
    <x v="3"/>
    <x v="0"/>
    <x v="1"/>
    <x v="15"/>
    <x v="452"/>
  </r>
  <r>
    <x v="0"/>
    <n v="285"/>
    <x v="201"/>
    <x v="2"/>
    <s v="CM"/>
    <s v="S"/>
    <x v="173"/>
    <x v="1"/>
    <x v="37"/>
    <m/>
    <x v="35"/>
    <m/>
    <x v="2"/>
    <x v="0"/>
    <x v="15"/>
    <d v="2011-12-04T00:00:00"/>
    <x v="12"/>
    <x v="0"/>
    <m/>
    <s v="Festivals partennaires - Mostra AVANCA Portugal"/>
    <x v="0"/>
    <x v="0"/>
    <m/>
    <x v="0"/>
    <x v="4"/>
    <x v="203"/>
    <x v="2"/>
    <x v="0"/>
    <x v="0"/>
    <x v="15"/>
    <x v="453"/>
  </r>
  <r>
    <x v="0"/>
    <n v="287"/>
    <x v="202"/>
    <x v="4"/>
    <s v=""/>
    <s v=""/>
    <x v="174"/>
    <x v="2"/>
    <x v="34"/>
    <m/>
    <x v="32"/>
    <m/>
    <x v="3"/>
    <x v="0"/>
    <x v="31"/>
    <d v="2011-05-15T00:00:00"/>
    <x v="6"/>
    <x v="1"/>
    <m/>
    <m/>
    <x v="0"/>
    <x v="0"/>
    <m/>
    <x v="0"/>
    <x v="7"/>
    <x v="204"/>
    <x v="3"/>
    <x v="0"/>
    <x v="1"/>
    <x v="31"/>
    <x v="454"/>
  </r>
  <r>
    <x v="0"/>
    <n v="288"/>
    <x v="203"/>
    <x v="0"/>
    <s v="LM"/>
    <s v="S"/>
    <x v="18"/>
    <x v="18"/>
    <x v="197"/>
    <m/>
    <x v="142"/>
    <m/>
    <x v="1"/>
    <x v="0"/>
    <x v="145"/>
    <m/>
    <x v="1"/>
    <x v="0"/>
    <m/>
    <m/>
    <x v="0"/>
    <x v="1"/>
    <m/>
    <x v="0"/>
    <x v="5"/>
    <x v="205"/>
    <x v="1"/>
    <x v="0"/>
    <x v="0"/>
    <x v="145"/>
    <x v="455"/>
  </r>
  <r>
    <x v="0"/>
    <n v="288"/>
    <x v="203"/>
    <x v="0"/>
    <s v="LM"/>
    <s v="S"/>
    <x v="18"/>
    <x v="18"/>
    <x v="47"/>
    <m/>
    <x v="42"/>
    <m/>
    <x v="12"/>
    <x v="0"/>
    <x v="42"/>
    <d v="2011-05-22T00:00:00"/>
    <x v="6"/>
    <x v="0"/>
    <m/>
    <m/>
    <x v="0"/>
    <x v="1"/>
    <m/>
    <x v="0"/>
    <x v="5"/>
    <x v="205"/>
    <x v="12"/>
    <x v="0"/>
    <x v="0"/>
    <x v="42"/>
    <x v="456"/>
  </r>
  <r>
    <x v="0"/>
    <n v="288"/>
    <x v="203"/>
    <x v="0"/>
    <s v="LM"/>
    <s v="S"/>
    <x v="18"/>
    <x v="18"/>
    <x v="198"/>
    <m/>
    <x v="143"/>
    <m/>
    <x v="43"/>
    <x v="3"/>
    <x v="78"/>
    <m/>
    <x v="7"/>
    <x v="0"/>
    <m/>
    <m/>
    <x v="0"/>
    <x v="1"/>
    <s v="Junho"/>
    <x v="0"/>
    <x v="5"/>
    <x v="205"/>
    <x v="43"/>
    <x v="0"/>
    <x v="0"/>
    <x v="78"/>
    <x v="457"/>
  </r>
  <r>
    <x v="0"/>
    <n v="291"/>
    <x v="204"/>
    <x v="2"/>
    <s v="CM"/>
    <s v="N"/>
    <x v="175"/>
    <x v="2"/>
    <x v="27"/>
    <m/>
    <x v="25"/>
    <m/>
    <x v="3"/>
    <x v="0"/>
    <x v="25"/>
    <d v="2011-11-13T00:00:00"/>
    <x v="13"/>
    <x v="1"/>
    <s v="Prémio Jovem Cineasta Português (+18 anos)"/>
    <m/>
    <x v="55"/>
    <x v="0"/>
    <m/>
    <x v="1"/>
    <x v="4"/>
    <x v="206"/>
    <x v="3"/>
    <x v="57"/>
    <x v="1"/>
    <x v="25"/>
    <x v="458"/>
  </r>
  <r>
    <x v="0"/>
    <n v="292"/>
    <x v="205"/>
    <x v="0"/>
    <s v="CM"/>
    <s v="S"/>
    <x v="38"/>
    <x v="1"/>
    <x v="199"/>
    <m/>
    <x v="144"/>
    <m/>
    <x v="5"/>
    <x v="0"/>
    <x v="146"/>
    <d v="2011-01-23T00:00:00"/>
    <x v="15"/>
    <x v="0"/>
    <m/>
    <s v="Special Augenblicke: Internationale Kurzfilme"/>
    <x v="0"/>
    <x v="0"/>
    <m/>
    <x v="0"/>
    <x v="0"/>
    <x v="207"/>
    <x v="5"/>
    <x v="0"/>
    <x v="0"/>
    <x v="146"/>
    <x v="459"/>
  </r>
  <r>
    <x v="0"/>
    <n v="292"/>
    <x v="205"/>
    <x v="0"/>
    <s v="CM"/>
    <s v="S"/>
    <x v="38"/>
    <x v="1"/>
    <x v="84"/>
    <m/>
    <x v="40"/>
    <m/>
    <x v="3"/>
    <x v="0"/>
    <x v="125"/>
    <m/>
    <x v="2"/>
    <x v="0"/>
    <m/>
    <m/>
    <x v="0"/>
    <x v="1"/>
    <m/>
    <x v="0"/>
    <x v="0"/>
    <x v="207"/>
    <x v="3"/>
    <x v="0"/>
    <x v="1"/>
    <x v="125"/>
    <x v="460"/>
  </r>
  <r>
    <x v="0"/>
    <n v="292"/>
    <x v="205"/>
    <x v="0"/>
    <s v="CM"/>
    <s v="S"/>
    <x v="38"/>
    <x v="1"/>
    <x v="19"/>
    <m/>
    <x v="19"/>
    <m/>
    <x v="0"/>
    <x v="0"/>
    <x v="18"/>
    <d v="2011-05-15T00:00:00"/>
    <x v="6"/>
    <x v="0"/>
    <m/>
    <s v="Mostras Paralelas - FAIAL FILMES FEST"/>
    <x v="0"/>
    <x v="0"/>
    <m/>
    <x v="0"/>
    <x v="0"/>
    <x v="207"/>
    <x v="0"/>
    <x v="0"/>
    <x v="0"/>
    <x v="18"/>
    <x v="461"/>
  </r>
  <r>
    <x v="0"/>
    <n v="293"/>
    <x v="206"/>
    <x v="2"/>
    <s v="CM"/>
    <s v="S"/>
    <x v="176"/>
    <x v="2"/>
    <x v="30"/>
    <m/>
    <x v="28"/>
    <m/>
    <x v="8"/>
    <x v="0"/>
    <x v="28"/>
    <d v="2011-03-20T00:00:00"/>
    <x v="2"/>
    <x v="0"/>
    <m/>
    <s v="A Portuguesa 2- Out of Touch"/>
    <x v="0"/>
    <x v="0"/>
    <m/>
    <x v="0"/>
    <x v="4"/>
    <x v="208"/>
    <x v="8"/>
    <x v="0"/>
    <x v="0"/>
    <x v="28"/>
    <x v="462"/>
  </r>
  <r>
    <x v="0"/>
    <n v="293"/>
    <x v="206"/>
    <x v="2"/>
    <s v="CM"/>
    <s v="S"/>
    <x v="176"/>
    <x v="2"/>
    <x v="200"/>
    <m/>
    <x v="145"/>
    <m/>
    <x v="2"/>
    <x v="0"/>
    <x v="147"/>
    <d v="2011-03-27T00:00:00"/>
    <x v="2"/>
    <x v="0"/>
    <m/>
    <s v="Best of Animé Européen"/>
    <x v="0"/>
    <x v="0"/>
    <m/>
    <x v="0"/>
    <x v="4"/>
    <x v="208"/>
    <x v="2"/>
    <x v="0"/>
    <x v="0"/>
    <x v="147"/>
    <x v="463"/>
  </r>
  <r>
    <x v="0"/>
    <n v="293"/>
    <x v="206"/>
    <x v="2"/>
    <s v="CM"/>
    <s v="S"/>
    <x v="176"/>
    <x v="2"/>
    <x v="124"/>
    <m/>
    <x v="95"/>
    <m/>
    <x v="2"/>
    <x v="0"/>
    <x v="9"/>
    <d v="2011-07-09T00:00:00"/>
    <x v="8"/>
    <x v="0"/>
    <m/>
    <s v="L'Animation à l'Honneur - Programmation Casa da Animação 2nde Partie"/>
    <x v="0"/>
    <x v="1"/>
    <m/>
    <x v="0"/>
    <x v="4"/>
    <x v="208"/>
    <x v="2"/>
    <x v="0"/>
    <x v="0"/>
    <x v="9"/>
    <x v="464"/>
  </r>
  <r>
    <x v="0"/>
    <n v="293"/>
    <x v="206"/>
    <x v="2"/>
    <s v="CM"/>
    <s v="S"/>
    <x v="176"/>
    <x v="2"/>
    <x v="76"/>
    <m/>
    <x v="58"/>
    <m/>
    <x v="17"/>
    <x v="0"/>
    <x v="67"/>
    <d v="2011-11-30T00:00:00"/>
    <x v="13"/>
    <x v="0"/>
    <m/>
    <m/>
    <x v="0"/>
    <x v="0"/>
    <m/>
    <x v="0"/>
    <x v="4"/>
    <x v="208"/>
    <x v="17"/>
    <x v="0"/>
    <x v="0"/>
    <x v="67"/>
    <x v="465"/>
  </r>
  <r>
    <x v="0"/>
    <n v="294"/>
    <x v="207"/>
    <x v="0"/>
    <s v="CM"/>
    <s v="S"/>
    <x v="0"/>
    <x v="15"/>
    <x v="0"/>
    <m/>
    <x v="0"/>
    <m/>
    <x v="0"/>
    <x v="0"/>
    <x v="0"/>
    <d v="2011-11-06T00:00:00"/>
    <x v="0"/>
    <x v="0"/>
    <m/>
    <s v="Foco Portugal : Programa Aguilar+Gomes"/>
    <x v="0"/>
    <x v="0"/>
    <m/>
    <x v="0"/>
    <x v="0"/>
    <x v="209"/>
    <x v="0"/>
    <x v="0"/>
    <x v="0"/>
    <x v="0"/>
    <x v="466"/>
  </r>
  <r>
    <x v="0"/>
    <n v="294"/>
    <x v="207"/>
    <x v="0"/>
    <s v="CM"/>
    <s v="S"/>
    <x v="0"/>
    <x v="15"/>
    <x v="76"/>
    <m/>
    <x v="58"/>
    <m/>
    <x v="17"/>
    <x v="0"/>
    <x v="67"/>
    <d v="2011-11-30T00:00:00"/>
    <x v="13"/>
    <x v="0"/>
    <m/>
    <m/>
    <x v="0"/>
    <x v="0"/>
    <m/>
    <x v="0"/>
    <x v="0"/>
    <x v="209"/>
    <x v="17"/>
    <x v="0"/>
    <x v="0"/>
    <x v="67"/>
    <x v="467"/>
  </r>
  <r>
    <x v="0"/>
    <n v="296"/>
    <x v="208"/>
    <x v="0"/>
    <s v="LM"/>
    <s v="S"/>
    <x v="177"/>
    <x v="2"/>
    <x v="62"/>
    <m/>
    <x v="23"/>
    <m/>
    <x v="3"/>
    <x v="0"/>
    <x v="58"/>
    <d v="2011-03-06T00:00:00"/>
    <x v="19"/>
    <x v="0"/>
    <m/>
    <s v="Filmes da Escola Soares dos Reis"/>
    <x v="0"/>
    <x v="0"/>
    <m/>
    <x v="0"/>
    <x v="5"/>
    <x v="210"/>
    <x v="3"/>
    <x v="0"/>
    <x v="1"/>
    <x v="58"/>
    <x v="468"/>
  </r>
  <r>
    <x v="0"/>
    <n v="297"/>
    <x v="209"/>
    <x v="0"/>
    <s v="LM"/>
    <s v="S"/>
    <x v="142"/>
    <x v="20"/>
    <x v="3"/>
    <m/>
    <x v="3"/>
    <m/>
    <x v="2"/>
    <x v="0"/>
    <x v="3"/>
    <d v="2011-04-03T00:00:00"/>
    <x v="3"/>
    <x v="0"/>
    <m/>
    <s v="Au Sud de l'Europe - Portugal"/>
    <x v="0"/>
    <x v="0"/>
    <m/>
    <x v="0"/>
    <x v="5"/>
    <x v="211"/>
    <x v="2"/>
    <x v="0"/>
    <x v="0"/>
    <x v="3"/>
    <x v="469"/>
  </r>
  <r>
    <x v="0"/>
    <n v="297"/>
    <x v="209"/>
    <x v="0"/>
    <s v="LM"/>
    <s v="S"/>
    <x v="142"/>
    <x v="20"/>
    <x v="201"/>
    <m/>
    <x v="146"/>
    <m/>
    <x v="15"/>
    <x v="0"/>
    <x v="148"/>
    <m/>
    <x v="12"/>
    <x v="0"/>
    <m/>
    <m/>
    <x v="0"/>
    <x v="1"/>
    <m/>
    <x v="0"/>
    <x v="5"/>
    <x v="211"/>
    <x v="15"/>
    <x v="0"/>
    <x v="0"/>
    <x v="148"/>
    <x v="470"/>
  </r>
  <r>
    <x v="0"/>
    <n v="297"/>
    <x v="209"/>
    <x v="0"/>
    <s v="LM"/>
    <s v="S"/>
    <x v="142"/>
    <x v="20"/>
    <x v="202"/>
    <m/>
    <x v="42"/>
    <m/>
    <x v="12"/>
    <x v="4"/>
    <x v="78"/>
    <m/>
    <x v="15"/>
    <x v="0"/>
    <m/>
    <m/>
    <x v="0"/>
    <x v="1"/>
    <s v="Janeiro"/>
    <x v="0"/>
    <x v="5"/>
    <x v="211"/>
    <x v="12"/>
    <x v="0"/>
    <x v="0"/>
    <x v="78"/>
    <x v="471"/>
  </r>
  <r>
    <x v="0"/>
    <n v="298"/>
    <x v="210"/>
    <x v="0"/>
    <s v="CM"/>
    <s v="N"/>
    <x v="178"/>
    <x v="5"/>
    <x v="62"/>
    <m/>
    <x v="23"/>
    <m/>
    <x v="3"/>
    <x v="0"/>
    <x v="58"/>
    <d v="2011-03-06T00:00:00"/>
    <x v="19"/>
    <x v="0"/>
    <m/>
    <s v="Panorama do Cinema Português"/>
    <x v="0"/>
    <x v="0"/>
    <m/>
    <x v="0"/>
    <x v="0"/>
    <x v="212"/>
    <x v="3"/>
    <x v="0"/>
    <x v="1"/>
    <x v="58"/>
    <x v="472"/>
  </r>
  <r>
    <x v="0"/>
    <n v="298"/>
    <x v="210"/>
    <x v="0"/>
    <s v="CM"/>
    <s v="N"/>
    <x v="178"/>
    <x v="5"/>
    <x v="78"/>
    <m/>
    <x v="59"/>
    <m/>
    <x v="3"/>
    <x v="0"/>
    <x v="66"/>
    <d v="2011-10-30T00:00:00"/>
    <x v="14"/>
    <x v="1"/>
    <s v="Competição Nacional"/>
    <m/>
    <x v="0"/>
    <x v="0"/>
    <m/>
    <x v="0"/>
    <x v="0"/>
    <x v="212"/>
    <x v="3"/>
    <x v="0"/>
    <x v="1"/>
    <x v="66"/>
    <x v="473"/>
  </r>
  <r>
    <x v="0"/>
    <n v="298"/>
    <x v="210"/>
    <x v="0"/>
    <s v="CM"/>
    <s v="N"/>
    <x v="178"/>
    <x v="5"/>
    <x v="0"/>
    <m/>
    <x v="0"/>
    <m/>
    <x v="0"/>
    <x v="0"/>
    <x v="0"/>
    <d v="2011-11-06T00:00:00"/>
    <x v="0"/>
    <x v="0"/>
    <m/>
    <s v="Foco Portugal: Programa IndieLisboa"/>
    <x v="0"/>
    <x v="0"/>
    <m/>
    <x v="0"/>
    <x v="0"/>
    <x v="212"/>
    <x v="0"/>
    <x v="0"/>
    <x v="0"/>
    <x v="0"/>
    <x v="474"/>
  </r>
  <r>
    <x v="0"/>
    <n v="298"/>
    <x v="210"/>
    <x v="0"/>
    <s v="CM"/>
    <s v="N"/>
    <x v="178"/>
    <x v="5"/>
    <x v="133"/>
    <m/>
    <x v="101"/>
    <m/>
    <x v="3"/>
    <x v="0"/>
    <x v="108"/>
    <d v="2011-12-11T00:00:00"/>
    <x v="12"/>
    <x v="0"/>
    <m/>
    <s v="Sangue Novo - Carlos Conceição"/>
    <x v="0"/>
    <x v="0"/>
    <m/>
    <x v="0"/>
    <x v="0"/>
    <x v="212"/>
    <x v="3"/>
    <x v="0"/>
    <x v="1"/>
    <x v="108"/>
    <x v="475"/>
  </r>
  <r>
    <x v="0"/>
    <n v="299"/>
    <x v="211"/>
    <x v="1"/>
    <s v="LM"/>
    <s v="N"/>
    <x v="179"/>
    <x v="3"/>
    <x v="188"/>
    <m/>
    <x v="0"/>
    <m/>
    <x v="0"/>
    <x v="0"/>
    <x v="77"/>
    <d v="2011-10-18T00:00:00"/>
    <x v="14"/>
    <x v="0"/>
    <m/>
    <s v="Première Latina"/>
    <x v="0"/>
    <x v="0"/>
    <m/>
    <x v="0"/>
    <x v="1"/>
    <x v="213"/>
    <x v="0"/>
    <x v="0"/>
    <x v="0"/>
    <x v="77"/>
    <x v="476"/>
  </r>
  <r>
    <x v="0"/>
    <n v="299"/>
    <x v="211"/>
    <x v="1"/>
    <s v="LM"/>
    <s v="N"/>
    <x v="179"/>
    <x v="3"/>
    <x v="179"/>
    <m/>
    <x v="133"/>
    <m/>
    <x v="0"/>
    <x v="0"/>
    <x v="127"/>
    <d v="2011-11-03T00:00:00"/>
    <x v="0"/>
    <x v="1"/>
    <s v="Mostra Brasil - Longas Metragens"/>
    <m/>
    <x v="0"/>
    <x v="1"/>
    <m/>
    <x v="0"/>
    <x v="1"/>
    <x v="213"/>
    <x v="0"/>
    <x v="0"/>
    <x v="0"/>
    <x v="127"/>
    <x v="477"/>
  </r>
  <r>
    <x v="0"/>
    <n v="300"/>
    <x v="212"/>
    <x v="1"/>
    <s v="LM"/>
    <s v="S"/>
    <x v="180"/>
    <x v="2"/>
    <x v="145"/>
    <m/>
    <x v="111"/>
    <m/>
    <x v="33"/>
    <x v="0"/>
    <x v="117"/>
    <d v="2011-07-26T00:00:00"/>
    <x v="8"/>
    <x v="0"/>
    <m/>
    <m/>
    <x v="0"/>
    <x v="1"/>
    <m/>
    <x v="0"/>
    <x v="1"/>
    <x v="214"/>
    <x v="33"/>
    <x v="0"/>
    <x v="0"/>
    <x v="117"/>
    <x v="478"/>
  </r>
  <r>
    <x v="0"/>
    <n v="301"/>
    <x v="213"/>
    <x v="1"/>
    <s v="LM"/>
    <s v="S"/>
    <x v="181"/>
    <x v="5"/>
    <x v="25"/>
    <m/>
    <x v="24"/>
    <m/>
    <x v="3"/>
    <x v="0"/>
    <x v="23"/>
    <d v="2011-10-30T00:00:00"/>
    <x v="14"/>
    <x v="1"/>
    <s v="Competição Portuguesa - Médias e Longas"/>
    <m/>
    <x v="0"/>
    <x v="0"/>
    <m/>
    <x v="0"/>
    <x v="1"/>
    <x v="215"/>
    <x v="3"/>
    <x v="0"/>
    <x v="1"/>
    <x v="23"/>
    <x v="479"/>
  </r>
  <r>
    <x v="0"/>
    <n v="301"/>
    <x v="213"/>
    <x v="1"/>
    <s v="LM"/>
    <s v="S"/>
    <x v="181"/>
    <x v="5"/>
    <x v="21"/>
    <m/>
    <x v="21"/>
    <m/>
    <x v="3"/>
    <x v="0"/>
    <x v="15"/>
    <d v="2011-12-03T00:00:00"/>
    <x v="12"/>
    <x v="1"/>
    <s v="Documentários (média e longa metragem)"/>
    <m/>
    <x v="0"/>
    <x v="0"/>
    <m/>
    <x v="0"/>
    <x v="1"/>
    <x v="215"/>
    <x v="3"/>
    <x v="0"/>
    <x v="1"/>
    <x v="15"/>
    <x v="480"/>
  </r>
  <r>
    <x v="0"/>
    <n v="302"/>
    <x v="214"/>
    <x v="3"/>
    <s v="CM"/>
    <s v="N"/>
    <x v="182"/>
    <x v="5"/>
    <x v="146"/>
    <m/>
    <x v="24"/>
    <m/>
    <x v="3"/>
    <x v="0"/>
    <x v="112"/>
    <d v="2011-05-15T00:00:00"/>
    <x v="6"/>
    <x v="0"/>
    <m/>
    <s v="Cinema Emergente"/>
    <x v="0"/>
    <x v="0"/>
    <m/>
    <x v="0"/>
    <x v="6"/>
    <x v="216"/>
    <x v="3"/>
    <x v="0"/>
    <x v="1"/>
    <x v="112"/>
    <x v="481"/>
  </r>
  <r>
    <x v="0"/>
    <n v="303"/>
    <x v="215"/>
    <x v="0"/>
    <s v="CM"/>
    <s v="N"/>
    <x v="183"/>
    <x v="2"/>
    <x v="146"/>
    <m/>
    <x v="24"/>
    <m/>
    <x v="3"/>
    <x v="0"/>
    <x v="112"/>
    <d v="2011-05-15T00:00:00"/>
    <x v="6"/>
    <x v="0"/>
    <m/>
    <s v="Cinema Emergente"/>
    <x v="0"/>
    <x v="0"/>
    <m/>
    <x v="0"/>
    <x v="0"/>
    <x v="217"/>
    <x v="3"/>
    <x v="0"/>
    <x v="1"/>
    <x v="112"/>
    <x v="482"/>
  </r>
  <r>
    <x v="0"/>
    <n v="303"/>
    <x v="215"/>
    <x v="0"/>
    <s v="CM"/>
    <s v="N"/>
    <x v="183"/>
    <x v="2"/>
    <x v="66"/>
    <m/>
    <x v="52"/>
    <m/>
    <x v="3"/>
    <x v="0"/>
    <x v="62"/>
    <d v="2011-06-12T00:00:00"/>
    <x v="7"/>
    <x v="0"/>
    <m/>
    <s v="Cinema Português"/>
    <x v="0"/>
    <x v="0"/>
    <m/>
    <x v="0"/>
    <x v="0"/>
    <x v="217"/>
    <x v="3"/>
    <x v="0"/>
    <x v="1"/>
    <x v="62"/>
    <x v="483"/>
  </r>
  <r>
    <x v="0"/>
    <n v="303"/>
    <x v="215"/>
    <x v="0"/>
    <s v="CM"/>
    <s v="N"/>
    <x v="183"/>
    <x v="2"/>
    <x v="161"/>
    <m/>
    <x v="35"/>
    <m/>
    <x v="2"/>
    <x v="0"/>
    <x v="127"/>
    <d v="2011-10-29T00:00:00"/>
    <x v="14"/>
    <x v="0"/>
    <m/>
    <s v="Courts Métrages Panorama"/>
    <x v="0"/>
    <x v="0"/>
    <m/>
    <x v="0"/>
    <x v="0"/>
    <x v="217"/>
    <x v="2"/>
    <x v="0"/>
    <x v="0"/>
    <x v="127"/>
    <x v="484"/>
  </r>
  <r>
    <x v="0"/>
    <n v="303"/>
    <x v="215"/>
    <x v="0"/>
    <s v="CM"/>
    <s v="N"/>
    <x v="183"/>
    <x v="2"/>
    <x v="0"/>
    <m/>
    <x v="0"/>
    <m/>
    <x v="0"/>
    <x v="0"/>
    <x v="0"/>
    <d v="2011-11-06T00:00:00"/>
    <x v="0"/>
    <x v="0"/>
    <m/>
    <s v="Panorama Internacional"/>
    <x v="0"/>
    <x v="0"/>
    <m/>
    <x v="0"/>
    <x v="0"/>
    <x v="217"/>
    <x v="0"/>
    <x v="0"/>
    <x v="0"/>
    <x v="0"/>
    <x v="485"/>
  </r>
  <r>
    <x v="0"/>
    <n v="303"/>
    <x v="215"/>
    <x v="0"/>
    <s v="CM"/>
    <s v="N"/>
    <x v="183"/>
    <x v="2"/>
    <x v="22"/>
    <m/>
    <x v="22"/>
    <m/>
    <x v="3"/>
    <x v="0"/>
    <x v="20"/>
    <d v="2011-11-17T00:00:00"/>
    <x v="13"/>
    <x v="1"/>
    <s v="Sessão Competitiva 11"/>
    <m/>
    <x v="0"/>
    <x v="0"/>
    <m/>
    <x v="0"/>
    <x v="0"/>
    <x v="217"/>
    <x v="3"/>
    <x v="0"/>
    <x v="1"/>
    <x v="20"/>
    <x v="486"/>
  </r>
  <r>
    <x v="0"/>
    <n v="303"/>
    <x v="215"/>
    <x v="0"/>
    <s v="CM"/>
    <s v="N"/>
    <x v="183"/>
    <x v="2"/>
    <x v="133"/>
    <m/>
    <x v="101"/>
    <m/>
    <x v="3"/>
    <x v="0"/>
    <x v="108"/>
    <d v="2011-12-11T00:00:00"/>
    <x v="12"/>
    <x v="1"/>
    <s v="Sessão Competitiva de Curtas Metragens 4"/>
    <m/>
    <x v="0"/>
    <x v="0"/>
    <m/>
    <x v="0"/>
    <x v="0"/>
    <x v="217"/>
    <x v="3"/>
    <x v="0"/>
    <x v="1"/>
    <x v="108"/>
    <x v="487"/>
  </r>
  <r>
    <x v="0"/>
    <n v="305"/>
    <x v="216"/>
    <x v="0"/>
    <s v="CM"/>
    <s v="S"/>
    <x v="184"/>
    <x v="1"/>
    <x v="169"/>
    <m/>
    <x v="129"/>
    <m/>
    <x v="1"/>
    <x v="0"/>
    <x v="97"/>
    <d v="2011-05-14T00:00:00"/>
    <x v="6"/>
    <x v="1"/>
    <s v="Certamen de cortometrajes"/>
    <m/>
    <x v="0"/>
    <x v="0"/>
    <m/>
    <x v="0"/>
    <x v="0"/>
    <x v="218"/>
    <x v="1"/>
    <x v="0"/>
    <x v="0"/>
    <x v="97"/>
    <x v="488"/>
  </r>
  <r>
    <x v="0"/>
    <n v="305"/>
    <x v="216"/>
    <x v="0"/>
    <s v="CM"/>
    <s v="S"/>
    <x v="184"/>
    <x v="1"/>
    <x v="110"/>
    <m/>
    <x v="85"/>
    <m/>
    <x v="23"/>
    <x v="0"/>
    <x v="95"/>
    <m/>
    <x v="7"/>
    <x v="0"/>
    <m/>
    <m/>
    <x v="0"/>
    <x v="1"/>
    <m/>
    <x v="0"/>
    <x v="0"/>
    <x v="218"/>
    <x v="23"/>
    <x v="0"/>
    <x v="0"/>
    <x v="95"/>
    <x v="489"/>
  </r>
  <r>
    <x v="0"/>
    <n v="306"/>
    <x v="217"/>
    <x v="0"/>
    <s v="CM"/>
    <s v="N"/>
    <x v="185"/>
    <x v="3"/>
    <x v="203"/>
    <m/>
    <x v="65"/>
    <m/>
    <x v="9"/>
    <x v="0"/>
    <x v="66"/>
    <m/>
    <x v="14"/>
    <x v="0"/>
    <m/>
    <m/>
    <x v="0"/>
    <x v="1"/>
    <m/>
    <x v="0"/>
    <x v="0"/>
    <x v="219"/>
    <x v="9"/>
    <x v="0"/>
    <x v="0"/>
    <x v="66"/>
    <x v="490"/>
  </r>
  <r>
    <x v="0"/>
    <n v="306"/>
    <x v="217"/>
    <x v="0"/>
    <s v="CM"/>
    <s v="N"/>
    <x v="185"/>
    <x v="3"/>
    <x v="14"/>
    <m/>
    <x v="14"/>
    <m/>
    <x v="3"/>
    <x v="0"/>
    <x v="13"/>
    <d v="2011-11-05T00:00:00"/>
    <x v="0"/>
    <x v="1"/>
    <s v="Competição Curtas Metragens"/>
    <m/>
    <x v="0"/>
    <x v="0"/>
    <m/>
    <x v="0"/>
    <x v="0"/>
    <x v="219"/>
    <x v="3"/>
    <x v="0"/>
    <x v="1"/>
    <x v="13"/>
    <x v="491"/>
  </r>
  <r>
    <x v="0"/>
    <n v="306"/>
    <x v="217"/>
    <x v="0"/>
    <s v="CM"/>
    <s v="N"/>
    <x v="185"/>
    <x v="3"/>
    <x v="21"/>
    <m/>
    <x v="21"/>
    <m/>
    <x v="3"/>
    <x v="0"/>
    <x v="15"/>
    <d v="2011-12-03T00:00:00"/>
    <x v="12"/>
    <x v="1"/>
    <s v="Curtas Ficção"/>
    <m/>
    <x v="0"/>
    <x v="0"/>
    <m/>
    <x v="0"/>
    <x v="0"/>
    <x v="219"/>
    <x v="3"/>
    <x v="0"/>
    <x v="1"/>
    <x v="15"/>
    <x v="492"/>
  </r>
  <r>
    <x v="0"/>
    <n v="306"/>
    <x v="217"/>
    <x v="0"/>
    <s v="CM"/>
    <s v="N"/>
    <x v="185"/>
    <x v="3"/>
    <x v="204"/>
    <m/>
    <x v="117"/>
    <m/>
    <x v="9"/>
    <x v="0"/>
    <x v="78"/>
    <m/>
    <x v="24"/>
    <x v="1"/>
    <s v="Narrative Short"/>
    <m/>
    <x v="56"/>
    <x v="2"/>
    <m/>
    <x v="1"/>
    <x v="0"/>
    <x v="219"/>
    <x v="9"/>
    <x v="58"/>
    <x v="0"/>
    <x v="78"/>
    <x v="493"/>
  </r>
  <r>
    <x v="0"/>
    <n v="307"/>
    <x v="218"/>
    <x v="0"/>
    <s v="CM"/>
    <s v="N "/>
    <x v="186"/>
    <x v="2"/>
    <x v="205"/>
    <m/>
    <x v="147"/>
    <m/>
    <x v="1"/>
    <x v="0"/>
    <x v="149"/>
    <d v="2011-01-30T00:00:00"/>
    <x v="15"/>
    <x v="0"/>
    <m/>
    <s v="OFF Zinegoak"/>
    <x v="0"/>
    <x v="0"/>
    <m/>
    <x v="0"/>
    <x v="0"/>
    <x v="220"/>
    <x v="1"/>
    <x v="0"/>
    <x v="0"/>
    <x v="149"/>
    <x v="494"/>
  </r>
  <r>
    <x v="0"/>
    <n v="309"/>
    <x v="219"/>
    <x v="0"/>
    <s v="CM"/>
    <s v="N"/>
    <x v="120"/>
    <x v="3"/>
    <x v="206"/>
    <m/>
    <x v="24"/>
    <m/>
    <x v="3"/>
    <x v="0"/>
    <x v="150"/>
    <m/>
    <x v="7"/>
    <x v="0"/>
    <m/>
    <m/>
    <x v="0"/>
    <x v="1"/>
    <m/>
    <x v="0"/>
    <x v="0"/>
    <x v="221"/>
    <x v="3"/>
    <x v="0"/>
    <x v="1"/>
    <x v="150"/>
    <x v="495"/>
  </r>
  <r>
    <x v="0"/>
    <n v="311"/>
    <x v="220"/>
    <x v="4"/>
    <s v=""/>
    <s v=""/>
    <x v="187"/>
    <x v="2"/>
    <x v="22"/>
    <m/>
    <x v="22"/>
    <m/>
    <x v="3"/>
    <x v="0"/>
    <x v="20"/>
    <d v="2011-11-17T00:00:00"/>
    <x v="13"/>
    <x v="1"/>
    <s v="Sessão Competitiva 3"/>
    <m/>
    <x v="0"/>
    <x v="0"/>
    <m/>
    <x v="0"/>
    <x v="7"/>
    <x v="222"/>
    <x v="3"/>
    <x v="0"/>
    <x v="1"/>
    <x v="20"/>
    <x v="496"/>
  </r>
  <r>
    <x v="0"/>
    <n v="312"/>
    <x v="221"/>
    <x v="4"/>
    <s v=""/>
    <s v=""/>
    <x v="188"/>
    <x v="2"/>
    <x v="93"/>
    <m/>
    <x v="72"/>
    <m/>
    <x v="15"/>
    <x v="0"/>
    <x v="84"/>
    <d v="2011-09-03T00:00:00"/>
    <x v="9"/>
    <x v="1"/>
    <s v="Off International 3"/>
    <m/>
    <x v="0"/>
    <x v="0"/>
    <m/>
    <x v="0"/>
    <x v="7"/>
    <x v="223"/>
    <x v="15"/>
    <x v="0"/>
    <x v="0"/>
    <x v="84"/>
    <x v="497"/>
  </r>
  <r>
    <x v="0"/>
    <n v="313"/>
    <x v="222"/>
    <x v="4"/>
    <s v=""/>
    <s v=""/>
    <x v="189"/>
    <x v="2"/>
    <x v="26"/>
    <m/>
    <x v="24"/>
    <m/>
    <x v="3"/>
    <x v="0"/>
    <x v="24"/>
    <d v="2011-03-27T00:00:00"/>
    <x v="2"/>
    <x v="1"/>
    <s v="Curtíssimas"/>
    <m/>
    <x v="0"/>
    <x v="0"/>
    <m/>
    <x v="0"/>
    <x v="7"/>
    <x v="224"/>
    <x v="3"/>
    <x v="0"/>
    <x v="1"/>
    <x v="24"/>
    <x v="498"/>
  </r>
  <r>
    <x v="0"/>
    <n v="314"/>
    <x v="223"/>
    <x v="4"/>
    <s v=""/>
    <s v=""/>
    <x v="190"/>
    <x v="2"/>
    <x v="178"/>
    <m/>
    <x v="25"/>
    <m/>
    <x v="3"/>
    <x v="0"/>
    <x v="44"/>
    <d v="2011-07-03T00:00:00"/>
    <x v="17"/>
    <x v="1"/>
    <s v="Sessão Competitiva 1"/>
    <m/>
    <x v="0"/>
    <x v="0"/>
    <m/>
    <x v="0"/>
    <x v="7"/>
    <x v="225"/>
    <x v="3"/>
    <x v="0"/>
    <x v="1"/>
    <x v="44"/>
    <x v="499"/>
  </r>
  <r>
    <x v="0"/>
    <n v="315"/>
    <x v="224"/>
    <x v="0"/>
    <s v="CM"/>
    <s v="S"/>
    <x v="106"/>
    <x v="18"/>
    <x v="30"/>
    <m/>
    <x v="28"/>
    <m/>
    <x v="8"/>
    <x v="0"/>
    <x v="28"/>
    <d v="2011-03-20T00:00:00"/>
    <x v="2"/>
    <x v="0"/>
    <m/>
    <s v="A Portuguesa 2- Out of Touch"/>
    <x v="0"/>
    <x v="0"/>
    <m/>
    <x v="0"/>
    <x v="0"/>
    <x v="226"/>
    <x v="8"/>
    <x v="0"/>
    <x v="0"/>
    <x v="28"/>
    <x v="500"/>
  </r>
  <r>
    <x v="0"/>
    <n v="315"/>
    <x v="224"/>
    <x v="0"/>
    <s v="CM"/>
    <s v="S"/>
    <x v="106"/>
    <x v="18"/>
    <x v="84"/>
    <m/>
    <x v="40"/>
    <m/>
    <x v="3"/>
    <x v="0"/>
    <x v="125"/>
    <m/>
    <x v="2"/>
    <x v="0"/>
    <m/>
    <m/>
    <x v="0"/>
    <x v="1"/>
    <m/>
    <x v="0"/>
    <x v="0"/>
    <x v="226"/>
    <x v="3"/>
    <x v="0"/>
    <x v="1"/>
    <x v="125"/>
    <x v="501"/>
  </r>
  <r>
    <x v="0"/>
    <n v="315"/>
    <x v="224"/>
    <x v="0"/>
    <s v="CM"/>
    <s v="S"/>
    <x v="106"/>
    <x v="18"/>
    <x v="135"/>
    <m/>
    <x v="102"/>
    <m/>
    <x v="30"/>
    <x v="0"/>
    <x v="104"/>
    <d v="2011-06-01T00:00:00"/>
    <x v="22"/>
    <x v="0"/>
    <m/>
    <m/>
    <x v="0"/>
    <x v="1"/>
    <m/>
    <x v="0"/>
    <x v="0"/>
    <x v="226"/>
    <x v="30"/>
    <x v="0"/>
    <x v="0"/>
    <x v="104"/>
    <x v="502"/>
  </r>
  <r>
    <x v="0"/>
    <n v="315"/>
    <x v="224"/>
    <x v="0"/>
    <s v="CM"/>
    <s v="S"/>
    <x v="106"/>
    <x v="18"/>
    <x v="207"/>
    <m/>
    <x v="24"/>
    <m/>
    <x v="3"/>
    <x v="0"/>
    <x v="109"/>
    <d v="2011-08-14T00:00:00"/>
    <x v="25"/>
    <x v="0"/>
    <m/>
    <m/>
    <x v="0"/>
    <x v="1"/>
    <m/>
    <x v="0"/>
    <x v="0"/>
    <x v="226"/>
    <x v="3"/>
    <x v="0"/>
    <x v="1"/>
    <x v="109"/>
    <x v="503"/>
  </r>
  <r>
    <x v="0"/>
    <n v="316"/>
    <x v="225"/>
    <x v="2"/>
    <s v="CM"/>
    <s v="N"/>
    <x v="191"/>
    <x v="2"/>
    <x v="22"/>
    <m/>
    <x v="22"/>
    <m/>
    <x v="3"/>
    <x v="0"/>
    <x v="20"/>
    <d v="2011-11-17T00:00:00"/>
    <x v="13"/>
    <x v="1"/>
    <s v="Sessão Competitiva 15"/>
    <s v="Caminhos Juniores"/>
    <x v="0"/>
    <x v="0"/>
    <m/>
    <x v="0"/>
    <x v="4"/>
    <x v="227"/>
    <x v="3"/>
    <x v="0"/>
    <x v="1"/>
    <x v="20"/>
    <x v="504"/>
  </r>
  <r>
    <x v="0"/>
    <n v="317"/>
    <x v="226"/>
    <x v="4"/>
    <s v=""/>
    <s v=""/>
    <x v="192"/>
    <x v="2"/>
    <x v="120"/>
    <m/>
    <x v="83"/>
    <m/>
    <x v="3"/>
    <x v="0"/>
    <x v="16"/>
    <d v="2011-12-04T00:00:00"/>
    <x v="12"/>
    <x v="1"/>
    <s v="Cinéfilos: Animação"/>
    <m/>
    <x v="0"/>
    <x v="0"/>
    <m/>
    <x v="0"/>
    <x v="7"/>
    <x v="228"/>
    <x v="3"/>
    <x v="0"/>
    <x v="1"/>
    <x v="16"/>
    <x v="505"/>
  </r>
  <r>
    <x v="0"/>
    <n v="318"/>
    <x v="227"/>
    <x v="4"/>
    <s v=""/>
    <s v=""/>
    <x v="193"/>
    <x v="2"/>
    <x v="207"/>
    <m/>
    <x v="24"/>
    <m/>
    <x v="3"/>
    <x v="0"/>
    <x v="109"/>
    <d v="2011-08-14T00:00:00"/>
    <x v="25"/>
    <x v="0"/>
    <m/>
    <m/>
    <x v="0"/>
    <x v="1"/>
    <m/>
    <x v="0"/>
    <x v="7"/>
    <x v="229"/>
    <x v="3"/>
    <x v="0"/>
    <x v="1"/>
    <x v="109"/>
    <x v="506"/>
  </r>
  <r>
    <x v="0"/>
    <n v="319"/>
    <x v="228"/>
    <x v="0"/>
    <s v="LM"/>
    <s v="S"/>
    <x v="194"/>
    <x v="21"/>
    <x v="173"/>
    <m/>
    <x v="131"/>
    <m/>
    <x v="40"/>
    <x v="0"/>
    <x v="133"/>
    <d v="2011-09-20T00:00:00"/>
    <x v="9"/>
    <x v="0"/>
    <m/>
    <m/>
    <x v="0"/>
    <x v="1"/>
    <m/>
    <x v="0"/>
    <x v="5"/>
    <x v="230"/>
    <x v="40"/>
    <x v="0"/>
    <x v="0"/>
    <x v="133"/>
    <x v="507"/>
  </r>
  <r>
    <x v="0"/>
    <n v="319"/>
    <x v="228"/>
    <x v="0"/>
    <s v="LM"/>
    <s v="S"/>
    <x v="194"/>
    <x v="21"/>
    <x v="12"/>
    <m/>
    <x v="12"/>
    <m/>
    <x v="2"/>
    <x v="0"/>
    <x v="11"/>
    <d v="2011-09-27T00:00:00"/>
    <x v="9"/>
    <x v="0"/>
    <m/>
    <s v="Les Blessures"/>
    <x v="0"/>
    <x v="1"/>
    <m/>
    <x v="0"/>
    <x v="5"/>
    <x v="230"/>
    <x v="2"/>
    <x v="0"/>
    <x v="0"/>
    <x v="11"/>
    <x v="508"/>
  </r>
  <r>
    <x v="0"/>
    <n v="319"/>
    <x v="228"/>
    <x v="0"/>
    <s v="LM"/>
    <s v="S"/>
    <x v="194"/>
    <x v="21"/>
    <x v="201"/>
    <m/>
    <x v="146"/>
    <m/>
    <x v="15"/>
    <x v="0"/>
    <x v="151"/>
    <m/>
    <x v="12"/>
    <x v="0"/>
    <m/>
    <m/>
    <x v="0"/>
    <x v="1"/>
    <m/>
    <x v="0"/>
    <x v="5"/>
    <x v="230"/>
    <x v="15"/>
    <x v="0"/>
    <x v="0"/>
    <x v="151"/>
    <x v="509"/>
  </r>
  <r>
    <x v="0"/>
    <n v="320"/>
    <x v="229"/>
    <x v="1"/>
    <s v="LM"/>
    <s v="N"/>
    <x v="195"/>
    <x v="2"/>
    <x v="208"/>
    <m/>
    <x v="5"/>
    <m/>
    <x v="3"/>
    <x v="0"/>
    <x v="152"/>
    <d v="2011-05-13T00:00:00"/>
    <x v="6"/>
    <x v="0"/>
    <m/>
    <m/>
    <x v="0"/>
    <x v="1"/>
    <m/>
    <x v="0"/>
    <x v="1"/>
    <x v="231"/>
    <x v="3"/>
    <x v="0"/>
    <x v="1"/>
    <x v="152"/>
    <x v="510"/>
  </r>
  <r>
    <x v="0"/>
    <n v="320"/>
    <x v="229"/>
    <x v="1"/>
    <s v="LM"/>
    <s v="N"/>
    <x v="195"/>
    <x v="2"/>
    <x v="13"/>
    <m/>
    <x v="13"/>
    <m/>
    <x v="3"/>
    <x v="0"/>
    <x v="153"/>
    <m/>
    <x v="6"/>
    <x v="0"/>
    <m/>
    <m/>
    <x v="0"/>
    <x v="1"/>
    <m/>
    <x v="0"/>
    <x v="1"/>
    <x v="231"/>
    <x v="3"/>
    <x v="0"/>
    <x v="1"/>
    <x v="153"/>
    <x v="511"/>
  </r>
  <r>
    <x v="0"/>
    <n v="321"/>
    <x v="230"/>
    <x v="0"/>
    <s v="CM"/>
    <s v="S"/>
    <x v="196"/>
    <x v="2"/>
    <x v="76"/>
    <m/>
    <x v="58"/>
    <m/>
    <x v="17"/>
    <x v="0"/>
    <x v="67"/>
    <d v="2011-11-30T00:00:00"/>
    <x v="13"/>
    <x v="0"/>
    <m/>
    <m/>
    <x v="0"/>
    <x v="0"/>
    <m/>
    <x v="0"/>
    <x v="0"/>
    <x v="232"/>
    <x v="17"/>
    <x v="0"/>
    <x v="0"/>
    <x v="67"/>
    <x v="512"/>
  </r>
  <r>
    <x v="0"/>
    <n v="322"/>
    <x v="231"/>
    <x v="0"/>
    <s v="LM"/>
    <s v="S"/>
    <x v="40"/>
    <x v="3"/>
    <x v="209"/>
    <m/>
    <x v="72"/>
    <m/>
    <x v="15"/>
    <x v="0"/>
    <x v="154"/>
    <d v="2011-09-10T00:00:00"/>
    <x v="20"/>
    <x v="1"/>
    <s v="Orizzonti"/>
    <m/>
    <x v="0"/>
    <x v="1"/>
    <m/>
    <x v="0"/>
    <x v="5"/>
    <x v="233"/>
    <x v="15"/>
    <x v="0"/>
    <x v="0"/>
    <x v="154"/>
    <x v="513"/>
  </r>
  <r>
    <x v="0"/>
    <n v="322"/>
    <x v="231"/>
    <x v="0"/>
    <s v="LM"/>
    <s v="S"/>
    <x v="40"/>
    <x v="3"/>
    <x v="210"/>
    <m/>
    <x v="101"/>
    <m/>
    <x v="3"/>
    <x v="0"/>
    <x v="155"/>
    <m/>
    <x v="9"/>
    <x v="0"/>
    <m/>
    <m/>
    <x v="0"/>
    <x v="1"/>
    <m/>
    <x v="0"/>
    <x v="5"/>
    <x v="233"/>
    <x v="3"/>
    <x v="0"/>
    <x v="1"/>
    <x v="155"/>
    <x v="514"/>
  </r>
  <r>
    <x v="0"/>
    <n v="322"/>
    <x v="231"/>
    <x v="0"/>
    <s v="LM"/>
    <s v="S"/>
    <x v="40"/>
    <x v="3"/>
    <x v="134"/>
    <m/>
    <x v="99"/>
    <m/>
    <x v="3"/>
    <x v="0"/>
    <x v="156"/>
    <m/>
    <x v="14"/>
    <x v="0"/>
    <m/>
    <m/>
    <x v="0"/>
    <x v="1"/>
    <m/>
    <x v="0"/>
    <x v="5"/>
    <x v="233"/>
    <x v="3"/>
    <x v="0"/>
    <x v="1"/>
    <x v="156"/>
    <x v="515"/>
  </r>
  <r>
    <x v="0"/>
    <n v="322"/>
    <x v="231"/>
    <x v="0"/>
    <s v="LM"/>
    <s v="S"/>
    <x v="40"/>
    <x v="3"/>
    <x v="179"/>
    <m/>
    <x v="133"/>
    <m/>
    <x v="0"/>
    <x v="0"/>
    <x v="127"/>
    <d v="2011-11-03T00:00:00"/>
    <x v="0"/>
    <x v="0"/>
    <m/>
    <s v="Perspectiva Internacional"/>
    <x v="0"/>
    <x v="1"/>
    <m/>
    <x v="0"/>
    <x v="5"/>
    <x v="233"/>
    <x v="0"/>
    <x v="0"/>
    <x v="0"/>
    <x v="127"/>
    <x v="516"/>
  </r>
  <r>
    <x v="0"/>
    <n v="322"/>
    <x v="231"/>
    <x v="0"/>
    <s v="LM"/>
    <s v="S"/>
    <x v="40"/>
    <x v="3"/>
    <x v="211"/>
    <m/>
    <x v="148"/>
    <m/>
    <x v="15"/>
    <x v="0"/>
    <x v="66"/>
    <m/>
    <x v="14"/>
    <x v="0"/>
    <m/>
    <m/>
    <x v="0"/>
    <x v="1"/>
    <m/>
    <x v="0"/>
    <x v="5"/>
    <x v="233"/>
    <x v="15"/>
    <x v="0"/>
    <x v="0"/>
    <x v="66"/>
    <x v="517"/>
  </r>
  <r>
    <x v="0"/>
    <n v="322"/>
    <x v="231"/>
    <x v="0"/>
    <s v="LM"/>
    <s v="S"/>
    <x v="40"/>
    <x v="3"/>
    <x v="14"/>
    <m/>
    <x v="14"/>
    <m/>
    <x v="3"/>
    <x v="0"/>
    <x v="13"/>
    <d v="2011-11-05T00:00:00"/>
    <x v="0"/>
    <x v="1"/>
    <s v="Competição Longas Metragens"/>
    <m/>
    <x v="0"/>
    <x v="0"/>
    <m/>
    <x v="0"/>
    <x v="5"/>
    <x v="233"/>
    <x v="3"/>
    <x v="0"/>
    <x v="1"/>
    <x v="13"/>
    <x v="518"/>
  </r>
  <r>
    <x v="0"/>
    <n v="322"/>
    <x v="231"/>
    <x v="0"/>
    <s v="LM"/>
    <s v="S"/>
    <x v="40"/>
    <x v="3"/>
    <x v="22"/>
    <m/>
    <x v="22"/>
    <m/>
    <x v="3"/>
    <x v="0"/>
    <x v="20"/>
    <d v="2011-11-17T00:00:00"/>
    <x v="13"/>
    <x v="1"/>
    <s v="Sessão Competitiva 8"/>
    <m/>
    <x v="57"/>
    <x v="0"/>
    <m/>
    <x v="1"/>
    <x v="5"/>
    <x v="233"/>
    <x v="3"/>
    <x v="59"/>
    <x v="1"/>
    <x v="20"/>
    <x v="519"/>
  </r>
  <r>
    <x v="0"/>
    <n v="322"/>
    <x v="231"/>
    <x v="0"/>
    <s v="LM"/>
    <s v="S"/>
    <x v="40"/>
    <x v="3"/>
    <x v="212"/>
    <m/>
    <x v="149"/>
    <m/>
    <x v="15"/>
    <x v="0"/>
    <x v="67"/>
    <m/>
    <x v="13"/>
    <x v="0"/>
    <m/>
    <m/>
    <x v="0"/>
    <x v="1"/>
    <m/>
    <x v="0"/>
    <x v="5"/>
    <x v="233"/>
    <x v="15"/>
    <x v="0"/>
    <x v="0"/>
    <x v="67"/>
    <x v="520"/>
  </r>
  <r>
    <x v="0"/>
    <n v="322"/>
    <x v="231"/>
    <x v="0"/>
    <s v="LM"/>
    <s v="S"/>
    <x v="40"/>
    <x v="3"/>
    <x v="213"/>
    <m/>
    <x v="150"/>
    <m/>
    <x v="15"/>
    <x v="0"/>
    <x v="41"/>
    <m/>
    <x v="13"/>
    <x v="0"/>
    <m/>
    <m/>
    <x v="0"/>
    <x v="1"/>
    <m/>
    <x v="0"/>
    <x v="5"/>
    <x v="233"/>
    <x v="15"/>
    <x v="0"/>
    <x v="0"/>
    <x v="41"/>
    <x v="521"/>
  </r>
  <r>
    <x v="0"/>
    <n v="322"/>
    <x v="231"/>
    <x v="0"/>
    <s v="LM"/>
    <s v="S"/>
    <x v="40"/>
    <x v="3"/>
    <x v="16"/>
    <m/>
    <x v="16"/>
    <m/>
    <x v="1"/>
    <x v="0"/>
    <x v="15"/>
    <d v="2011-12-17T00:00:00"/>
    <x v="12"/>
    <x v="0"/>
    <m/>
    <m/>
    <x v="0"/>
    <x v="1"/>
    <m/>
    <x v="0"/>
    <x v="5"/>
    <x v="233"/>
    <x v="1"/>
    <x v="0"/>
    <x v="0"/>
    <x v="15"/>
    <x v="522"/>
  </r>
  <r>
    <x v="0"/>
    <n v="322"/>
    <x v="231"/>
    <x v="0"/>
    <s v="LM"/>
    <s v="S"/>
    <x v="40"/>
    <x v="3"/>
    <x v="214"/>
    <m/>
    <x v="5"/>
    <m/>
    <x v="3"/>
    <x v="0"/>
    <x v="88"/>
    <m/>
    <x v="12"/>
    <x v="0"/>
    <m/>
    <m/>
    <x v="0"/>
    <x v="1"/>
    <m/>
    <x v="0"/>
    <x v="5"/>
    <x v="233"/>
    <x v="3"/>
    <x v="0"/>
    <x v="1"/>
    <x v="88"/>
    <x v="523"/>
  </r>
  <r>
    <x v="0"/>
    <n v="324"/>
    <x v="232"/>
    <x v="1"/>
    <s v="CM"/>
    <s v="N"/>
    <x v="197"/>
    <x v="2"/>
    <x v="14"/>
    <m/>
    <x v="14"/>
    <m/>
    <x v="3"/>
    <x v="0"/>
    <x v="13"/>
    <d v="2011-11-05T00:00:00"/>
    <x v="0"/>
    <x v="1"/>
    <s v="Competição Curtas Metragens"/>
    <m/>
    <x v="0"/>
    <x v="0"/>
    <m/>
    <x v="0"/>
    <x v="2"/>
    <x v="234"/>
    <x v="3"/>
    <x v="0"/>
    <x v="1"/>
    <x v="13"/>
    <x v="524"/>
  </r>
  <r>
    <x v="0"/>
    <n v="324"/>
    <x v="232"/>
    <x v="1"/>
    <s v="CM"/>
    <s v="N"/>
    <x v="197"/>
    <x v="2"/>
    <x v="22"/>
    <m/>
    <x v="22"/>
    <m/>
    <x v="3"/>
    <x v="0"/>
    <x v="20"/>
    <d v="2011-11-17T00:00:00"/>
    <x v="13"/>
    <x v="1"/>
    <s v="Ensaios Visuais 1"/>
    <m/>
    <x v="0"/>
    <x v="0"/>
    <m/>
    <x v="0"/>
    <x v="2"/>
    <x v="234"/>
    <x v="3"/>
    <x v="0"/>
    <x v="1"/>
    <x v="20"/>
    <x v="525"/>
  </r>
  <r>
    <x v="0"/>
    <n v="325"/>
    <x v="233"/>
    <x v="1"/>
    <s v=""/>
    <s v=""/>
    <x v="198"/>
    <x v="2"/>
    <x v="215"/>
    <m/>
    <x v="151"/>
    <m/>
    <x v="3"/>
    <x v="0"/>
    <x v="157"/>
    <m/>
    <x v="16"/>
    <x v="0"/>
    <m/>
    <m/>
    <x v="0"/>
    <x v="1"/>
    <m/>
    <x v="0"/>
    <x v="11"/>
    <x v="235"/>
    <x v="3"/>
    <x v="0"/>
    <x v="1"/>
    <x v="157"/>
    <x v="526"/>
  </r>
  <r>
    <x v="0"/>
    <n v="325"/>
    <x v="233"/>
    <x v="1"/>
    <s v=""/>
    <s v=""/>
    <x v="198"/>
    <x v="2"/>
    <x v="158"/>
    <m/>
    <x v="121"/>
    <m/>
    <x v="3"/>
    <x v="0"/>
    <x v="119"/>
    <d v="2011-10-02T00:00:00"/>
    <x v="10"/>
    <x v="0"/>
    <m/>
    <s v="Documentários"/>
    <x v="0"/>
    <x v="0"/>
    <m/>
    <x v="0"/>
    <x v="11"/>
    <x v="235"/>
    <x v="3"/>
    <x v="0"/>
    <x v="1"/>
    <x v="119"/>
    <x v="527"/>
  </r>
  <r>
    <x v="0"/>
    <n v="325"/>
    <x v="233"/>
    <x v="1"/>
    <s v=""/>
    <s v=""/>
    <x v="198"/>
    <x v="2"/>
    <x v="216"/>
    <m/>
    <x v="152"/>
    <m/>
    <x v="3"/>
    <x v="0"/>
    <x v="88"/>
    <m/>
    <x v="12"/>
    <x v="0"/>
    <m/>
    <m/>
    <x v="0"/>
    <x v="1"/>
    <m/>
    <x v="0"/>
    <x v="11"/>
    <x v="235"/>
    <x v="3"/>
    <x v="0"/>
    <x v="1"/>
    <x v="88"/>
    <x v="528"/>
  </r>
  <r>
    <x v="0"/>
    <n v="329"/>
    <x v="234"/>
    <x v="0"/>
    <s v="CM"/>
    <s v="N"/>
    <x v="199"/>
    <x v="2"/>
    <x v="65"/>
    <m/>
    <x v="51"/>
    <m/>
    <x v="14"/>
    <x v="0"/>
    <x v="61"/>
    <d v="2011-06-03T00:00:00"/>
    <x v="7"/>
    <x v="0"/>
    <m/>
    <m/>
    <x v="0"/>
    <x v="0"/>
    <m/>
    <x v="0"/>
    <x v="0"/>
    <x v="236"/>
    <x v="14"/>
    <x v="0"/>
    <x v="0"/>
    <x v="61"/>
    <x v="529"/>
  </r>
  <r>
    <x v="0"/>
    <n v="329"/>
    <x v="234"/>
    <x v="0"/>
    <s v="CM"/>
    <s v="N"/>
    <x v="199"/>
    <x v="2"/>
    <x v="178"/>
    <m/>
    <x v="25"/>
    <m/>
    <x v="3"/>
    <x v="0"/>
    <x v="44"/>
    <d v="2011-07-03T00:00:00"/>
    <x v="17"/>
    <x v="1"/>
    <s v="Sessão Competitiva 3"/>
    <m/>
    <x v="0"/>
    <x v="0"/>
    <m/>
    <x v="0"/>
    <x v="0"/>
    <x v="236"/>
    <x v="3"/>
    <x v="0"/>
    <x v="1"/>
    <x v="44"/>
    <x v="530"/>
  </r>
  <r>
    <x v="0"/>
    <n v="329"/>
    <x v="234"/>
    <x v="0"/>
    <s v="CM"/>
    <s v="N"/>
    <x v="199"/>
    <x v="2"/>
    <x v="70"/>
    <m/>
    <x v="38"/>
    <m/>
    <x v="3"/>
    <x v="0"/>
    <x v="19"/>
    <d v="2011-09-11T00:00:00"/>
    <x v="9"/>
    <x v="1"/>
    <s v="2ª Sessão Competitiva"/>
    <m/>
    <x v="58"/>
    <x v="0"/>
    <m/>
    <x v="1"/>
    <x v="0"/>
    <x v="236"/>
    <x v="3"/>
    <x v="60"/>
    <x v="1"/>
    <x v="19"/>
    <x v="531"/>
  </r>
  <r>
    <x v="0"/>
    <n v="329"/>
    <x v="234"/>
    <x v="0"/>
    <s v="CM"/>
    <s v="N"/>
    <x v="199"/>
    <x v="2"/>
    <x v="107"/>
    <m/>
    <x v="83"/>
    <m/>
    <x v="3"/>
    <x v="0"/>
    <x v="25"/>
    <d v="2011-11-10T00:00:00"/>
    <x v="13"/>
    <x v="1"/>
    <m/>
    <m/>
    <x v="7"/>
    <x v="0"/>
    <m/>
    <x v="1"/>
    <x v="0"/>
    <x v="236"/>
    <x v="3"/>
    <x v="7"/>
    <x v="1"/>
    <x v="25"/>
    <x v="532"/>
  </r>
  <r>
    <x v="0"/>
    <n v="329"/>
    <x v="234"/>
    <x v="0"/>
    <s v="CM"/>
    <s v="N"/>
    <x v="199"/>
    <x v="2"/>
    <x v="21"/>
    <m/>
    <x v="21"/>
    <m/>
    <x v="3"/>
    <x v="0"/>
    <x v="15"/>
    <d v="2011-12-03T00:00:00"/>
    <x v="12"/>
    <x v="1"/>
    <s v="Curtas Ficção"/>
    <m/>
    <x v="0"/>
    <x v="0"/>
    <m/>
    <x v="0"/>
    <x v="0"/>
    <x v="236"/>
    <x v="3"/>
    <x v="0"/>
    <x v="1"/>
    <x v="15"/>
    <x v="533"/>
  </r>
  <r>
    <x v="0"/>
    <n v="330"/>
    <x v="235"/>
    <x v="4"/>
    <s v=""/>
    <s v=""/>
    <x v="200"/>
    <x v="2"/>
    <x v="217"/>
    <m/>
    <x v="24"/>
    <m/>
    <x v="3"/>
    <x v="0"/>
    <x v="111"/>
    <d v="2011-08-31T00:00:00"/>
    <x v="16"/>
    <x v="0"/>
    <m/>
    <m/>
    <x v="0"/>
    <x v="1"/>
    <m/>
    <x v="0"/>
    <x v="7"/>
    <x v="237"/>
    <x v="3"/>
    <x v="0"/>
    <x v="1"/>
    <x v="111"/>
    <x v="534"/>
  </r>
  <r>
    <x v="0"/>
    <n v="331"/>
    <x v="236"/>
    <x v="1"/>
    <s v="CM"/>
    <s v="N"/>
    <x v="201"/>
    <x v="5"/>
    <x v="3"/>
    <m/>
    <x v="3"/>
    <m/>
    <x v="2"/>
    <x v="0"/>
    <x v="3"/>
    <d v="2011-04-03T00:00:00"/>
    <x v="3"/>
    <x v="0"/>
    <m/>
    <s v="Au Sud de l'Europe - Portugal"/>
    <x v="0"/>
    <x v="0"/>
    <m/>
    <x v="0"/>
    <x v="2"/>
    <x v="238"/>
    <x v="2"/>
    <x v="0"/>
    <x v="0"/>
    <x v="3"/>
    <x v="535"/>
  </r>
  <r>
    <x v="0"/>
    <n v="332"/>
    <x v="237"/>
    <x v="1"/>
    <s v="CM"/>
    <s v="S"/>
    <x v="202"/>
    <x v="5"/>
    <x v="3"/>
    <m/>
    <x v="3"/>
    <m/>
    <x v="2"/>
    <x v="0"/>
    <x v="3"/>
    <d v="2011-04-03T00:00:00"/>
    <x v="3"/>
    <x v="0"/>
    <m/>
    <s v="Au Sud de l'Europe - Portugal"/>
    <x v="0"/>
    <x v="0"/>
    <m/>
    <x v="0"/>
    <x v="2"/>
    <x v="239"/>
    <x v="2"/>
    <x v="0"/>
    <x v="0"/>
    <x v="3"/>
    <x v="536"/>
  </r>
  <r>
    <x v="0"/>
    <n v="332"/>
    <x v="237"/>
    <x v="1"/>
    <s v="CM"/>
    <s v="S"/>
    <x v="202"/>
    <x v="5"/>
    <x v="88"/>
    <m/>
    <x v="67"/>
    <m/>
    <x v="3"/>
    <x v="0"/>
    <x v="79"/>
    <d v="2011-10-15T00:00:00"/>
    <x v="14"/>
    <x v="1"/>
    <s v="Competição Lusófona"/>
    <m/>
    <x v="7"/>
    <x v="0"/>
    <m/>
    <x v="1"/>
    <x v="2"/>
    <x v="239"/>
    <x v="3"/>
    <x v="61"/>
    <x v="1"/>
    <x v="79"/>
    <x v="537"/>
  </r>
  <r>
    <x v="0"/>
    <n v="332"/>
    <x v="237"/>
    <x v="1"/>
    <s v="CM"/>
    <s v="S"/>
    <x v="202"/>
    <x v="5"/>
    <x v="89"/>
    <m/>
    <x v="68"/>
    <m/>
    <x v="1"/>
    <x v="0"/>
    <x v="39"/>
    <d v="2011-10-30T00:00:00"/>
    <x v="14"/>
    <x v="0"/>
    <m/>
    <m/>
    <x v="0"/>
    <x v="1"/>
    <m/>
    <x v="0"/>
    <x v="2"/>
    <x v="239"/>
    <x v="1"/>
    <x v="0"/>
    <x v="0"/>
    <x v="39"/>
    <x v="538"/>
  </r>
  <r>
    <x v="0"/>
    <n v="333"/>
    <x v="238"/>
    <x v="0"/>
    <s v="LM"/>
    <s v="S"/>
    <x v="103"/>
    <x v="1"/>
    <x v="57"/>
    <m/>
    <x v="40"/>
    <m/>
    <x v="3"/>
    <x v="0"/>
    <x v="49"/>
    <m/>
    <x v="15"/>
    <x v="0"/>
    <m/>
    <m/>
    <x v="0"/>
    <x v="1"/>
    <m/>
    <x v="0"/>
    <x v="5"/>
    <x v="240"/>
    <x v="3"/>
    <x v="0"/>
    <x v="1"/>
    <x v="49"/>
    <x v="539"/>
  </r>
  <r>
    <x v="0"/>
    <n v="333"/>
    <x v="238"/>
    <x v="0"/>
    <s v="LM"/>
    <s v="S"/>
    <x v="103"/>
    <x v="1"/>
    <x v="66"/>
    <m/>
    <x v="52"/>
    <m/>
    <x v="3"/>
    <x v="0"/>
    <x v="62"/>
    <d v="2011-06-12T00:00:00"/>
    <x v="7"/>
    <x v="0"/>
    <m/>
    <s v="Cinema Português"/>
    <x v="0"/>
    <x v="0"/>
    <m/>
    <x v="0"/>
    <x v="5"/>
    <x v="240"/>
    <x v="3"/>
    <x v="0"/>
    <x v="1"/>
    <x v="62"/>
    <x v="540"/>
  </r>
  <r>
    <x v="0"/>
    <n v="333"/>
    <x v="238"/>
    <x v="0"/>
    <s v="LM"/>
    <s v="S"/>
    <x v="103"/>
    <x v="1"/>
    <x v="218"/>
    <m/>
    <x v="24"/>
    <m/>
    <x v="3"/>
    <x v="0"/>
    <x v="52"/>
    <d v="2011-08-29T00:00:00"/>
    <x v="25"/>
    <x v="0"/>
    <m/>
    <m/>
    <x v="0"/>
    <x v="1"/>
    <m/>
    <x v="0"/>
    <x v="5"/>
    <x v="240"/>
    <x v="3"/>
    <x v="0"/>
    <x v="1"/>
    <x v="52"/>
    <x v="541"/>
  </r>
  <r>
    <x v="0"/>
    <n v="335"/>
    <x v="239"/>
    <x v="1"/>
    <s v="CM"/>
    <s v="N"/>
    <x v="203"/>
    <x v="2"/>
    <x v="22"/>
    <m/>
    <x v="22"/>
    <m/>
    <x v="3"/>
    <x v="0"/>
    <x v="20"/>
    <d v="2011-11-17T00:00:00"/>
    <x v="13"/>
    <x v="1"/>
    <s v="Ensaios Visuais 5"/>
    <m/>
    <x v="0"/>
    <x v="0"/>
    <m/>
    <x v="0"/>
    <x v="2"/>
    <x v="241"/>
    <x v="3"/>
    <x v="0"/>
    <x v="1"/>
    <x v="20"/>
    <x v="542"/>
  </r>
  <r>
    <x v="0"/>
    <n v="336"/>
    <x v="240"/>
    <x v="1"/>
    <s v="LM"/>
    <s v="N"/>
    <x v="204"/>
    <x v="5"/>
    <x v="13"/>
    <m/>
    <x v="13"/>
    <m/>
    <x v="3"/>
    <x v="0"/>
    <x v="158"/>
    <m/>
    <x v="2"/>
    <x v="0"/>
    <m/>
    <m/>
    <x v="0"/>
    <x v="1"/>
    <m/>
    <x v="0"/>
    <x v="1"/>
    <x v="242"/>
    <x v="3"/>
    <x v="0"/>
    <x v="1"/>
    <x v="158"/>
    <x v="543"/>
  </r>
  <r>
    <x v="0"/>
    <n v="336"/>
    <x v="240"/>
    <x v="1"/>
    <s v="LM"/>
    <s v="N"/>
    <x v="204"/>
    <x v="5"/>
    <x v="63"/>
    <m/>
    <x v="24"/>
    <m/>
    <x v="3"/>
    <x v="0"/>
    <x v="59"/>
    <d v="2011-05-01T00:00:00"/>
    <x v="4"/>
    <x v="1"/>
    <s v="Competição Longas Metragens"/>
    <m/>
    <x v="0"/>
    <x v="0"/>
    <m/>
    <x v="0"/>
    <x v="1"/>
    <x v="242"/>
    <x v="3"/>
    <x v="0"/>
    <x v="1"/>
    <x v="59"/>
    <x v="544"/>
  </r>
  <r>
    <x v="0"/>
    <n v="336"/>
    <x v="240"/>
    <x v="1"/>
    <s v="LM"/>
    <s v="N"/>
    <x v="204"/>
    <x v="5"/>
    <x v="156"/>
    <m/>
    <x v="49"/>
    <m/>
    <x v="3"/>
    <x v="0"/>
    <x v="159"/>
    <m/>
    <x v="7"/>
    <x v="0"/>
    <m/>
    <m/>
    <x v="0"/>
    <x v="1"/>
    <m/>
    <x v="0"/>
    <x v="1"/>
    <x v="242"/>
    <x v="3"/>
    <x v="0"/>
    <x v="1"/>
    <x v="159"/>
    <x v="545"/>
  </r>
  <r>
    <x v="0"/>
    <n v="336"/>
    <x v="240"/>
    <x v="1"/>
    <s v="LM"/>
    <s v="N"/>
    <x v="204"/>
    <x v="5"/>
    <x v="219"/>
    <m/>
    <x v="153"/>
    <m/>
    <x v="44"/>
    <x v="0"/>
    <x v="156"/>
    <d v="2011-10-16T00:00:00"/>
    <x v="14"/>
    <x v="1"/>
    <m/>
    <m/>
    <x v="47"/>
    <x v="0"/>
    <m/>
    <x v="1"/>
    <x v="1"/>
    <x v="242"/>
    <x v="44"/>
    <x v="62"/>
    <x v="0"/>
    <x v="156"/>
    <x v="546"/>
  </r>
  <r>
    <x v="0"/>
    <n v="336"/>
    <x v="240"/>
    <x v="1"/>
    <s v="LM"/>
    <s v="N"/>
    <x v="204"/>
    <x v="5"/>
    <x v="72"/>
    <m/>
    <x v="22"/>
    <m/>
    <x v="3"/>
    <x v="0"/>
    <x v="14"/>
    <d v="2011-11-26T00:00:00"/>
    <x v="13"/>
    <x v="0"/>
    <m/>
    <m/>
    <x v="0"/>
    <x v="1"/>
    <m/>
    <x v="0"/>
    <x v="1"/>
    <x v="242"/>
    <x v="3"/>
    <x v="0"/>
    <x v="1"/>
    <x v="14"/>
    <x v="547"/>
  </r>
  <r>
    <x v="0"/>
    <n v="338"/>
    <x v="241"/>
    <x v="4"/>
    <s v=""/>
    <s v=""/>
    <x v="205"/>
    <x v="2"/>
    <x v="26"/>
    <m/>
    <x v="24"/>
    <m/>
    <x v="3"/>
    <x v="0"/>
    <x v="24"/>
    <d v="2011-03-27T00:00:00"/>
    <x v="2"/>
    <x v="1"/>
    <s v="Curtíssimas"/>
    <m/>
    <x v="0"/>
    <x v="0"/>
    <m/>
    <x v="0"/>
    <x v="7"/>
    <x v="243"/>
    <x v="3"/>
    <x v="0"/>
    <x v="1"/>
    <x v="24"/>
    <x v="548"/>
  </r>
  <r>
    <x v="0"/>
    <n v="339"/>
    <x v="242"/>
    <x v="4"/>
    <s v=""/>
    <s v=""/>
    <x v="206"/>
    <x v="2"/>
    <x v="109"/>
    <m/>
    <x v="23"/>
    <m/>
    <x v="3"/>
    <x v="0"/>
    <x v="115"/>
    <d v="2011-06-05T00:00:00"/>
    <x v="23"/>
    <x v="0"/>
    <m/>
    <s v="Momento XIX"/>
    <x v="0"/>
    <x v="1"/>
    <m/>
    <x v="0"/>
    <x v="7"/>
    <x v="244"/>
    <x v="3"/>
    <x v="0"/>
    <x v="1"/>
    <x v="115"/>
    <x v="549"/>
  </r>
  <r>
    <x v="0"/>
    <n v="343"/>
    <x v="243"/>
    <x v="4"/>
    <s v=""/>
    <s v=""/>
    <x v="207"/>
    <x v="2"/>
    <x v="26"/>
    <m/>
    <x v="24"/>
    <m/>
    <x v="3"/>
    <x v="0"/>
    <x v="24"/>
    <d v="2011-03-27T00:00:00"/>
    <x v="2"/>
    <x v="1"/>
    <s v="Curtas de Estudantes"/>
    <m/>
    <x v="59"/>
    <x v="0"/>
    <m/>
    <x v="1"/>
    <x v="7"/>
    <x v="245"/>
    <x v="3"/>
    <x v="63"/>
    <x v="1"/>
    <x v="24"/>
    <x v="550"/>
  </r>
  <r>
    <x v="0"/>
    <n v="344"/>
    <x v="244"/>
    <x v="0"/>
    <s v="CM"/>
    <s v="N"/>
    <x v="208"/>
    <x v="2"/>
    <x v="34"/>
    <m/>
    <x v="32"/>
    <m/>
    <x v="3"/>
    <x v="0"/>
    <x v="31"/>
    <d v="2011-05-15T00:00:00"/>
    <x v="6"/>
    <x v="1"/>
    <m/>
    <m/>
    <x v="0"/>
    <x v="0"/>
    <m/>
    <x v="0"/>
    <x v="0"/>
    <x v="246"/>
    <x v="3"/>
    <x v="0"/>
    <x v="1"/>
    <x v="31"/>
    <x v="551"/>
  </r>
  <r>
    <x v="0"/>
    <n v="344"/>
    <x v="244"/>
    <x v="0"/>
    <s v="CM"/>
    <s v="N"/>
    <x v="208"/>
    <x v="2"/>
    <x v="67"/>
    <m/>
    <x v="23"/>
    <m/>
    <x v="3"/>
    <x v="0"/>
    <x v="63"/>
    <d v="2011-06-12T00:00:00"/>
    <x v="7"/>
    <x v="0"/>
    <m/>
    <s v="Sessão Não Competitiva 4"/>
    <x v="0"/>
    <x v="0"/>
    <m/>
    <x v="0"/>
    <x v="0"/>
    <x v="246"/>
    <x v="3"/>
    <x v="0"/>
    <x v="1"/>
    <x v="63"/>
    <x v="552"/>
  </r>
  <r>
    <x v="0"/>
    <n v="345"/>
    <x v="245"/>
    <x v="2"/>
    <s v="CM"/>
    <s v="N"/>
    <x v="209"/>
    <x v="2"/>
    <x v="220"/>
    <m/>
    <x v="154"/>
    <m/>
    <x v="0"/>
    <x v="0"/>
    <x v="160"/>
    <d v="2011-07-31T00:00:00"/>
    <x v="8"/>
    <x v="0"/>
    <m/>
    <s v="Futuro Animador 3 - Adulto"/>
    <x v="0"/>
    <x v="0"/>
    <m/>
    <x v="0"/>
    <x v="4"/>
    <x v="247"/>
    <x v="0"/>
    <x v="0"/>
    <x v="0"/>
    <x v="160"/>
    <x v="553"/>
  </r>
  <r>
    <x v="0"/>
    <n v="346"/>
    <x v="246"/>
    <x v="4"/>
    <s v=""/>
    <s v=""/>
    <x v="210"/>
    <x v="2"/>
    <x v="63"/>
    <m/>
    <x v="24"/>
    <m/>
    <x v="3"/>
    <x v="0"/>
    <x v="59"/>
    <d v="2011-05-01T00:00:00"/>
    <x v="4"/>
    <x v="0"/>
    <m/>
    <s v="Olhares sobre Portugal"/>
    <x v="0"/>
    <x v="0"/>
    <m/>
    <x v="0"/>
    <x v="7"/>
    <x v="248"/>
    <x v="3"/>
    <x v="0"/>
    <x v="1"/>
    <x v="59"/>
    <x v="554"/>
  </r>
  <r>
    <x v="0"/>
    <n v="346"/>
    <x v="246"/>
    <x v="4"/>
    <s v=""/>
    <s v=""/>
    <x v="210"/>
    <x v="2"/>
    <x v="72"/>
    <m/>
    <x v="22"/>
    <m/>
    <x v="3"/>
    <x v="0"/>
    <x v="14"/>
    <d v="2011-11-26T00:00:00"/>
    <x v="13"/>
    <x v="0"/>
    <m/>
    <m/>
    <x v="0"/>
    <x v="1"/>
    <m/>
    <x v="0"/>
    <x v="7"/>
    <x v="248"/>
    <x v="3"/>
    <x v="0"/>
    <x v="1"/>
    <x v="14"/>
    <x v="555"/>
  </r>
  <r>
    <x v="0"/>
    <n v="347"/>
    <x v="247"/>
    <x v="4"/>
    <s v=""/>
    <s v=""/>
    <x v="211"/>
    <x v="2"/>
    <x v="22"/>
    <m/>
    <x v="22"/>
    <m/>
    <x v="3"/>
    <x v="0"/>
    <x v="20"/>
    <d v="2011-11-17T00:00:00"/>
    <x v="13"/>
    <x v="1"/>
    <s v="Ensaios Visuais 1"/>
    <m/>
    <x v="0"/>
    <x v="0"/>
    <m/>
    <x v="0"/>
    <x v="7"/>
    <x v="249"/>
    <x v="3"/>
    <x v="0"/>
    <x v="1"/>
    <x v="20"/>
    <x v="556"/>
  </r>
  <r>
    <x v="0"/>
    <n v="348"/>
    <x v="248"/>
    <x v="1"/>
    <s v="LM"/>
    <s v=""/>
    <x v="212"/>
    <x v="22"/>
    <x v="221"/>
    <m/>
    <x v="5"/>
    <m/>
    <x v="3"/>
    <x v="0"/>
    <x v="81"/>
    <m/>
    <x v="15"/>
    <x v="0"/>
    <m/>
    <m/>
    <x v="0"/>
    <x v="1"/>
    <m/>
    <x v="0"/>
    <x v="1"/>
    <x v="250"/>
    <x v="3"/>
    <x v="0"/>
    <x v="1"/>
    <x v="81"/>
    <x v="557"/>
  </r>
  <r>
    <x v="0"/>
    <n v="349"/>
    <x v="249"/>
    <x v="2"/>
    <s v="CM"/>
    <s v="S"/>
    <x v="213"/>
    <x v="5"/>
    <x v="193"/>
    <m/>
    <x v="17"/>
    <m/>
    <x v="2"/>
    <x v="0"/>
    <x v="141"/>
    <d v="2011-04-03T00:00:00"/>
    <x v="5"/>
    <x v="1"/>
    <s v="Animation"/>
    <m/>
    <x v="0"/>
    <x v="0"/>
    <m/>
    <x v="0"/>
    <x v="4"/>
    <x v="251"/>
    <x v="2"/>
    <x v="0"/>
    <x v="0"/>
    <x v="141"/>
    <x v="558"/>
  </r>
  <r>
    <x v="0"/>
    <n v="349"/>
    <x v="249"/>
    <x v="2"/>
    <s v="CM"/>
    <s v="S"/>
    <x v="213"/>
    <x v="5"/>
    <x v="122"/>
    <m/>
    <x v="93"/>
    <m/>
    <x v="2"/>
    <x v="0"/>
    <x v="100"/>
    <d v="2011-06-11T00:00:00"/>
    <x v="7"/>
    <x v="1"/>
    <s v="Courts Métrages en Compétition 2"/>
    <m/>
    <x v="0"/>
    <x v="0"/>
    <m/>
    <x v="0"/>
    <x v="4"/>
    <x v="251"/>
    <x v="2"/>
    <x v="0"/>
    <x v="0"/>
    <x v="100"/>
    <x v="559"/>
  </r>
  <r>
    <x v="0"/>
    <n v="349"/>
    <x v="249"/>
    <x v="2"/>
    <s v="CM"/>
    <s v="S"/>
    <x v="213"/>
    <x v="5"/>
    <x v="67"/>
    <m/>
    <x v="23"/>
    <m/>
    <x v="3"/>
    <x v="0"/>
    <x v="63"/>
    <d v="2011-06-12T00:00:00"/>
    <x v="7"/>
    <x v="1"/>
    <s v="Sessão Competitiva 2"/>
    <m/>
    <x v="60"/>
    <x v="0"/>
    <m/>
    <x v="1"/>
    <x v="4"/>
    <x v="251"/>
    <x v="3"/>
    <x v="64"/>
    <x v="1"/>
    <x v="63"/>
    <x v="560"/>
  </r>
  <r>
    <x v="0"/>
    <n v="349"/>
    <x v="249"/>
    <x v="2"/>
    <s v="CM"/>
    <s v="S"/>
    <x v="213"/>
    <x v="5"/>
    <x v="222"/>
    <m/>
    <x v="24"/>
    <m/>
    <x v="3"/>
    <x v="0"/>
    <x v="161"/>
    <m/>
    <x v="7"/>
    <x v="1"/>
    <s v="Entretenimento"/>
    <m/>
    <x v="61"/>
    <x v="2"/>
    <s v="Produtor: Filmógrafo"/>
    <x v="1"/>
    <x v="4"/>
    <x v="251"/>
    <x v="3"/>
    <x v="65"/>
    <x v="1"/>
    <x v="161"/>
    <x v="561"/>
  </r>
  <r>
    <x v="0"/>
    <n v="349"/>
    <x v="249"/>
    <x v="2"/>
    <s v="CM"/>
    <s v="S"/>
    <x v="213"/>
    <x v="5"/>
    <x v="223"/>
    <m/>
    <x v="155"/>
    <m/>
    <x v="16"/>
    <x v="0"/>
    <x v="160"/>
    <d v="2011-07-23T00:00:00"/>
    <x v="8"/>
    <x v="1"/>
    <s v="International Competition"/>
    <m/>
    <x v="0"/>
    <x v="0"/>
    <m/>
    <x v="0"/>
    <x v="4"/>
    <x v="251"/>
    <x v="16"/>
    <x v="0"/>
    <x v="0"/>
    <x v="160"/>
    <x v="562"/>
  </r>
  <r>
    <x v="0"/>
    <n v="349"/>
    <x v="249"/>
    <x v="2"/>
    <s v="CM"/>
    <s v="S"/>
    <x v="213"/>
    <x v="5"/>
    <x v="224"/>
    <m/>
    <x v="156"/>
    <m/>
    <x v="18"/>
    <x v="0"/>
    <x v="140"/>
    <d v="2011-07-24T00:00:00"/>
    <x v="8"/>
    <x v="1"/>
    <s v="Shorts Films - Professional"/>
    <m/>
    <x v="0"/>
    <x v="0"/>
    <m/>
    <x v="0"/>
    <x v="4"/>
    <x v="251"/>
    <x v="18"/>
    <x v="0"/>
    <x v="0"/>
    <x v="140"/>
    <x v="563"/>
  </r>
  <r>
    <x v="0"/>
    <n v="349"/>
    <x v="249"/>
    <x v="2"/>
    <s v="CM"/>
    <s v="S"/>
    <x v="213"/>
    <x v="5"/>
    <x v="48"/>
    <m/>
    <x v="24"/>
    <m/>
    <x v="3"/>
    <x v="0"/>
    <x v="21"/>
    <d v="2011-09-11T00:00:00"/>
    <x v="9"/>
    <x v="1"/>
    <s v="Prémio Motelx . Melhor Curta de Terror Portuguesa"/>
    <m/>
    <x v="62"/>
    <x v="0"/>
    <m/>
    <x v="1"/>
    <x v="4"/>
    <x v="251"/>
    <x v="3"/>
    <x v="66"/>
    <x v="1"/>
    <x v="21"/>
    <x v="564"/>
  </r>
  <r>
    <x v="0"/>
    <n v="349"/>
    <x v="249"/>
    <x v="2"/>
    <s v="CM"/>
    <s v="S"/>
    <x v="213"/>
    <x v="5"/>
    <x v="225"/>
    <m/>
    <x v="157"/>
    <m/>
    <x v="45"/>
    <x v="0"/>
    <x v="106"/>
    <d v="2011-09-19T00:00:00"/>
    <x v="9"/>
    <x v="1"/>
    <s v="Shorts Films "/>
    <m/>
    <x v="0"/>
    <x v="0"/>
    <m/>
    <x v="0"/>
    <x v="4"/>
    <x v="251"/>
    <x v="45"/>
    <x v="0"/>
    <x v="0"/>
    <x v="106"/>
    <x v="565"/>
  </r>
  <r>
    <x v="0"/>
    <n v="349"/>
    <x v="249"/>
    <x v="2"/>
    <s v="CM"/>
    <s v="S"/>
    <x v="213"/>
    <x v="5"/>
    <x v="141"/>
    <m/>
    <x v="107"/>
    <m/>
    <x v="31"/>
    <x v="0"/>
    <x v="114"/>
    <d v="2011-09-25T00:00:00"/>
    <x v="9"/>
    <x v="1"/>
    <s v="Animation"/>
    <m/>
    <x v="0"/>
    <x v="0"/>
    <m/>
    <x v="0"/>
    <x v="4"/>
    <x v="251"/>
    <x v="31"/>
    <x v="0"/>
    <x v="0"/>
    <x v="114"/>
    <x v="566"/>
  </r>
  <r>
    <x v="0"/>
    <n v="349"/>
    <x v="249"/>
    <x v="2"/>
    <s v="CM"/>
    <s v="S"/>
    <x v="213"/>
    <x v="5"/>
    <x v="94"/>
    <m/>
    <x v="73"/>
    <m/>
    <x v="3"/>
    <x v="0"/>
    <x v="85"/>
    <d v="2011-10-30T00:00:00"/>
    <x v="14"/>
    <x v="1"/>
    <s v="Sessão Competitiva nº 5"/>
    <s v="Curtas Metragens Portuguesas "/>
    <x v="0"/>
    <x v="0"/>
    <m/>
    <x v="0"/>
    <x v="4"/>
    <x v="251"/>
    <x v="3"/>
    <x v="0"/>
    <x v="1"/>
    <x v="85"/>
    <x v="567"/>
  </r>
  <r>
    <x v="0"/>
    <n v="349"/>
    <x v="249"/>
    <x v="2"/>
    <s v="CM"/>
    <s v="S"/>
    <x v="213"/>
    <x v="5"/>
    <x v="78"/>
    <m/>
    <x v="59"/>
    <m/>
    <x v="3"/>
    <x v="0"/>
    <x v="66"/>
    <d v="2011-10-30T00:00:00"/>
    <x v="14"/>
    <x v="1"/>
    <s v="Competição Nacional"/>
    <m/>
    <x v="0"/>
    <x v="0"/>
    <m/>
    <x v="0"/>
    <x v="4"/>
    <x v="251"/>
    <x v="3"/>
    <x v="0"/>
    <x v="1"/>
    <x v="66"/>
    <x v="568"/>
  </r>
  <r>
    <x v="0"/>
    <n v="349"/>
    <x v="249"/>
    <x v="2"/>
    <s v="CM"/>
    <s v="S"/>
    <x v="213"/>
    <x v="5"/>
    <x v="107"/>
    <m/>
    <x v="83"/>
    <m/>
    <x v="3"/>
    <x v="0"/>
    <x v="25"/>
    <d v="2011-11-10T00:00:00"/>
    <x v="13"/>
    <x v="1"/>
    <m/>
    <m/>
    <x v="63"/>
    <x v="0"/>
    <m/>
    <x v="1"/>
    <x v="4"/>
    <x v="251"/>
    <x v="3"/>
    <x v="67"/>
    <x v="1"/>
    <x v="25"/>
    <x v="569"/>
  </r>
  <r>
    <x v="0"/>
    <n v="349"/>
    <x v="249"/>
    <x v="2"/>
    <s v="CM"/>
    <s v="S"/>
    <x v="213"/>
    <x v="5"/>
    <x v="136"/>
    <m/>
    <x v="103"/>
    <m/>
    <x v="31"/>
    <x v="0"/>
    <x v="14"/>
    <d v="2011-11-27T00:00:00"/>
    <x v="13"/>
    <x v="1"/>
    <s v="Dark Tales 1"/>
    <m/>
    <x v="0"/>
    <x v="0"/>
    <m/>
    <x v="0"/>
    <x v="4"/>
    <x v="251"/>
    <x v="31"/>
    <x v="0"/>
    <x v="0"/>
    <x v="14"/>
    <x v="570"/>
  </r>
  <r>
    <x v="0"/>
    <n v="349"/>
    <x v="249"/>
    <x v="2"/>
    <s v="CM"/>
    <s v="S"/>
    <x v="213"/>
    <x v="5"/>
    <x v="108"/>
    <m/>
    <x v="84"/>
    <m/>
    <x v="22"/>
    <x v="0"/>
    <x v="93"/>
    <m/>
    <x v="13"/>
    <x v="1"/>
    <s v="Animation Cartoon"/>
    <m/>
    <x v="64"/>
    <x v="0"/>
    <m/>
    <x v="1"/>
    <x v="4"/>
    <x v="251"/>
    <x v="22"/>
    <x v="68"/>
    <x v="0"/>
    <x v="93"/>
    <x v="571"/>
  </r>
  <r>
    <x v="0"/>
    <n v="349"/>
    <x v="249"/>
    <x v="2"/>
    <s v="CM"/>
    <s v="S"/>
    <x v="213"/>
    <x v="5"/>
    <x v="21"/>
    <m/>
    <x v="21"/>
    <m/>
    <x v="3"/>
    <x v="0"/>
    <x v="15"/>
    <d v="2011-12-03T00:00:00"/>
    <x v="12"/>
    <x v="1"/>
    <s v="Curtas Animação"/>
    <m/>
    <x v="65"/>
    <x v="0"/>
    <m/>
    <x v="1"/>
    <x v="4"/>
    <x v="251"/>
    <x v="3"/>
    <x v="69"/>
    <x v="1"/>
    <x v="15"/>
    <x v="572"/>
  </r>
  <r>
    <x v="0"/>
    <n v="349"/>
    <x v="249"/>
    <x v="2"/>
    <s v="CM"/>
    <s v="S"/>
    <x v="213"/>
    <x v="5"/>
    <x v="37"/>
    <m/>
    <x v="35"/>
    <m/>
    <x v="2"/>
    <x v="0"/>
    <x v="15"/>
    <d v="2011-12-04T00:00:00"/>
    <x v="12"/>
    <x v="0"/>
    <m/>
    <s v="Festivals partennaires - Mostra AVANCA Portugal"/>
    <x v="0"/>
    <x v="0"/>
    <m/>
    <x v="0"/>
    <x v="4"/>
    <x v="251"/>
    <x v="2"/>
    <x v="0"/>
    <x v="0"/>
    <x v="15"/>
    <x v="573"/>
  </r>
  <r>
    <x v="0"/>
    <n v="349"/>
    <x v="249"/>
    <x v="2"/>
    <s v="CM"/>
    <s v="S"/>
    <x v="213"/>
    <x v="5"/>
    <x v="116"/>
    <m/>
    <x v="89"/>
    <m/>
    <x v="26"/>
    <x v="0"/>
    <x v="91"/>
    <d v="2012-12-10T00:00:00"/>
    <x v="12"/>
    <x v="1"/>
    <s v="Short Films Animation"/>
    <m/>
    <x v="66"/>
    <x v="0"/>
    <m/>
    <x v="1"/>
    <x v="4"/>
    <x v="251"/>
    <x v="26"/>
    <x v="70"/>
    <x v="0"/>
    <x v="91"/>
    <x v="574"/>
  </r>
  <r>
    <x v="0"/>
    <n v="350"/>
    <x v="250"/>
    <x v="0"/>
    <s v="LM"/>
    <s v="S"/>
    <x v="214"/>
    <x v="5"/>
    <x v="155"/>
    <m/>
    <x v="119"/>
    <m/>
    <x v="3"/>
    <x v="0"/>
    <x v="124"/>
    <d v="2011-12-29T00:00:00"/>
    <x v="12"/>
    <x v="0"/>
    <m/>
    <m/>
    <x v="0"/>
    <x v="1"/>
    <m/>
    <x v="0"/>
    <x v="5"/>
    <x v="252"/>
    <x v="3"/>
    <x v="0"/>
    <x v="1"/>
    <x v="124"/>
    <x v="575"/>
  </r>
  <r>
    <x v="0"/>
    <n v="351"/>
    <x v="251"/>
    <x v="0"/>
    <s v="LM"/>
    <s v="S"/>
    <x v="29"/>
    <x v="2"/>
    <x v="63"/>
    <m/>
    <x v="24"/>
    <m/>
    <x v="3"/>
    <x v="0"/>
    <x v="59"/>
    <d v="2011-05-01T00:00:00"/>
    <x v="4"/>
    <x v="0"/>
    <m/>
    <s v="Retrospectiva João Botelho"/>
    <x v="0"/>
    <x v="0"/>
    <m/>
    <x v="0"/>
    <x v="5"/>
    <x v="253"/>
    <x v="3"/>
    <x v="0"/>
    <x v="1"/>
    <x v="59"/>
    <x v="576"/>
  </r>
  <r>
    <x v="0"/>
    <n v="353"/>
    <x v="252"/>
    <x v="4"/>
    <s v=""/>
    <s v=""/>
    <x v="215"/>
    <x v="2"/>
    <x v="19"/>
    <m/>
    <x v="19"/>
    <m/>
    <x v="0"/>
    <x v="0"/>
    <x v="18"/>
    <d v="2011-05-15T00:00:00"/>
    <x v="6"/>
    <x v="0"/>
    <m/>
    <s v="Mostras Paralelas - FAIAL FILMES FEST"/>
    <x v="0"/>
    <x v="0"/>
    <m/>
    <x v="0"/>
    <x v="7"/>
    <x v="254"/>
    <x v="0"/>
    <x v="0"/>
    <x v="0"/>
    <x v="18"/>
    <x v="577"/>
  </r>
  <r>
    <x v="0"/>
    <n v="355"/>
    <x v="253"/>
    <x v="4"/>
    <s v=""/>
    <s v=""/>
    <x v="216"/>
    <x v="2"/>
    <x v="25"/>
    <m/>
    <x v="24"/>
    <m/>
    <x v="3"/>
    <x v="0"/>
    <x v="23"/>
    <d v="2011-10-30T00:00:00"/>
    <x v="14"/>
    <x v="0"/>
    <m/>
    <s v="Selecção Portuguesa - Sessões Especiais - Fora de Competição"/>
    <x v="0"/>
    <x v="0"/>
    <m/>
    <x v="0"/>
    <x v="7"/>
    <x v="255"/>
    <x v="3"/>
    <x v="0"/>
    <x v="1"/>
    <x v="23"/>
    <x v="578"/>
  </r>
  <r>
    <x v="0"/>
    <n v="356"/>
    <x v="254"/>
    <x v="0"/>
    <s v="CM"/>
    <s v="N"/>
    <x v="80"/>
    <x v="0"/>
    <x v="86"/>
    <m/>
    <x v="65"/>
    <m/>
    <x v="9"/>
    <x v="0"/>
    <x v="15"/>
    <d v="2011-12-06T00:00:00"/>
    <x v="12"/>
    <x v="0"/>
    <m/>
    <s v="Sandro Aguilar Shorts"/>
    <x v="0"/>
    <x v="1"/>
    <m/>
    <x v="0"/>
    <x v="0"/>
    <x v="256"/>
    <x v="9"/>
    <x v="0"/>
    <x v="0"/>
    <x v="15"/>
    <x v="579"/>
  </r>
  <r>
    <x v="0"/>
    <n v="357"/>
    <x v="255"/>
    <x v="1"/>
    <s v="CM"/>
    <s v="N"/>
    <x v="217"/>
    <x v="2"/>
    <x v="14"/>
    <m/>
    <x v="14"/>
    <m/>
    <x v="3"/>
    <x v="0"/>
    <x v="13"/>
    <d v="2011-11-05T00:00:00"/>
    <x v="0"/>
    <x v="1"/>
    <s v="Competição Curtas Metragens"/>
    <m/>
    <x v="67"/>
    <x v="0"/>
    <m/>
    <x v="1"/>
    <x v="2"/>
    <x v="257"/>
    <x v="3"/>
    <x v="71"/>
    <x v="1"/>
    <x v="13"/>
    <x v="580"/>
  </r>
  <r>
    <x v="0"/>
    <n v="357"/>
    <x v="255"/>
    <x v="1"/>
    <s v="CM"/>
    <s v="N"/>
    <x v="217"/>
    <x v="2"/>
    <x v="42"/>
    <m/>
    <x v="39"/>
    <m/>
    <x v="3"/>
    <x v="0"/>
    <x v="38"/>
    <m/>
    <x v="13"/>
    <x v="0"/>
    <m/>
    <m/>
    <x v="0"/>
    <x v="1"/>
    <m/>
    <x v="0"/>
    <x v="2"/>
    <x v="257"/>
    <x v="3"/>
    <x v="0"/>
    <x v="1"/>
    <x v="38"/>
    <x v="581"/>
  </r>
  <r>
    <x v="0"/>
    <n v="359"/>
    <x v="256"/>
    <x v="1"/>
    <s v="CM"/>
    <s v="N"/>
    <x v="218"/>
    <x v="2"/>
    <x v="21"/>
    <m/>
    <x v="21"/>
    <m/>
    <x v="3"/>
    <x v="0"/>
    <x v="15"/>
    <d v="2011-12-03T00:00:00"/>
    <x v="12"/>
    <x v="1"/>
    <s v="Curtas Documentário"/>
    <m/>
    <x v="0"/>
    <x v="0"/>
    <m/>
    <x v="0"/>
    <x v="2"/>
    <x v="258"/>
    <x v="3"/>
    <x v="0"/>
    <x v="1"/>
    <x v="15"/>
    <x v="582"/>
  </r>
  <r>
    <x v="0"/>
    <n v="360"/>
    <x v="257"/>
    <x v="4"/>
    <s v=""/>
    <s v=""/>
    <x v="219"/>
    <x v="2"/>
    <x v="61"/>
    <m/>
    <x v="50"/>
    <m/>
    <x v="13"/>
    <x v="0"/>
    <x v="57"/>
    <d v="2011-02-25T00:00:00"/>
    <x v="1"/>
    <x v="0"/>
    <m/>
    <m/>
    <x v="0"/>
    <x v="1"/>
    <m/>
    <x v="0"/>
    <x v="7"/>
    <x v="259"/>
    <x v="13"/>
    <x v="0"/>
    <x v="0"/>
    <x v="57"/>
    <x v="583"/>
  </r>
  <r>
    <x v="0"/>
    <n v="363"/>
    <x v="258"/>
    <x v="4"/>
    <s v=""/>
    <s v=""/>
    <x v="220"/>
    <x v="2"/>
    <x v="26"/>
    <m/>
    <x v="24"/>
    <m/>
    <x v="3"/>
    <x v="0"/>
    <x v="24"/>
    <d v="2011-03-27T00:00:00"/>
    <x v="2"/>
    <x v="1"/>
    <s v="Curtas de Estudantes"/>
    <m/>
    <x v="68"/>
    <x v="0"/>
    <m/>
    <x v="1"/>
    <x v="7"/>
    <x v="260"/>
    <x v="3"/>
    <x v="72"/>
    <x v="1"/>
    <x v="24"/>
    <x v="584"/>
  </r>
  <r>
    <x v="0"/>
    <n v="366"/>
    <x v="259"/>
    <x v="1"/>
    <s v="CM"/>
    <s v=""/>
    <x v="47"/>
    <x v="2"/>
    <x v="156"/>
    <m/>
    <x v="49"/>
    <m/>
    <x v="3"/>
    <x v="0"/>
    <x v="162"/>
    <m/>
    <x v="6"/>
    <x v="0"/>
    <m/>
    <m/>
    <x v="0"/>
    <x v="1"/>
    <m/>
    <x v="0"/>
    <x v="2"/>
    <x v="261"/>
    <x v="3"/>
    <x v="0"/>
    <x v="1"/>
    <x v="162"/>
    <x v="585"/>
  </r>
  <r>
    <x v="0"/>
    <n v="366"/>
    <x v="259"/>
    <x v="1"/>
    <s v="CM"/>
    <s v=""/>
    <x v="47"/>
    <x v="2"/>
    <x v="58"/>
    <m/>
    <x v="47"/>
    <m/>
    <x v="3"/>
    <x v="0"/>
    <x v="53"/>
    <d v="2011-09-04T00:00:00"/>
    <x v="9"/>
    <x v="0"/>
    <m/>
    <m/>
    <x v="0"/>
    <x v="1"/>
    <m/>
    <x v="0"/>
    <x v="2"/>
    <x v="261"/>
    <x v="3"/>
    <x v="0"/>
    <x v="1"/>
    <x v="53"/>
    <x v="586"/>
  </r>
  <r>
    <x v="0"/>
    <n v="369"/>
    <x v="260"/>
    <x v="1"/>
    <s v="CM"/>
    <s v="N"/>
    <x v="221"/>
    <x v="5"/>
    <x v="22"/>
    <m/>
    <x v="22"/>
    <m/>
    <x v="3"/>
    <x v="0"/>
    <x v="20"/>
    <d v="2011-11-17T00:00:00"/>
    <x v="13"/>
    <x v="1"/>
    <s v="Sessão Competitiva 11"/>
    <m/>
    <x v="0"/>
    <x v="0"/>
    <m/>
    <x v="0"/>
    <x v="2"/>
    <x v="262"/>
    <x v="3"/>
    <x v="0"/>
    <x v="1"/>
    <x v="20"/>
    <x v="587"/>
  </r>
  <r>
    <x v="0"/>
    <n v="370"/>
    <x v="261"/>
    <x v="2"/>
    <s v="CM"/>
    <s v="N"/>
    <x v="222"/>
    <x v="2"/>
    <x v="22"/>
    <m/>
    <x v="22"/>
    <m/>
    <x v="3"/>
    <x v="0"/>
    <x v="20"/>
    <d v="2011-11-17T00:00:00"/>
    <x v="13"/>
    <x v="1"/>
    <s v="Ensaios Visuais 3"/>
    <m/>
    <x v="0"/>
    <x v="0"/>
    <m/>
    <x v="0"/>
    <x v="4"/>
    <x v="263"/>
    <x v="3"/>
    <x v="0"/>
    <x v="1"/>
    <x v="20"/>
    <x v="588"/>
  </r>
  <r>
    <x v="0"/>
    <n v="371"/>
    <x v="262"/>
    <x v="4"/>
    <s v=""/>
    <s v=""/>
    <x v="223"/>
    <x v="2"/>
    <x v="63"/>
    <m/>
    <x v="24"/>
    <m/>
    <x v="3"/>
    <x v="0"/>
    <x v="59"/>
    <d v="2011-05-01T00:00:00"/>
    <x v="4"/>
    <x v="0"/>
    <m/>
    <s v="Cinema para a Inclusão"/>
    <x v="0"/>
    <x v="0"/>
    <m/>
    <x v="0"/>
    <x v="7"/>
    <x v="264"/>
    <x v="3"/>
    <x v="0"/>
    <x v="1"/>
    <x v="59"/>
    <x v="589"/>
  </r>
  <r>
    <x v="0"/>
    <n v="372"/>
    <x v="263"/>
    <x v="4"/>
    <s v=""/>
    <s v=""/>
    <x v="224"/>
    <x v="2"/>
    <x v="22"/>
    <m/>
    <x v="22"/>
    <m/>
    <x v="3"/>
    <x v="0"/>
    <x v="20"/>
    <d v="2011-11-17T00:00:00"/>
    <x v="13"/>
    <x v="1"/>
    <s v="Sessão Competitiva 16"/>
    <m/>
    <x v="0"/>
    <x v="0"/>
    <m/>
    <x v="0"/>
    <x v="7"/>
    <x v="265"/>
    <x v="3"/>
    <x v="0"/>
    <x v="1"/>
    <x v="20"/>
    <x v="590"/>
  </r>
  <r>
    <x v="0"/>
    <n v="374"/>
    <x v="264"/>
    <x v="4"/>
    <s v=""/>
    <s v=""/>
    <x v="225"/>
    <x v="2"/>
    <x v="12"/>
    <m/>
    <x v="12"/>
    <m/>
    <x v="2"/>
    <x v="0"/>
    <x v="11"/>
    <d v="2011-09-27T00:00:00"/>
    <x v="9"/>
    <x v="0"/>
    <m/>
    <s v="Désir d'Eternité"/>
    <x v="0"/>
    <x v="1"/>
    <m/>
    <x v="0"/>
    <x v="7"/>
    <x v="266"/>
    <x v="2"/>
    <x v="0"/>
    <x v="0"/>
    <x v="11"/>
    <x v="591"/>
  </r>
  <r>
    <x v="0"/>
    <n v="375"/>
    <x v="265"/>
    <x v="1"/>
    <s v="CM"/>
    <s v=""/>
    <x v="226"/>
    <x v="2"/>
    <x v="14"/>
    <m/>
    <x v="14"/>
    <m/>
    <x v="3"/>
    <x v="0"/>
    <x v="13"/>
    <d v="2011-11-05T00:00:00"/>
    <x v="0"/>
    <x v="1"/>
    <m/>
    <s v="Competição Longas Metragens"/>
    <x v="0"/>
    <x v="0"/>
    <m/>
    <x v="0"/>
    <x v="2"/>
    <x v="267"/>
    <x v="3"/>
    <x v="0"/>
    <x v="1"/>
    <x v="13"/>
    <x v="592"/>
  </r>
  <r>
    <x v="0"/>
    <n v="375"/>
    <x v="265"/>
    <x v="1"/>
    <s v="CM"/>
    <s v=""/>
    <x v="226"/>
    <x v="2"/>
    <x v="22"/>
    <m/>
    <x v="22"/>
    <m/>
    <x v="3"/>
    <x v="0"/>
    <x v="20"/>
    <d v="2011-11-17T00:00:00"/>
    <x v="13"/>
    <x v="1"/>
    <s v="Sessão Competitiva 9"/>
    <m/>
    <x v="0"/>
    <x v="0"/>
    <m/>
    <x v="0"/>
    <x v="2"/>
    <x v="267"/>
    <x v="3"/>
    <x v="0"/>
    <x v="1"/>
    <x v="20"/>
    <x v="593"/>
  </r>
  <r>
    <x v="0"/>
    <n v="376"/>
    <x v="266"/>
    <x v="4"/>
    <s v=""/>
    <s v=""/>
    <x v="227"/>
    <x v="2"/>
    <x v="226"/>
    <m/>
    <x v="158"/>
    <m/>
    <x v="5"/>
    <x v="0"/>
    <x v="156"/>
    <d v="2011-10-16T00:00:00"/>
    <x v="14"/>
    <x v="0"/>
    <s v="Liebe &amp; andere Grausamkeiten"/>
    <m/>
    <x v="0"/>
    <x v="0"/>
    <m/>
    <x v="0"/>
    <x v="7"/>
    <x v="268"/>
    <x v="5"/>
    <x v="0"/>
    <x v="0"/>
    <x v="156"/>
    <x v="594"/>
  </r>
  <r>
    <x v="0"/>
    <n v="377"/>
    <x v="267"/>
    <x v="4"/>
    <s v=""/>
    <s v=""/>
    <x v="228"/>
    <x v="2"/>
    <x v="22"/>
    <m/>
    <x v="22"/>
    <m/>
    <x v="3"/>
    <x v="0"/>
    <x v="20"/>
    <d v="2011-11-17T00:00:00"/>
    <x v="13"/>
    <x v="1"/>
    <s v="Ensaios Visuais 2"/>
    <m/>
    <x v="0"/>
    <x v="0"/>
    <m/>
    <x v="0"/>
    <x v="7"/>
    <x v="269"/>
    <x v="3"/>
    <x v="0"/>
    <x v="1"/>
    <x v="20"/>
    <x v="595"/>
  </r>
  <r>
    <x v="0"/>
    <n v="378"/>
    <x v="268"/>
    <x v="4"/>
    <s v=""/>
    <s v=""/>
    <x v="229"/>
    <x v="2"/>
    <x v="178"/>
    <m/>
    <x v="25"/>
    <m/>
    <x v="3"/>
    <x v="0"/>
    <x v="44"/>
    <d v="2011-07-03T00:00:00"/>
    <x v="17"/>
    <x v="1"/>
    <s v="Sessão Competitiva Documentário 4"/>
    <m/>
    <x v="0"/>
    <x v="0"/>
    <m/>
    <x v="0"/>
    <x v="7"/>
    <x v="270"/>
    <x v="3"/>
    <x v="0"/>
    <x v="1"/>
    <x v="44"/>
    <x v="596"/>
  </r>
  <r>
    <x v="0"/>
    <n v="378"/>
    <x v="268"/>
    <x v="4"/>
    <s v=""/>
    <s v=""/>
    <x v="229"/>
    <x v="2"/>
    <x v="22"/>
    <m/>
    <x v="22"/>
    <m/>
    <x v="3"/>
    <x v="0"/>
    <x v="20"/>
    <d v="2011-11-17T00:00:00"/>
    <x v="13"/>
    <x v="1"/>
    <s v="Ensaios Visuais 5"/>
    <m/>
    <x v="0"/>
    <x v="0"/>
    <m/>
    <x v="0"/>
    <x v="7"/>
    <x v="270"/>
    <x v="3"/>
    <x v="0"/>
    <x v="1"/>
    <x v="20"/>
    <x v="597"/>
  </r>
  <r>
    <x v="0"/>
    <n v="380"/>
    <x v="269"/>
    <x v="3"/>
    <s v="CM"/>
    <s v="N"/>
    <x v="230"/>
    <x v="2"/>
    <x v="22"/>
    <m/>
    <x v="22"/>
    <m/>
    <x v="3"/>
    <x v="0"/>
    <x v="20"/>
    <d v="2011-11-17T00:00:00"/>
    <x v="13"/>
    <x v="1"/>
    <s v="Ensaios Visuais 5"/>
    <m/>
    <x v="0"/>
    <x v="0"/>
    <m/>
    <x v="0"/>
    <x v="6"/>
    <x v="271"/>
    <x v="3"/>
    <x v="0"/>
    <x v="1"/>
    <x v="20"/>
    <x v="598"/>
  </r>
  <r>
    <x v="0"/>
    <n v="381"/>
    <x v="270"/>
    <x v="0"/>
    <s v="CM"/>
    <s v="N"/>
    <x v="215"/>
    <x v="2"/>
    <x v="107"/>
    <m/>
    <x v="83"/>
    <m/>
    <x v="3"/>
    <x v="0"/>
    <x v="25"/>
    <d v="2011-11-10T00:00:00"/>
    <x v="13"/>
    <x v="1"/>
    <m/>
    <m/>
    <x v="0"/>
    <x v="0"/>
    <m/>
    <x v="0"/>
    <x v="0"/>
    <x v="272"/>
    <x v="3"/>
    <x v="0"/>
    <x v="1"/>
    <x v="25"/>
    <x v="599"/>
  </r>
  <r>
    <x v="0"/>
    <n v="382"/>
    <x v="271"/>
    <x v="3"/>
    <s v="CM"/>
    <s v="S"/>
    <x v="231"/>
    <x v="2"/>
    <x v="14"/>
    <m/>
    <x v="14"/>
    <m/>
    <x v="3"/>
    <x v="0"/>
    <x v="13"/>
    <d v="2011-11-05T00:00:00"/>
    <x v="0"/>
    <x v="1"/>
    <s v="Competição Curtas Metragens"/>
    <m/>
    <x v="0"/>
    <x v="0"/>
    <m/>
    <x v="0"/>
    <x v="6"/>
    <x v="273"/>
    <x v="3"/>
    <x v="0"/>
    <x v="1"/>
    <x v="13"/>
    <x v="600"/>
  </r>
  <r>
    <x v="0"/>
    <n v="385"/>
    <x v="272"/>
    <x v="2"/>
    <s v="CM"/>
    <s v="S"/>
    <x v="232"/>
    <x v="1"/>
    <x v="124"/>
    <m/>
    <x v="95"/>
    <m/>
    <x v="2"/>
    <x v="0"/>
    <x v="9"/>
    <d v="2011-07-09T00:00:00"/>
    <x v="8"/>
    <x v="0"/>
    <m/>
    <s v="L'Animation à l'Honneur - Programmation Casa da Animação 1ère Partie"/>
    <x v="0"/>
    <x v="1"/>
    <m/>
    <x v="0"/>
    <x v="4"/>
    <x v="274"/>
    <x v="2"/>
    <x v="0"/>
    <x v="0"/>
    <x v="9"/>
    <x v="601"/>
  </r>
  <r>
    <x v="0"/>
    <n v="385"/>
    <x v="272"/>
    <x v="2"/>
    <s v="CM"/>
    <s v="S"/>
    <x v="232"/>
    <x v="1"/>
    <x v="220"/>
    <m/>
    <x v="154"/>
    <m/>
    <x v="0"/>
    <x v="0"/>
    <x v="160"/>
    <d v="2011-07-31T00:00:00"/>
    <x v="8"/>
    <x v="0"/>
    <m/>
    <s v="Panorama Internacional 1"/>
    <x v="0"/>
    <x v="0"/>
    <m/>
    <x v="0"/>
    <x v="4"/>
    <x v="274"/>
    <x v="0"/>
    <x v="0"/>
    <x v="0"/>
    <x v="160"/>
    <x v="602"/>
  </r>
  <r>
    <x v="0"/>
    <n v="385"/>
    <x v="272"/>
    <x v="2"/>
    <s v="CM"/>
    <s v="S"/>
    <x v="232"/>
    <x v="1"/>
    <x v="139"/>
    <m/>
    <x v="106"/>
    <m/>
    <x v="15"/>
    <x v="0"/>
    <x v="109"/>
    <d v="2011-07-30T00:00:00"/>
    <x v="8"/>
    <x v="1"/>
    <s v="Nazionale 8"/>
    <m/>
    <x v="0"/>
    <x v="0"/>
    <m/>
    <x v="0"/>
    <x v="4"/>
    <x v="274"/>
    <x v="15"/>
    <x v="0"/>
    <x v="0"/>
    <x v="109"/>
    <x v="603"/>
  </r>
  <r>
    <x v="0"/>
    <n v="385"/>
    <x v="272"/>
    <x v="2"/>
    <s v="CM"/>
    <s v="S"/>
    <x v="232"/>
    <x v="1"/>
    <x v="48"/>
    <m/>
    <x v="24"/>
    <m/>
    <x v="3"/>
    <x v="0"/>
    <x v="21"/>
    <d v="2011-09-11T00:00:00"/>
    <x v="9"/>
    <x v="1"/>
    <s v="Prémio Motelx . Melhor Curta de Terror Portuguesa"/>
    <m/>
    <x v="0"/>
    <x v="0"/>
    <m/>
    <x v="0"/>
    <x v="4"/>
    <x v="274"/>
    <x v="3"/>
    <x v="0"/>
    <x v="1"/>
    <x v="21"/>
    <x v="604"/>
  </r>
  <r>
    <x v="0"/>
    <n v="385"/>
    <x v="272"/>
    <x v="2"/>
    <s v="CM"/>
    <s v="S"/>
    <x v="232"/>
    <x v="1"/>
    <x v="10"/>
    <m/>
    <x v="10"/>
    <m/>
    <x v="0"/>
    <x v="0"/>
    <x v="10"/>
    <d v="2011-09-25T00:00:00"/>
    <x v="9"/>
    <x v="1"/>
    <s v="Andorinha Curta Animação"/>
    <m/>
    <x v="0"/>
    <x v="0"/>
    <m/>
    <x v="0"/>
    <x v="4"/>
    <x v="274"/>
    <x v="0"/>
    <x v="0"/>
    <x v="0"/>
    <x v="10"/>
    <x v="605"/>
  </r>
  <r>
    <x v="0"/>
    <n v="385"/>
    <x v="272"/>
    <x v="2"/>
    <s v="CM"/>
    <s v="S"/>
    <x v="232"/>
    <x v="1"/>
    <x v="78"/>
    <m/>
    <x v="59"/>
    <m/>
    <x v="3"/>
    <x v="0"/>
    <x v="66"/>
    <d v="2011-10-30T00:00:00"/>
    <x v="14"/>
    <x v="1"/>
    <s v="Competição Nacional"/>
    <m/>
    <x v="0"/>
    <x v="0"/>
    <m/>
    <x v="0"/>
    <x v="4"/>
    <x v="274"/>
    <x v="3"/>
    <x v="0"/>
    <x v="1"/>
    <x v="66"/>
    <x v="606"/>
  </r>
  <r>
    <x v="0"/>
    <n v="387"/>
    <x v="273"/>
    <x v="4"/>
    <s v=""/>
    <s v=""/>
    <x v="233"/>
    <x v="2"/>
    <x v="39"/>
    <m/>
    <x v="23"/>
    <m/>
    <x v="3"/>
    <x v="0"/>
    <x v="163"/>
    <m/>
    <x v="9"/>
    <x v="0"/>
    <m/>
    <m/>
    <x v="0"/>
    <x v="1"/>
    <m/>
    <x v="0"/>
    <x v="7"/>
    <x v="275"/>
    <x v="3"/>
    <x v="0"/>
    <x v="1"/>
    <x v="163"/>
    <x v="607"/>
  </r>
  <r>
    <x v="0"/>
    <n v="388"/>
    <x v="274"/>
    <x v="4"/>
    <s v=""/>
    <s v=""/>
    <x v="234"/>
    <x v="2"/>
    <x v="97"/>
    <m/>
    <x v="76"/>
    <m/>
    <x v="3"/>
    <x v="0"/>
    <x v="86"/>
    <d v="2011-11-19T00:00:00"/>
    <x v="13"/>
    <x v="1"/>
    <s v="Naval VideoSub"/>
    <m/>
    <x v="69"/>
    <x v="0"/>
    <m/>
    <x v="1"/>
    <x v="7"/>
    <x v="276"/>
    <x v="3"/>
    <x v="73"/>
    <x v="1"/>
    <x v="86"/>
    <x v="608"/>
  </r>
  <r>
    <x v="0"/>
    <n v="389"/>
    <x v="275"/>
    <x v="1"/>
    <s v="LM"/>
    <s v="N"/>
    <x v="235"/>
    <x v="3"/>
    <x v="157"/>
    <m/>
    <x v="120"/>
    <m/>
    <x v="1"/>
    <x v="0"/>
    <x v="41"/>
    <d v="2011-11-25T00:00:00"/>
    <x v="13"/>
    <x v="1"/>
    <s v="Transfrontera"/>
    <m/>
    <x v="70"/>
    <x v="0"/>
    <m/>
    <x v="1"/>
    <x v="1"/>
    <x v="277"/>
    <x v="1"/>
    <x v="74"/>
    <x v="0"/>
    <x v="41"/>
    <x v="609"/>
  </r>
  <r>
    <x v="0"/>
    <n v="391"/>
    <x v="276"/>
    <x v="4"/>
    <s v=""/>
    <s v=""/>
    <x v="236"/>
    <x v="2"/>
    <x v="128"/>
    <m/>
    <x v="98"/>
    <m/>
    <x v="29"/>
    <x v="0"/>
    <x v="104"/>
    <d v="2011-05-28T00:00:00"/>
    <x v="6"/>
    <x v="0"/>
    <m/>
    <m/>
    <x v="0"/>
    <x v="1"/>
    <m/>
    <x v="0"/>
    <x v="7"/>
    <x v="278"/>
    <x v="29"/>
    <x v="0"/>
    <x v="0"/>
    <x v="104"/>
    <x v="610"/>
  </r>
  <r>
    <x v="0"/>
    <n v="392"/>
    <x v="277"/>
    <x v="1"/>
    <s v="CM"/>
    <s v="N"/>
    <x v="237"/>
    <x v="2"/>
    <x v="68"/>
    <m/>
    <x v="53"/>
    <m/>
    <x v="3"/>
    <x v="0"/>
    <x v="64"/>
    <d v="2011-07-17T00:00:00"/>
    <x v="8"/>
    <x v="1"/>
    <s v="Take One!"/>
    <m/>
    <x v="7"/>
    <x v="0"/>
    <m/>
    <x v="1"/>
    <x v="2"/>
    <x v="279"/>
    <x v="3"/>
    <x v="75"/>
    <x v="1"/>
    <x v="64"/>
    <x v="611"/>
  </r>
  <r>
    <x v="0"/>
    <n v="392"/>
    <x v="277"/>
    <x v="1"/>
    <s v="CM"/>
    <s v="N"/>
    <x v="237"/>
    <x v="2"/>
    <x v="22"/>
    <m/>
    <x v="22"/>
    <m/>
    <x v="3"/>
    <x v="0"/>
    <x v="20"/>
    <d v="2011-11-17T00:00:00"/>
    <x v="13"/>
    <x v="1"/>
    <s v="Ensaios Visuais 5"/>
    <m/>
    <x v="0"/>
    <x v="0"/>
    <m/>
    <x v="0"/>
    <x v="2"/>
    <x v="279"/>
    <x v="3"/>
    <x v="0"/>
    <x v="1"/>
    <x v="20"/>
    <x v="612"/>
  </r>
  <r>
    <x v="0"/>
    <n v="394"/>
    <x v="278"/>
    <x v="0"/>
    <s v="CM"/>
    <s v="S"/>
    <x v="238"/>
    <x v="5"/>
    <x v="63"/>
    <m/>
    <x v="24"/>
    <m/>
    <x v="3"/>
    <x v="0"/>
    <x v="59"/>
    <d v="2011-05-01T00:00:00"/>
    <x v="4"/>
    <x v="1"/>
    <s v="Sessão Competitiva Curta 3"/>
    <m/>
    <x v="0"/>
    <x v="0"/>
    <m/>
    <x v="0"/>
    <x v="0"/>
    <x v="280"/>
    <x v="3"/>
    <x v="0"/>
    <x v="1"/>
    <x v="59"/>
    <x v="613"/>
  </r>
  <r>
    <x v="0"/>
    <n v="394"/>
    <x v="278"/>
    <x v="0"/>
    <s v="CM"/>
    <s v="S"/>
    <x v="238"/>
    <x v="5"/>
    <x v="115"/>
    <m/>
    <x v="88"/>
    <m/>
    <x v="25"/>
    <x v="0"/>
    <x v="67"/>
    <d v="2011-11-12T00:00:00"/>
    <x v="13"/>
    <x v="1"/>
    <s v="Bester Professioneller Film"/>
    <m/>
    <x v="71"/>
    <x v="0"/>
    <m/>
    <x v="1"/>
    <x v="0"/>
    <x v="280"/>
    <x v="25"/>
    <x v="76"/>
    <x v="0"/>
    <x v="67"/>
    <x v="614"/>
  </r>
  <r>
    <x v="0"/>
    <n v="394"/>
    <x v="278"/>
    <x v="0"/>
    <s v="CM"/>
    <s v="S"/>
    <x v="238"/>
    <x v="5"/>
    <x v="72"/>
    <m/>
    <x v="22"/>
    <m/>
    <x v="3"/>
    <x v="0"/>
    <x v="14"/>
    <d v="2011-11-26T00:00:00"/>
    <x v="13"/>
    <x v="0"/>
    <m/>
    <m/>
    <x v="0"/>
    <x v="1"/>
    <m/>
    <x v="0"/>
    <x v="0"/>
    <x v="280"/>
    <x v="3"/>
    <x v="0"/>
    <x v="1"/>
    <x v="14"/>
    <x v="615"/>
  </r>
  <r>
    <x v="0"/>
    <n v="394"/>
    <x v="278"/>
    <x v="0"/>
    <s v="CM"/>
    <s v="S"/>
    <x v="238"/>
    <x v="5"/>
    <x v="108"/>
    <m/>
    <x v="84"/>
    <m/>
    <x v="22"/>
    <x v="0"/>
    <x v="93"/>
    <m/>
    <x v="13"/>
    <x v="1"/>
    <s v="Fiction"/>
    <m/>
    <x v="12"/>
    <x v="0"/>
    <m/>
    <x v="1"/>
    <x v="0"/>
    <x v="280"/>
    <x v="22"/>
    <x v="12"/>
    <x v="0"/>
    <x v="93"/>
    <x v="616"/>
  </r>
  <r>
    <x v="0"/>
    <n v="395"/>
    <x v="279"/>
    <x v="0"/>
    <s v="LM"/>
    <s v="S"/>
    <x v="239"/>
    <x v="5"/>
    <x v="185"/>
    <m/>
    <x v="136"/>
    <m/>
    <x v="7"/>
    <x v="0"/>
    <x v="55"/>
    <d v="2011-09-18T00:00:00"/>
    <x v="9"/>
    <x v="0"/>
    <m/>
    <s v="Visions"/>
    <x v="0"/>
    <x v="0"/>
    <m/>
    <x v="0"/>
    <x v="5"/>
    <x v="281"/>
    <x v="7"/>
    <x v="0"/>
    <x v="0"/>
    <x v="55"/>
    <x v="617"/>
  </r>
  <r>
    <x v="0"/>
    <n v="395"/>
    <x v="279"/>
    <x v="0"/>
    <s v="LM"/>
    <s v="S"/>
    <x v="239"/>
    <x v="5"/>
    <x v="179"/>
    <m/>
    <x v="133"/>
    <m/>
    <x v="0"/>
    <x v="0"/>
    <x v="127"/>
    <d v="2011-11-03T00:00:00"/>
    <x v="0"/>
    <x v="0"/>
    <m/>
    <s v="Perspectiva Internacional"/>
    <x v="0"/>
    <x v="1"/>
    <m/>
    <x v="0"/>
    <x v="5"/>
    <x v="281"/>
    <x v="0"/>
    <x v="0"/>
    <x v="0"/>
    <x v="127"/>
    <x v="618"/>
  </r>
  <r>
    <x v="0"/>
    <n v="396"/>
    <x v="280"/>
    <x v="0"/>
    <s v="CM"/>
    <s v="S"/>
    <x v="240"/>
    <x v="2"/>
    <x v="227"/>
    <m/>
    <x v="22"/>
    <m/>
    <x v="3"/>
    <x v="0"/>
    <x v="130"/>
    <d v="2011-03-06T00:00:00"/>
    <x v="2"/>
    <x v="0"/>
    <m/>
    <m/>
    <x v="0"/>
    <x v="1"/>
    <m/>
    <x v="0"/>
    <x v="0"/>
    <x v="282"/>
    <x v="3"/>
    <x v="0"/>
    <x v="1"/>
    <x v="130"/>
    <x v="619"/>
  </r>
  <r>
    <x v="0"/>
    <n v="396"/>
    <x v="280"/>
    <x v="0"/>
    <s v="CM"/>
    <s v="S"/>
    <x v="240"/>
    <x v="2"/>
    <x v="166"/>
    <m/>
    <x v="126"/>
    <m/>
    <x v="37"/>
    <x v="0"/>
    <x v="51"/>
    <d v="2011-06-29T00:00:00"/>
    <x v="7"/>
    <x v="0"/>
    <m/>
    <m/>
    <x v="0"/>
    <x v="0"/>
    <m/>
    <x v="0"/>
    <x v="0"/>
    <x v="282"/>
    <x v="37"/>
    <x v="0"/>
    <x v="0"/>
    <x v="51"/>
    <x v="620"/>
  </r>
  <r>
    <x v="0"/>
    <n v="396"/>
    <x v="280"/>
    <x v="0"/>
    <s v="CM"/>
    <s v="S"/>
    <x v="240"/>
    <x v="2"/>
    <x v="228"/>
    <m/>
    <x v="159"/>
    <m/>
    <x v="46"/>
    <x v="0"/>
    <x v="39"/>
    <d v="2011-11-20T00:00:00"/>
    <x v="0"/>
    <x v="0"/>
    <m/>
    <m/>
    <x v="0"/>
    <x v="0"/>
    <m/>
    <x v="0"/>
    <x v="0"/>
    <x v="282"/>
    <x v="46"/>
    <x v="0"/>
    <x v="0"/>
    <x v="39"/>
    <x v="621"/>
  </r>
  <r>
    <x v="0"/>
    <n v="396"/>
    <x v="280"/>
    <x v="0"/>
    <s v="CM"/>
    <s v="S"/>
    <x v="240"/>
    <x v="2"/>
    <x v="37"/>
    <m/>
    <x v="35"/>
    <m/>
    <x v="2"/>
    <x v="0"/>
    <x v="15"/>
    <d v="2011-12-04T00:00:00"/>
    <x v="12"/>
    <x v="1"/>
    <s v="Compétition international 2"/>
    <m/>
    <x v="72"/>
    <x v="0"/>
    <m/>
    <x v="1"/>
    <x v="0"/>
    <x v="282"/>
    <x v="2"/>
    <x v="77"/>
    <x v="0"/>
    <x v="15"/>
    <x v="622"/>
  </r>
  <r>
    <x v="0"/>
    <n v="397"/>
    <x v="281"/>
    <x v="4"/>
    <s v=""/>
    <s v=""/>
    <x v="241"/>
    <x v="2"/>
    <x v="112"/>
    <m/>
    <x v="23"/>
    <m/>
    <x v="3"/>
    <x v="0"/>
    <x v="97"/>
    <d v="2011-05-14T00:00:00"/>
    <x v="6"/>
    <x v="1"/>
    <s v="Competição Vídeo 4"/>
    <m/>
    <x v="0"/>
    <x v="0"/>
    <m/>
    <x v="0"/>
    <x v="7"/>
    <x v="283"/>
    <x v="3"/>
    <x v="0"/>
    <x v="1"/>
    <x v="97"/>
    <x v="623"/>
  </r>
  <r>
    <x v="0"/>
    <n v="400"/>
    <x v="282"/>
    <x v="4"/>
    <s v=""/>
    <s v=""/>
    <x v="242"/>
    <x v="2"/>
    <x v="146"/>
    <m/>
    <x v="24"/>
    <m/>
    <x v="3"/>
    <x v="0"/>
    <x v="112"/>
    <d v="2011-05-15T00:00:00"/>
    <x v="6"/>
    <x v="0"/>
    <m/>
    <s v="Sessões Especiais"/>
    <x v="0"/>
    <x v="0"/>
    <m/>
    <x v="0"/>
    <x v="7"/>
    <x v="284"/>
    <x v="3"/>
    <x v="0"/>
    <x v="1"/>
    <x v="112"/>
    <x v="624"/>
  </r>
  <r>
    <x v="0"/>
    <n v="400"/>
    <x v="282"/>
    <x v="4"/>
    <s v=""/>
    <s v=""/>
    <x v="242"/>
    <x v="2"/>
    <x v="14"/>
    <m/>
    <x v="14"/>
    <m/>
    <x v="3"/>
    <x v="0"/>
    <x v="13"/>
    <d v="2011-11-05T00:00:00"/>
    <x v="0"/>
    <x v="0"/>
    <m/>
    <s v="Sessão Especial"/>
    <x v="0"/>
    <x v="0"/>
    <m/>
    <x v="0"/>
    <x v="7"/>
    <x v="284"/>
    <x v="3"/>
    <x v="0"/>
    <x v="1"/>
    <x v="13"/>
    <x v="625"/>
  </r>
  <r>
    <x v="0"/>
    <n v="400"/>
    <x v="282"/>
    <x v="4"/>
    <s v=""/>
    <s v=""/>
    <x v="242"/>
    <x v="2"/>
    <x v="99"/>
    <m/>
    <x v="78"/>
    <m/>
    <x v="20"/>
    <x v="0"/>
    <x v="69"/>
    <d v="2011-11-13T00:00:00"/>
    <x v="13"/>
    <x v="0"/>
    <m/>
    <s v="World Cinema Features"/>
    <x v="0"/>
    <x v="0"/>
    <m/>
    <x v="0"/>
    <x v="7"/>
    <x v="284"/>
    <x v="20"/>
    <x v="0"/>
    <x v="0"/>
    <x v="69"/>
    <x v="626"/>
  </r>
  <r>
    <x v="0"/>
    <n v="400"/>
    <x v="282"/>
    <x v="4"/>
    <s v=""/>
    <s v=""/>
    <x v="242"/>
    <x v="2"/>
    <x v="151"/>
    <m/>
    <x v="116"/>
    <m/>
    <x v="1"/>
    <x v="0"/>
    <x v="34"/>
    <d v="2011-11-26T00:00:00"/>
    <x v="13"/>
    <x v="0"/>
    <m/>
    <s v="Géneros Mutantes"/>
    <x v="0"/>
    <x v="0"/>
    <m/>
    <x v="0"/>
    <x v="7"/>
    <x v="284"/>
    <x v="1"/>
    <x v="0"/>
    <x v="0"/>
    <x v="34"/>
    <x v="627"/>
  </r>
  <r>
    <x v="0"/>
    <n v="401"/>
    <x v="283"/>
    <x v="0"/>
    <s v="CM"/>
    <s v="N"/>
    <x v="243"/>
    <x v="2"/>
    <x v="22"/>
    <m/>
    <x v="22"/>
    <m/>
    <x v="3"/>
    <x v="0"/>
    <x v="20"/>
    <d v="2011-11-17T00:00:00"/>
    <x v="13"/>
    <x v="1"/>
    <s v="Sessão Competitiva 9"/>
    <m/>
    <x v="0"/>
    <x v="0"/>
    <m/>
    <x v="0"/>
    <x v="0"/>
    <x v="285"/>
    <x v="3"/>
    <x v="0"/>
    <x v="1"/>
    <x v="20"/>
    <x v="628"/>
  </r>
  <r>
    <x v="0"/>
    <n v="402"/>
    <x v="284"/>
    <x v="0"/>
    <s v="CM"/>
    <s v="S"/>
    <x v="244"/>
    <x v="1"/>
    <x v="156"/>
    <m/>
    <x v="49"/>
    <m/>
    <x v="3"/>
    <x v="0"/>
    <x v="164"/>
    <m/>
    <x v="5"/>
    <x v="0"/>
    <m/>
    <m/>
    <x v="0"/>
    <x v="1"/>
    <m/>
    <x v="0"/>
    <x v="0"/>
    <x v="286"/>
    <x v="3"/>
    <x v="0"/>
    <x v="1"/>
    <x v="164"/>
    <x v="629"/>
  </r>
  <r>
    <x v="0"/>
    <n v="403"/>
    <x v="285"/>
    <x v="4"/>
    <s v=""/>
    <s v=""/>
    <x v="245"/>
    <x v="2"/>
    <x v="68"/>
    <m/>
    <x v="53"/>
    <m/>
    <x v="3"/>
    <x v="0"/>
    <x v="64"/>
    <d v="2011-07-17T00:00:00"/>
    <x v="8"/>
    <x v="1"/>
    <s v="Competição Experimental"/>
    <m/>
    <x v="0"/>
    <x v="0"/>
    <m/>
    <x v="0"/>
    <x v="7"/>
    <x v="287"/>
    <x v="3"/>
    <x v="0"/>
    <x v="1"/>
    <x v="64"/>
    <x v="630"/>
  </r>
  <r>
    <x v="0"/>
    <n v="403"/>
    <x v="285"/>
    <x v="4"/>
    <s v=""/>
    <s v=""/>
    <x v="245"/>
    <x v="2"/>
    <x v="133"/>
    <m/>
    <x v="101"/>
    <m/>
    <x v="3"/>
    <x v="0"/>
    <x v="108"/>
    <d v="2011-12-11T00:00:00"/>
    <x v="12"/>
    <x v="0"/>
    <m/>
    <s v="Sessão Especial 4 - Porto de Honra"/>
    <x v="0"/>
    <x v="0"/>
    <m/>
    <x v="0"/>
    <x v="7"/>
    <x v="287"/>
    <x v="3"/>
    <x v="0"/>
    <x v="1"/>
    <x v="108"/>
    <x v="631"/>
  </r>
  <r>
    <x v="0"/>
    <n v="403"/>
    <x v="285"/>
    <x v="4"/>
    <s v=""/>
    <s v=""/>
    <x v="245"/>
    <x v="2"/>
    <x v="229"/>
    <m/>
    <x v="160"/>
    <m/>
    <x v="47"/>
    <x v="0"/>
    <x v="148"/>
    <d v="2011-12-20T00:00:00"/>
    <x v="12"/>
    <x v="1"/>
    <s v="International Showcase: Short length Documentaries"/>
    <m/>
    <x v="0"/>
    <x v="0"/>
    <m/>
    <x v="0"/>
    <x v="7"/>
    <x v="287"/>
    <x v="47"/>
    <x v="0"/>
    <x v="0"/>
    <x v="148"/>
    <x v="632"/>
  </r>
  <r>
    <x v="0"/>
    <n v="404"/>
    <x v="286"/>
    <x v="0"/>
    <s v="CM"/>
    <s v="S"/>
    <x v="246"/>
    <x v="1"/>
    <x v="66"/>
    <m/>
    <x v="52"/>
    <m/>
    <x v="3"/>
    <x v="0"/>
    <x v="62"/>
    <d v="2011-06-12T00:00:00"/>
    <x v="7"/>
    <x v="0"/>
    <m/>
    <s v="Cinema Português"/>
    <x v="0"/>
    <x v="0"/>
    <m/>
    <x v="0"/>
    <x v="0"/>
    <x v="288"/>
    <x v="3"/>
    <x v="0"/>
    <x v="1"/>
    <x v="62"/>
    <x v="633"/>
  </r>
  <r>
    <x v="0"/>
    <n v="404"/>
    <x v="286"/>
    <x v="0"/>
    <s v="CM"/>
    <s v="S"/>
    <x v="246"/>
    <x v="1"/>
    <x v="110"/>
    <m/>
    <x v="85"/>
    <m/>
    <x v="23"/>
    <x v="0"/>
    <x v="95"/>
    <m/>
    <x v="7"/>
    <x v="0"/>
    <m/>
    <m/>
    <x v="0"/>
    <x v="1"/>
    <m/>
    <x v="0"/>
    <x v="0"/>
    <x v="288"/>
    <x v="23"/>
    <x v="0"/>
    <x v="0"/>
    <x v="95"/>
    <x v="634"/>
  </r>
  <r>
    <x v="0"/>
    <n v="404"/>
    <x v="286"/>
    <x v="0"/>
    <s v="CM"/>
    <s v="S"/>
    <x v="246"/>
    <x v="1"/>
    <x v="10"/>
    <m/>
    <x v="10"/>
    <m/>
    <x v="0"/>
    <x v="0"/>
    <x v="10"/>
    <d v="2011-09-25T00:00:00"/>
    <x v="9"/>
    <x v="1"/>
    <s v="Andorinha Curta Ficção"/>
    <m/>
    <x v="73"/>
    <x v="0"/>
    <m/>
    <x v="1"/>
    <x v="0"/>
    <x v="288"/>
    <x v="0"/>
    <x v="78"/>
    <x v="0"/>
    <x v="10"/>
    <x v="635"/>
  </r>
  <r>
    <x v="0"/>
    <n v="404"/>
    <x v="286"/>
    <x v="0"/>
    <s v="CM"/>
    <s v="S"/>
    <x v="246"/>
    <x v="1"/>
    <x v="230"/>
    <m/>
    <x v="161"/>
    <m/>
    <x v="34"/>
    <x v="0"/>
    <x v="165"/>
    <d v="2011-10-09T00:00:00"/>
    <x v="14"/>
    <x v="0"/>
    <m/>
    <m/>
    <x v="0"/>
    <x v="0"/>
    <m/>
    <x v="0"/>
    <x v="0"/>
    <x v="288"/>
    <x v="34"/>
    <x v="0"/>
    <x v="0"/>
    <x v="165"/>
    <x v="636"/>
  </r>
  <r>
    <x v="0"/>
    <n v="404"/>
    <x v="286"/>
    <x v="0"/>
    <s v="CM"/>
    <s v="S"/>
    <x v="246"/>
    <x v="1"/>
    <x v="231"/>
    <m/>
    <x v="71"/>
    <m/>
    <x v="15"/>
    <x v="0"/>
    <x v="166"/>
    <d v="2011-10-29T00:00:00"/>
    <x v="14"/>
    <x v="1"/>
    <s v="Concorso Internazionale"/>
    <m/>
    <x v="0"/>
    <x v="0"/>
    <m/>
    <x v="0"/>
    <x v="0"/>
    <x v="288"/>
    <x v="15"/>
    <x v="0"/>
    <x v="0"/>
    <x v="166"/>
    <x v="637"/>
  </r>
  <r>
    <x v="0"/>
    <n v="404"/>
    <x v="286"/>
    <x v="0"/>
    <s v="CM"/>
    <s v="S"/>
    <x v="246"/>
    <x v="1"/>
    <x v="14"/>
    <m/>
    <x v="14"/>
    <m/>
    <x v="3"/>
    <x v="0"/>
    <x v="13"/>
    <d v="2011-11-05T00:00:00"/>
    <x v="0"/>
    <x v="1"/>
    <s v="Competição Curtas Metragens"/>
    <m/>
    <x v="0"/>
    <x v="0"/>
    <m/>
    <x v="0"/>
    <x v="0"/>
    <x v="288"/>
    <x v="3"/>
    <x v="0"/>
    <x v="1"/>
    <x v="13"/>
    <x v="638"/>
  </r>
  <r>
    <x v="0"/>
    <n v="404"/>
    <x v="286"/>
    <x v="0"/>
    <s v="CM"/>
    <s v="S"/>
    <x v="246"/>
    <x v="1"/>
    <x v="37"/>
    <m/>
    <x v="35"/>
    <m/>
    <x v="2"/>
    <x v="0"/>
    <x v="15"/>
    <d v="2011-12-04T00:00:00"/>
    <x v="12"/>
    <x v="1"/>
    <s v="Compétition international 4"/>
    <m/>
    <x v="74"/>
    <x v="0"/>
    <m/>
    <x v="1"/>
    <x v="0"/>
    <x v="288"/>
    <x v="2"/>
    <x v="79"/>
    <x v="0"/>
    <x v="15"/>
    <x v="639"/>
  </r>
  <r>
    <x v="0"/>
    <n v="408"/>
    <x v="287"/>
    <x v="4"/>
    <s v=""/>
    <s v=""/>
    <x v="20"/>
    <x v="2"/>
    <x v="179"/>
    <m/>
    <x v="133"/>
    <m/>
    <x v="0"/>
    <x v="0"/>
    <x v="127"/>
    <d v="2011-11-03T00:00:00"/>
    <x v="0"/>
    <x v="0"/>
    <m/>
    <s v="Apresentação Especial: O Mundo Invisível"/>
    <x v="0"/>
    <x v="1"/>
    <m/>
    <x v="0"/>
    <x v="7"/>
    <x v="289"/>
    <x v="0"/>
    <x v="0"/>
    <x v="0"/>
    <x v="127"/>
    <x v="640"/>
  </r>
  <r>
    <x v="0"/>
    <n v="409"/>
    <x v="288"/>
    <x v="4"/>
    <s v=""/>
    <s v=""/>
    <x v="247"/>
    <x v="2"/>
    <x v="65"/>
    <m/>
    <x v="51"/>
    <m/>
    <x v="14"/>
    <x v="0"/>
    <x v="61"/>
    <d v="2011-06-03T00:00:00"/>
    <x v="7"/>
    <x v="0"/>
    <m/>
    <m/>
    <x v="0"/>
    <x v="0"/>
    <m/>
    <x v="0"/>
    <x v="7"/>
    <x v="290"/>
    <x v="14"/>
    <x v="0"/>
    <x v="0"/>
    <x v="61"/>
    <x v="641"/>
  </r>
  <r>
    <x v="0"/>
    <n v="410"/>
    <x v="289"/>
    <x v="2"/>
    <s v="Série"/>
    <s v="S"/>
    <x v="73"/>
    <x v="5"/>
    <x v="61"/>
    <m/>
    <x v="50"/>
    <m/>
    <x v="13"/>
    <x v="0"/>
    <x v="57"/>
    <d v="2011-02-25T00:00:00"/>
    <x v="1"/>
    <x v="0"/>
    <m/>
    <m/>
    <x v="0"/>
    <x v="1"/>
    <m/>
    <x v="0"/>
    <x v="9"/>
    <x v="291"/>
    <x v="13"/>
    <x v="0"/>
    <x v="0"/>
    <x v="57"/>
    <x v="642"/>
  </r>
  <r>
    <x v="0"/>
    <n v="410"/>
    <x v="289"/>
    <x v="2"/>
    <s v="Série"/>
    <s v="S"/>
    <x v="73"/>
    <x v="5"/>
    <x v="232"/>
    <m/>
    <x v="162"/>
    <m/>
    <x v="5"/>
    <x v="0"/>
    <x v="112"/>
    <d v="2011-05-10T00:00:00"/>
    <x v="6"/>
    <x v="1"/>
    <s v="Children's and Youth Film Competition"/>
    <m/>
    <x v="0"/>
    <x v="0"/>
    <m/>
    <x v="0"/>
    <x v="9"/>
    <x v="291"/>
    <x v="5"/>
    <x v="0"/>
    <x v="0"/>
    <x v="112"/>
    <x v="643"/>
  </r>
  <r>
    <x v="0"/>
    <n v="410"/>
    <x v="289"/>
    <x v="2"/>
    <s v="Série"/>
    <s v="S"/>
    <x v="73"/>
    <x v="5"/>
    <x v="122"/>
    <m/>
    <x v="93"/>
    <m/>
    <x v="2"/>
    <x v="0"/>
    <x v="100"/>
    <d v="2011-06-11T00:00:00"/>
    <x v="7"/>
    <x v="1"/>
    <s v="Films de Télevision en compétition 5"/>
    <m/>
    <x v="0"/>
    <x v="0"/>
    <m/>
    <x v="0"/>
    <x v="9"/>
    <x v="291"/>
    <x v="2"/>
    <x v="0"/>
    <x v="0"/>
    <x v="100"/>
    <x v="644"/>
  </r>
  <r>
    <x v="0"/>
    <n v="410"/>
    <x v="289"/>
    <x v="2"/>
    <s v="Série"/>
    <s v="S"/>
    <x v="73"/>
    <x v="5"/>
    <x v="233"/>
    <m/>
    <x v="163"/>
    <m/>
    <x v="5"/>
    <x v="0"/>
    <x v="167"/>
    <d v="2011-06-13T00:00:00"/>
    <x v="7"/>
    <x v="1"/>
    <s v="Mo &amp; Friese Children's Short Film Festival - Poppycock &amp; Giggles 4"/>
    <m/>
    <x v="0"/>
    <x v="0"/>
    <m/>
    <x v="0"/>
    <x v="9"/>
    <x v="291"/>
    <x v="5"/>
    <x v="0"/>
    <x v="0"/>
    <x v="167"/>
    <x v="645"/>
  </r>
  <r>
    <x v="0"/>
    <n v="410"/>
    <x v="289"/>
    <x v="2"/>
    <s v="Série"/>
    <s v="S"/>
    <x v="73"/>
    <x v="5"/>
    <x v="35"/>
    <m/>
    <x v="33"/>
    <m/>
    <x v="2"/>
    <x v="0"/>
    <x v="32"/>
    <d v="2011-06-19T00:00:00"/>
    <x v="7"/>
    <x v="0"/>
    <m/>
    <s v="Films récents, inédits et en avant-première"/>
    <x v="0"/>
    <x v="0"/>
    <m/>
    <x v="0"/>
    <x v="9"/>
    <x v="291"/>
    <x v="2"/>
    <x v="0"/>
    <x v="0"/>
    <x v="32"/>
    <x v="646"/>
  </r>
  <r>
    <x v="0"/>
    <n v="410"/>
    <x v="289"/>
    <x v="2"/>
    <s v="Série"/>
    <s v="S"/>
    <x v="73"/>
    <x v="5"/>
    <x v="68"/>
    <m/>
    <x v="53"/>
    <m/>
    <x v="3"/>
    <x v="0"/>
    <x v="64"/>
    <d v="2011-07-17T00:00:00"/>
    <x v="8"/>
    <x v="1"/>
    <s v="Curtinhas M3"/>
    <m/>
    <x v="0"/>
    <x v="0"/>
    <m/>
    <x v="0"/>
    <x v="9"/>
    <x v="291"/>
    <x v="3"/>
    <x v="0"/>
    <x v="1"/>
    <x v="64"/>
    <x v="647"/>
  </r>
  <r>
    <x v="0"/>
    <n v="410"/>
    <x v="289"/>
    <x v="2"/>
    <s v="Série"/>
    <s v="S"/>
    <x v="73"/>
    <x v="5"/>
    <x v="220"/>
    <m/>
    <x v="154"/>
    <m/>
    <x v="0"/>
    <x v="0"/>
    <x v="160"/>
    <d v="2011-07-31T00:00:00"/>
    <x v="8"/>
    <x v="1"/>
    <s v="Curtas metragens Infantis 3"/>
    <m/>
    <x v="0"/>
    <x v="0"/>
    <m/>
    <x v="0"/>
    <x v="9"/>
    <x v="291"/>
    <x v="0"/>
    <x v="0"/>
    <x v="0"/>
    <x v="160"/>
    <x v="648"/>
  </r>
  <r>
    <x v="0"/>
    <n v="410"/>
    <x v="289"/>
    <x v="2"/>
    <s v="Série"/>
    <s v="S"/>
    <x v="73"/>
    <x v="5"/>
    <x v="223"/>
    <m/>
    <x v="155"/>
    <m/>
    <x v="16"/>
    <x v="0"/>
    <x v="160"/>
    <d v="2011-07-23T00:00:00"/>
    <x v="8"/>
    <x v="1"/>
    <s v="Films for Kids"/>
    <m/>
    <x v="0"/>
    <x v="0"/>
    <m/>
    <x v="0"/>
    <x v="9"/>
    <x v="291"/>
    <x v="16"/>
    <x v="0"/>
    <x v="0"/>
    <x v="160"/>
    <x v="649"/>
  </r>
  <r>
    <x v="0"/>
    <n v="410"/>
    <x v="289"/>
    <x v="2"/>
    <s v="Série"/>
    <s v="S"/>
    <x v="73"/>
    <x v="5"/>
    <x v="224"/>
    <m/>
    <x v="156"/>
    <m/>
    <x v="18"/>
    <x v="0"/>
    <x v="140"/>
    <d v="2011-07-24T00:00:00"/>
    <x v="8"/>
    <x v="1"/>
    <s v="TV Films"/>
    <m/>
    <x v="0"/>
    <x v="0"/>
    <m/>
    <x v="0"/>
    <x v="9"/>
    <x v="291"/>
    <x v="18"/>
    <x v="0"/>
    <x v="0"/>
    <x v="140"/>
    <x v="650"/>
  </r>
  <r>
    <x v="0"/>
    <n v="410"/>
    <x v="289"/>
    <x v="2"/>
    <s v="Série"/>
    <s v="S"/>
    <x v="73"/>
    <x v="5"/>
    <x v="139"/>
    <m/>
    <x v="106"/>
    <m/>
    <x v="15"/>
    <x v="0"/>
    <x v="109"/>
    <d v="2011-07-30T00:00:00"/>
    <x v="8"/>
    <x v="1"/>
    <s v="UNICEF"/>
    <m/>
    <x v="0"/>
    <x v="0"/>
    <m/>
    <x v="0"/>
    <x v="9"/>
    <x v="291"/>
    <x v="15"/>
    <x v="0"/>
    <x v="0"/>
    <x v="109"/>
    <x v="651"/>
  </r>
  <r>
    <x v="0"/>
    <n v="410"/>
    <x v="289"/>
    <x v="2"/>
    <s v="Série"/>
    <s v="S"/>
    <x v="73"/>
    <x v="5"/>
    <x v="234"/>
    <m/>
    <x v="164"/>
    <m/>
    <x v="5"/>
    <x v="0"/>
    <x v="143"/>
    <m/>
    <x v="16"/>
    <x v="1"/>
    <m/>
    <m/>
    <x v="0"/>
    <x v="0"/>
    <m/>
    <x v="0"/>
    <x v="9"/>
    <x v="291"/>
    <x v="5"/>
    <x v="0"/>
    <x v="0"/>
    <x v="143"/>
    <x v="652"/>
  </r>
  <r>
    <x v="0"/>
    <n v="410"/>
    <x v="289"/>
    <x v="2"/>
    <s v="Série"/>
    <s v="S"/>
    <x v="73"/>
    <x v="5"/>
    <x v="235"/>
    <m/>
    <x v="165"/>
    <m/>
    <x v="4"/>
    <x v="0"/>
    <x v="84"/>
    <d v="2011-09-07T00:00:00"/>
    <x v="9"/>
    <x v="1"/>
    <s v="Competencia Oficial: Mi TV 1 6+"/>
    <m/>
    <x v="75"/>
    <x v="0"/>
    <m/>
    <x v="1"/>
    <x v="9"/>
    <x v="291"/>
    <x v="4"/>
    <x v="80"/>
    <x v="0"/>
    <x v="84"/>
    <x v="653"/>
  </r>
  <r>
    <x v="0"/>
    <n v="410"/>
    <x v="289"/>
    <x v="2"/>
    <s v="Série"/>
    <s v="S"/>
    <x v="73"/>
    <x v="5"/>
    <x v="236"/>
    <m/>
    <x v="166"/>
    <m/>
    <x v="34"/>
    <x v="0"/>
    <x v="54"/>
    <d v="2011-09-11T00:00:00"/>
    <x v="9"/>
    <x v="1"/>
    <m/>
    <m/>
    <x v="0"/>
    <x v="0"/>
    <m/>
    <x v="0"/>
    <x v="9"/>
    <x v="291"/>
    <x v="34"/>
    <x v="0"/>
    <x v="0"/>
    <x v="54"/>
    <x v="654"/>
  </r>
  <r>
    <x v="0"/>
    <n v="410"/>
    <x v="289"/>
    <x v="2"/>
    <s v="Série"/>
    <s v="S"/>
    <x v="73"/>
    <x v="5"/>
    <x v="225"/>
    <m/>
    <x v="157"/>
    <m/>
    <x v="45"/>
    <x v="0"/>
    <x v="106"/>
    <d v="2011-09-19T00:00:00"/>
    <x v="9"/>
    <x v="1"/>
    <s v="Short Films"/>
    <m/>
    <x v="0"/>
    <x v="0"/>
    <m/>
    <x v="0"/>
    <x v="9"/>
    <x v="291"/>
    <x v="45"/>
    <x v="0"/>
    <x v="0"/>
    <x v="106"/>
    <x v="655"/>
  </r>
  <r>
    <x v="0"/>
    <n v="410"/>
    <x v="289"/>
    <x v="2"/>
    <s v="Série"/>
    <s v="S"/>
    <x v="73"/>
    <x v="5"/>
    <x v="237"/>
    <m/>
    <x v="115"/>
    <m/>
    <x v="36"/>
    <x v="0"/>
    <x v="168"/>
    <d v="2011-09-25T00:00:00"/>
    <x v="9"/>
    <x v="0"/>
    <m/>
    <m/>
    <x v="0"/>
    <x v="0"/>
    <m/>
    <x v="0"/>
    <x v="9"/>
    <x v="291"/>
    <x v="36"/>
    <x v="0"/>
    <x v="0"/>
    <x v="168"/>
    <x v="656"/>
  </r>
  <r>
    <x v="0"/>
    <n v="410"/>
    <x v="289"/>
    <x v="2"/>
    <s v="Série"/>
    <s v="S"/>
    <x v="73"/>
    <x v="5"/>
    <x v="10"/>
    <m/>
    <x v="10"/>
    <m/>
    <x v="0"/>
    <x v="0"/>
    <x v="10"/>
    <d v="2011-09-25T00:00:00"/>
    <x v="9"/>
    <x v="1"/>
    <s v="Andorinha Curta Animação"/>
    <m/>
    <x v="0"/>
    <x v="0"/>
    <m/>
    <x v="0"/>
    <x v="9"/>
    <x v="291"/>
    <x v="0"/>
    <x v="0"/>
    <x v="0"/>
    <x v="10"/>
    <x v="657"/>
  </r>
  <r>
    <x v="0"/>
    <n v="410"/>
    <x v="289"/>
    <x v="2"/>
    <s v="Série"/>
    <s v="S"/>
    <x v="73"/>
    <x v="5"/>
    <x v="238"/>
    <m/>
    <x v="167"/>
    <m/>
    <x v="7"/>
    <x v="0"/>
    <x v="35"/>
    <d v="2011-09-25T00:00:00"/>
    <x v="9"/>
    <x v="0"/>
    <m/>
    <m/>
    <x v="0"/>
    <x v="0"/>
    <m/>
    <x v="0"/>
    <x v="9"/>
    <x v="291"/>
    <x v="7"/>
    <x v="0"/>
    <x v="0"/>
    <x v="35"/>
    <x v="658"/>
  </r>
  <r>
    <x v="0"/>
    <n v="410"/>
    <x v="289"/>
    <x v="2"/>
    <s v="Série"/>
    <s v="S"/>
    <x v="73"/>
    <x v="5"/>
    <x v="239"/>
    <m/>
    <x v="168"/>
    <m/>
    <x v="16"/>
    <x v="0"/>
    <x v="12"/>
    <d v="2011-09-25T00:00:00"/>
    <x v="9"/>
    <x v="1"/>
    <s v="International Competition for Best Stop Motion Animation"/>
    <m/>
    <x v="0"/>
    <x v="0"/>
    <m/>
    <x v="0"/>
    <x v="9"/>
    <x v="291"/>
    <x v="16"/>
    <x v="0"/>
    <x v="0"/>
    <x v="12"/>
    <x v="659"/>
  </r>
  <r>
    <x v="0"/>
    <n v="410"/>
    <x v="289"/>
    <x v="2"/>
    <s v="Série"/>
    <s v="S"/>
    <x v="73"/>
    <x v="5"/>
    <x v="240"/>
    <m/>
    <x v="169"/>
    <m/>
    <x v="43"/>
    <x v="0"/>
    <x v="169"/>
    <d v="2011-10-03T00:00:00"/>
    <x v="10"/>
    <x v="1"/>
    <s v="Category V"/>
    <m/>
    <x v="76"/>
    <x v="0"/>
    <m/>
    <x v="1"/>
    <x v="9"/>
    <x v="291"/>
    <x v="43"/>
    <x v="81"/>
    <x v="0"/>
    <x v="169"/>
    <x v="660"/>
  </r>
  <r>
    <x v="0"/>
    <n v="410"/>
    <x v="289"/>
    <x v="2"/>
    <s v="Série"/>
    <s v="S"/>
    <x v="73"/>
    <x v="5"/>
    <x v="88"/>
    <m/>
    <x v="67"/>
    <m/>
    <x v="3"/>
    <x v="0"/>
    <x v="79"/>
    <d v="2011-10-15T00:00:00"/>
    <x v="14"/>
    <x v="0"/>
    <m/>
    <s v="Panorama Infantil"/>
    <x v="0"/>
    <x v="0"/>
    <m/>
    <x v="0"/>
    <x v="9"/>
    <x v="291"/>
    <x v="3"/>
    <x v="0"/>
    <x v="1"/>
    <x v="79"/>
    <x v="661"/>
  </r>
  <r>
    <x v="0"/>
    <n v="410"/>
    <x v="289"/>
    <x v="2"/>
    <s v="Série"/>
    <s v="S"/>
    <x v="73"/>
    <x v="5"/>
    <x v="241"/>
    <m/>
    <x v="58"/>
    <m/>
    <x v="17"/>
    <x v="0"/>
    <x v="122"/>
    <d v="2011-10-27T00:00:00"/>
    <x v="14"/>
    <x v="0"/>
    <m/>
    <s v="International Animation Panorama Programme 1"/>
    <x v="0"/>
    <x v="0"/>
    <m/>
    <x v="0"/>
    <x v="9"/>
    <x v="291"/>
    <x v="17"/>
    <x v="0"/>
    <x v="0"/>
    <x v="122"/>
    <x v="662"/>
  </r>
  <r>
    <x v="0"/>
    <n v="410"/>
    <x v="289"/>
    <x v="2"/>
    <s v="Série"/>
    <s v="S"/>
    <x v="73"/>
    <x v="5"/>
    <x v="94"/>
    <m/>
    <x v="73"/>
    <m/>
    <x v="3"/>
    <x v="0"/>
    <x v="85"/>
    <d v="2011-10-30T00:00:00"/>
    <x v="14"/>
    <x v="1"/>
    <s v="Sessão Competitiva nº 3"/>
    <s v="Curtas Metragens Portuguesas "/>
    <x v="77"/>
    <x v="0"/>
    <m/>
    <x v="1"/>
    <x v="9"/>
    <x v="291"/>
    <x v="3"/>
    <x v="82"/>
    <x v="1"/>
    <x v="85"/>
    <x v="663"/>
  </r>
  <r>
    <x v="0"/>
    <n v="410"/>
    <x v="289"/>
    <x v="2"/>
    <s v="Série"/>
    <s v="S"/>
    <x v="73"/>
    <x v="5"/>
    <x v="14"/>
    <m/>
    <x v="14"/>
    <m/>
    <x v="3"/>
    <x v="0"/>
    <x v="13"/>
    <d v="2011-11-05T00:00:00"/>
    <x v="0"/>
    <x v="1"/>
    <s v="Competição Curtas Metragens"/>
    <s v="FFF Escolas: Festa Mundial da Animação, Panorama Infantil"/>
    <x v="78"/>
    <x v="0"/>
    <m/>
    <x v="1"/>
    <x v="9"/>
    <x v="291"/>
    <x v="3"/>
    <x v="83"/>
    <x v="1"/>
    <x v="13"/>
    <x v="664"/>
  </r>
  <r>
    <x v="0"/>
    <n v="410"/>
    <x v="289"/>
    <x v="2"/>
    <s v="Série"/>
    <s v="S"/>
    <x v="73"/>
    <x v="5"/>
    <x v="99"/>
    <m/>
    <x v="78"/>
    <m/>
    <x v="20"/>
    <x v="0"/>
    <x v="69"/>
    <d v="2011-11-13T00:00:00"/>
    <x v="13"/>
    <x v="0"/>
    <m/>
    <s v="Education Programme - Primary Shorts"/>
    <x v="0"/>
    <x v="0"/>
    <m/>
    <x v="0"/>
    <x v="9"/>
    <x v="291"/>
    <x v="20"/>
    <x v="0"/>
    <x v="0"/>
    <x v="69"/>
    <x v="665"/>
  </r>
  <r>
    <x v="0"/>
    <n v="410"/>
    <x v="289"/>
    <x v="2"/>
    <s v="Série"/>
    <s v="S"/>
    <x v="73"/>
    <x v="5"/>
    <x v="127"/>
    <m/>
    <x v="97"/>
    <m/>
    <x v="17"/>
    <x v="0"/>
    <x v="40"/>
    <d v="2011-11-12T00:00:00"/>
    <x v="13"/>
    <x v="1"/>
    <s v="Films for Children"/>
    <m/>
    <x v="0"/>
    <x v="0"/>
    <m/>
    <x v="0"/>
    <x v="9"/>
    <x v="291"/>
    <x v="17"/>
    <x v="0"/>
    <x v="0"/>
    <x v="40"/>
    <x v="666"/>
  </r>
  <r>
    <x v="0"/>
    <n v="410"/>
    <x v="289"/>
    <x v="2"/>
    <s v="Série"/>
    <s v="S"/>
    <x v="73"/>
    <x v="5"/>
    <x v="22"/>
    <m/>
    <x v="22"/>
    <m/>
    <x v="3"/>
    <x v="0"/>
    <x v="20"/>
    <d v="2011-11-17T00:00:00"/>
    <x v="13"/>
    <x v="1"/>
    <s v="Sessão Competitiva 13"/>
    <s v="Caminhos Juniores"/>
    <x v="0"/>
    <x v="0"/>
    <m/>
    <x v="0"/>
    <x v="9"/>
    <x v="291"/>
    <x v="3"/>
    <x v="0"/>
    <x v="1"/>
    <x v="20"/>
    <x v="667"/>
  </r>
  <r>
    <x v="0"/>
    <n v="410"/>
    <x v="289"/>
    <x v="2"/>
    <s v="Série"/>
    <s v="S"/>
    <x v="73"/>
    <x v="5"/>
    <x v="242"/>
    <m/>
    <x v="170"/>
    <m/>
    <x v="5"/>
    <x v="0"/>
    <x v="20"/>
    <d v="2011-11-12T00:00:00"/>
    <x v="13"/>
    <x v="0"/>
    <m/>
    <s v="Kinderprogramm &quot;Rolle Vorwärts&quot;: Von Wesen und Wünschen, Kurzfilm Programm 1 (6+)"/>
    <x v="0"/>
    <x v="0"/>
    <m/>
    <x v="0"/>
    <x v="9"/>
    <x v="291"/>
    <x v="5"/>
    <x v="0"/>
    <x v="0"/>
    <x v="20"/>
    <x v="668"/>
  </r>
  <r>
    <x v="0"/>
    <n v="410"/>
    <x v="289"/>
    <x v="2"/>
    <s v="Série"/>
    <s v="S"/>
    <x v="73"/>
    <x v="5"/>
    <x v="95"/>
    <m/>
    <x v="74"/>
    <m/>
    <x v="1"/>
    <x v="0"/>
    <x v="86"/>
    <d v="2011-11-18T00:00:00"/>
    <x v="13"/>
    <x v="0"/>
    <m/>
    <s v="Cosas de Niños"/>
    <x v="0"/>
    <x v="0"/>
    <m/>
    <x v="0"/>
    <x v="9"/>
    <x v="291"/>
    <x v="1"/>
    <x v="0"/>
    <x v="0"/>
    <x v="86"/>
    <x v="669"/>
  </r>
  <r>
    <x v="0"/>
    <n v="410"/>
    <x v="289"/>
    <x v="2"/>
    <s v="Série"/>
    <s v="S"/>
    <x v="73"/>
    <x v="5"/>
    <x v="243"/>
    <m/>
    <x v="99"/>
    <m/>
    <x v="3"/>
    <x v="0"/>
    <x v="86"/>
    <d v="2011-11-19T00:00:00"/>
    <x v="13"/>
    <x v="0"/>
    <m/>
    <s v="Panorama Infantil"/>
    <x v="0"/>
    <x v="0"/>
    <m/>
    <x v="0"/>
    <x v="9"/>
    <x v="291"/>
    <x v="3"/>
    <x v="0"/>
    <x v="1"/>
    <x v="86"/>
    <x v="670"/>
  </r>
  <r>
    <x v="0"/>
    <n v="410"/>
    <x v="289"/>
    <x v="2"/>
    <s v="Série"/>
    <s v="S"/>
    <x v="73"/>
    <x v="5"/>
    <x v="244"/>
    <m/>
    <x v="171"/>
    <m/>
    <x v="48"/>
    <x v="0"/>
    <x v="41"/>
    <d v="2011-11-20T00:00:00"/>
    <x v="13"/>
    <x v="1"/>
    <s v="Shorts Competition"/>
    <m/>
    <x v="0"/>
    <x v="0"/>
    <m/>
    <x v="0"/>
    <x v="9"/>
    <x v="291"/>
    <x v="48"/>
    <x v="0"/>
    <x v="0"/>
    <x v="41"/>
    <x v="671"/>
  </r>
  <r>
    <x v="0"/>
    <n v="410"/>
    <x v="289"/>
    <x v="2"/>
    <s v="Série"/>
    <s v="S"/>
    <x v="73"/>
    <x v="5"/>
    <x v="245"/>
    <m/>
    <x v="172"/>
    <m/>
    <x v="49"/>
    <x v="0"/>
    <x v="170"/>
    <d v="2011-11-20T00:00:00"/>
    <x v="13"/>
    <x v="0"/>
    <m/>
    <s v="Animated Dreams for Children: Animation Ark for Toddlers"/>
    <x v="0"/>
    <x v="0"/>
    <m/>
    <x v="0"/>
    <x v="9"/>
    <x v="291"/>
    <x v="49"/>
    <x v="0"/>
    <x v="0"/>
    <x v="170"/>
    <x v="672"/>
  </r>
  <r>
    <x v="0"/>
    <n v="410"/>
    <x v="289"/>
    <x v="2"/>
    <s v="Série"/>
    <s v="S"/>
    <x v="73"/>
    <x v="5"/>
    <x v="136"/>
    <m/>
    <x v="103"/>
    <m/>
    <x v="31"/>
    <x v="0"/>
    <x v="14"/>
    <d v="2011-11-27T00:00:00"/>
    <x v="13"/>
    <x v="1"/>
    <s v="Seas and Sailors"/>
    <m/>
    <x v="0"/>
    <x v="0"/>
    <m/>
    <x v="0"/>
    <x v="9"/>
    <x v="291"/>
    <x v="31"/>
    <x v="0"/>
    <x v="0"/>
    <x v="14"/>
    <x v="673"/>
  </r>
  <r>
    <x v="0"/>
    <n v="411"/>
    <x v="290"/>
    <x v="2"/>
    <s v="CM"/>
    <s v="S"/>
    <x v="248"/>
    <x v="12"/>
    <x v="26"/>
    <m/>
    <x v="24"/>
    <m/>
    <x v="3"/>
    <x v="0"/>
    <x v="24"/>
    <d v="2011-03-27T00:00:00"/>
    <x v="2"/>
    <x v="0"/>
    <m/>
    <s v="Retrospectiva &quot;20 Anos da ANIMANOSTRA&quot;"/>
    <x v="0"/>
    <x v="0"/>
    <m/>
    <x v="0"/>
    <x v="4"/>
    <x v="292"/>
    <x v="3"/>
    <x v="0"/>
    <x v="1"/>
    <x v="24"/>
    <x v="674"/>
  </r>
  <r>
    <x v="0"/>
    <n v="413"/>
    <x v="291"/>
    <x v="0"/>
    <s v="CM"/>
    <s v="N"/>
    <x v="249"/>
    <x v="3"/>
    <x v="22"/>
    <m/>
    <x v="22"/>
    <m/>
    <x v="3"/>
    <x v="0"/>
    <x v="20"/>
    <d v="2011-11-17T00:00:00"/>
    <x v="13"/>
    <x v="1"/>
    <s v="Sessãp Competitiva 6"/>
    <m/>
    <x v="0"/>
    <x v="0"/>
    <m/>
    <x v="0"/>
    <x v="0"/>
    <x v="293"/>
    <x v="3"/>
    <x v="0"/>
    <x v="1"/>
    <x v="20"/>
    <x v="675"/>
  </r>
  <r>
    <x v="0"/>
    <n v="415"/>
    <x v="292"/>
    <x v="1"/>
    <s v="CM"/>
    <s v="N"/>
    <x v="250"/>
    <x v="3"/>
    <x v="151"/>
    <m/>
    <x v="116"/>
    <m/>
    <x v="1"/>
    <x v="0"/>
    <x v="34"/>
    <d v="2011-11-26T00:00:00"/>
    <x v="13"/>
    <x v="0"/>
    <m/>
    <s v="Stereo"/>
    <x v="0"/>
    <x v="0"/>
    <m/>
    <x v="0"/>
    <x v="2"/>
    <x v="294"/>
    <x v="1"/>
    <x v="0"/>
    <x v="0"/>
    <x v="34"/>
    <x v="676"/>
  </r>
  <r>
    <x v="0"/>
    <n v="417"/>
    <x v="293"/>
    <x v="1"/>
    <s v="CM"/>
    <s v="N"/>
    <x v="20"/>
    <x v="23"/>
    <x v="51"/>
    <m/>
    <x v="43"/>
    <m/>
    <x v="3"/>
    <x v="0"/>
    <x v="45"/>
    <d v="2011-09-11T00:00:00"/>
    <x v="9"/>
    <x v="0"/>
    <m/>
    <s v="LBV"/>
    <x v="0"/>
    <x v="0"/>
    <m/>
    <x v="0"/>
    <x v="2"/>
    <x v="295"/>
    <x v="3"/>
    <x v="0"/>
    <x v="1"/>
    <x v="45"/>
    <x v="677"/>
  </r>
  <r>
    <x v="0"/>
    <n v="417"/>
    <x v="293"/>
    <x v="1"/>
    <s v="CM"/>
    <s v="N"/>
    <x v="20"/>
    <x v="23"/>
    <x v="158"/>
    <m/>
    <x v="121"/>
    <m/>
    <x v="3"/>
    <x v="0"/>
    <x v="119"/>
    <d v="2011-10-02T00:00:00"/>
    <x v="10"/>
    <x v="0"/>
    <m/>
    <s v="Homenagem a Manoel de Oliveira"/>
    <x v="0"/>
    <x v="0"/>
    <m/>
    <x v="0"/>
    <x v="2"/>
    <x v="295"/>
    <x v="3"/>
    <x v="0"/>
    <x v="1"/>
    <x v="119"/>
    <x v="678"/>
  </r>
  <r>
    <x v="0"/>
    <n v="417"/>
    <x v="293"/>
    <x v="1"/>
    <s v="CM"/>
    <s v="N"/>
    <x v="20"/>
    <x v="23"/>
    <x v="107"/>
    <m/>
    <x v="83"/>
    <m/>
    <x v="3"/>
    <x v="0"/>
    <x v="25"/>
    <d v="2011-11-10T00:00:00"/>
    <x v="13"/>
    <x v="0"/>
    <m/>
    <m/>
    <x v="0"/>
    <x v="0"/>
    <m/>
    <x v="0"/>
    <x v="2"/>
    <x v="295"/>
    <x v="3"/>
    <x v="0"/>
    <x v="1"/>
    <x v="25"/>
    <x v="679"/>
  </r>
  <r>
    <x v="0"/>
    <n v="418"/>
    <x v="294"/>
    <x v="0"/>
    <s v="CM"/>
    <s v="N"/>
    <x v="251"/>
    <x v="3"/>
    <x v="246"/>
    <m/>
    <x v="173"/>
    <m/>
    <x v="7"/>
    <x v="0"/>
    <x v="171"/>
    <d v="2011-08-28T00:00:00"/>
    <x v="16"/>
    <x v="0"/>
    <m/>
    <s v="Regards sur les Cinémas du Monde"/>
    <x v="0"/>
    <x v="0"/>
    <m/>
    <x v="0"/>
    <x v="0"/>
    <x v="296"/>
    <x v="7"/>
    <x v="0"/>
    <x v="0"/>
    <x v="171"/>
    <x v="680"/>
  </r>
  <r>
    <x v="0"/>
    <n v="418"/>
    <x v="294"/>
    <x v="0"/>
    <s v="CM"/>
    <s v="N"/>
    <x v="251"/>
    <x v="3"/>
    <x v="247"/>
    <m/>
    <x v="174"/>
    <m/>
    <x v="1"/>
    <x v="0"/>
    <x v="39"/>
    <d v="2011-11-06T00:00:00"/>
    <x v="0"/>
    <x v="1"/>
    <m/>
    <m/>
    <x v="79"/>
    <x v="0"/>
    <m/>
    <x v="1"/>
    <x v="0"/>
    <x v="296"/>
    <x v="1"/>
    <x v="84"/>
    <x v="0"/>
    <x v="39"/>
    <x v="681"/>
  </r>
  <r>
    <x v="0"/>
    <n v="418"/>
    <x v="294"/>
    <x v="0"/>
    <s v="CM"/>
    <s v="N"/>
    <x v="251"/>
    <x v="3"/>
    <x v="133"/>
    <m/>
    <x v="101"/>
    <m/>
    <x v="3"/>
    <x v="0"/>
    <x v="108"/>
    <d v="2011-12-11T00:00:00"/>
    <x v="12"/>
    <x v="0"/>
    <m/>
    <s v="Sessão Especial 2"/>
    <x v="0"/>
    <x v="0"/>
    <m/>
    <x v="0"/>
    <x v="0"/>
    <x v="296"/>
    <x v="3"/>
    <x v="0"/>
    <x v="1"/>
    <x v="108"/>
    <x v="682"/>
  </r>
  <r>
    <x v="0"/>
    <n v="420"/>
    <x v="295"/>
    <x v="1"/>
    <s v="CM"/>
    <s v=""/>
    <x v="252"/>
    <x v="2"/>
    <x v="67"/>
    <m/>
    <x v="23"/>
    <m/>
    <x v="3"/>
    <x v="0"/>
    <x v="63"/>
    <d v="2011-06-12T00:00:00"/>
    <x v="7"/>
    <x v="0"/>
    <m/>
    <s v="Sessão Não Competitiva 5"/>
    <x v="0"/>
    <x v="0"/>
    <m/>
    <x v="0"/>
    <x v="2"/>
    <x v="297"/>
    <x v="3"/>
    <x v="0"/>
    <x v="1"/>
    <x v="63"/>
    <x v="683"/>
  </r>
  <r>
    <x v="0"/>
    <n v="421"/>
    <x v="296"/>
    <x v="4"/>
    <s v=""/>
    <s v=""/>
    <x v="253"/>
    <x v="2"/>
    <x v="22"/>
    <m/>
    <x v="22"/>
    <m/>
    <x v="3"/>
    <x v="0"/>
    <x v="20"/>
    <d v="2011-11-17T00:00:00"/>
    <x v="13"/>
    <x v="1"/>
    <s v="Sessão Competitiva 6"/>
    <m/>
    <x v="0"/>
    <x v="0"/>
    <m/>
    <x v="0"/>
    <x v="7"/>
    <x v="298"/>
    <x v="3"/>
    <x v="0"/>
    <x v="1"/>
    <x v="20"/>
    <x v="684"/>
  </r>
  <r>
    <x v="0"/>
    <n v="422"/>
    <x v="297"/>
    <x v="4"/>
    <s v=""/>
    <s v=""/>
    <x v="254"/>
    <x v="2"/>
    <x v="65"/>
    <m/>
    <x v="51"/>
    <m/>
    <x v="14"/>
    <x v="0"/>
    <x v="61"/>
    <d v="2011-06-03T00:00:00"/>
    <x v="7"/>
    <x v="0"/>
    <m/>
    <m/>
    <x v="0"/>
    <x v="0"/>
    <m/>
    <x v="0"/>
    <x v="7"/>
    <x v="299"/>
    <x v="14"/>
    <x v="0"/>
    <x v="0"/>
    <x v="61"/>
    <x v="685"/>
  </r>
  <r>
    <x v="0"/>
    <n v="423"/>
    <x v="298"/>
    <x v="0"/>
    <s v="CM"/>
    <s v="N"/>
    <x v="255"/>
    <x v="3"/>
    <x v="70"/>
    <m/>
    <x v="38"/>
    <m/>
    <x v="3"/>
    <x v="0"/>
    <x v="19"/>
    <d v="2011-09-11T00:00:00"/>
    <x v="9"/>
    <x v="1"/>
    <s v="1ª Sessão Competitiva"/>
    <m/>
    <x v="7"/>
    <x v="0"/>
    <m/>
    <x v="1"/>
    <x v="0"/>
    <x v="300"/>
    <x v="3"/>
    <x v="85"/>
    <x v="1"/>
    <x v="19"/>
    <x v="686"/>
  </r>
  <r>
    <x v="0"/>
    <n v="423"/>
    <x v="298"/>
    <x v="0"/>
    <s v="CM"/>
    <s v="N"/>
    <x v="255"/>
    <x v="3"/>
    <x v="107"/>
    <m/>
    <x v="83"/>
    <m/>
    <x v="3"/>
    <x v="0"/>
    <x v="25"/>
    <d v="2011-11-10T00:00:00"/>
    <x v="13"/>
    <x v="1"/>
    <m/>
    <m/>
    <x v="7"/>
    <x v="0"/>
    <m/>
    <x v="1"/>
    <x v="0"/>
    <x v="300"/>
    <x v="3"/>
    <x v="7"/>
    <x v="1"/>
    <x v="25"/>
    <x v="687"/>
  </r>
  <r>
    <x v="0"/>
    <n v="424"/>
    <x v="299"/>
    <x v="4"/>
    <s v=""/>
    <s v=""/>
    <x v="178"/>
    <x v="2"/>
    <x v="133"/>
    <m/>
    <x v="101"/>
    <m/>
    <x v="3"/>
    <x v="0"/>
    <x v="108"/>
    <d v="2011-12-11T00:00:00"/>
    <x v="12"/>
    <x v="0"/>
    <m/>
    <s v="Sangue Novo - Carlos Conceição"/>
    <x v="0"/>
    <x v="0"/>
    <m/>
    <x v="0"/>
    <x v="7"/>
    <x v="301"/>
    <x v="3"/>
    <x v="0"/>
    <x v="1"/>
    <x v="108"/>
    <x v="688"/>
  </r>
  <r>
    <x v="0"/>
    <n v="425"/>
    <x v="300"/>
    <x v="0"/>
    <s v="LM"/>
    <s v="S"/>
    <x v="256"/>
    <x v="1"/>
    <x v="62"/>
    <m/>
    <x v="23"/>
    <m/>
    <x v="3"/>
    <x v="0"/>
    <x v="58"/>
    <d v="2011-03-06T00:00:00"/>
    <x v="19"/>
    <x v="0"/>
    <m/>
    <s v="Homenagem a Paulo Trancoso"/>
    <x v="0"/>
    <x v="0"/>
    <m/>
    <x v="0"/>
    <x v="5"/>
    <x v="302"/>
    <x v="3"/>
    <x v="0"/>
    <x v="1"/>
    <x v="58"/>
    <x v="689"/>
  </r>
  <r>
    <x v="0"/>
    <n v="425"/>
    <x v="300"/>
    <x v="0"/>
    <s v="LM"/>
    <s v="S"/>
    <x v="256"/>
    <x v="1"/>
    <x v="248"/>
    <m/>
    <x v="24"/>
    <m/>
    <x v="3"/>
    <x v="0"/>
    <x v="58"/>
    <m/>
    <x v="1"/>
    <x v="0"/>
    <m/>
    <m/>
    <x v="80"/>
    <x v="2"/>
    <m/>
    <x v="1"/>
    <x v="5"/>
    <x v="302"/>
    <x v="3"/>
    <x v="86"/>
    <x v="1"/>
    <x v="58"/>
    <x v="690"/>
  </r>
  <r>
    <x v="0"/>
    <n v="425"/>
    <x v="300"/>
    <x v="0"/>
    <s v="LM"/>
    <s v="S"/>
    <x v="256"/>
    <x v="1"/>
    <x v="66"/>
    <m/>
    <x v="52"/>
    <m/>
    <x v="3"/>
    <x v="0"/>
    <x v="62"/>
    <d v="2011-06-12T00:00:00"/>
    <x v="7"/>
    <x v="0"/>
    <m/>
    <s v="Cinema Português"/>
    <x v="0"/>
    <x v="0"/>
    <m/>
    <x v="0"/>
    <x v="5"/>
    <x v="302"/>
    <x v="3"/>
    <x v="0"/>
    <x v="1"/>
    <x v="62"/>
    <x v="691"/>
  </r>
  <r>
    <x v="0"/>
    <n v="425"/>
    <x v="300"/>
    <x v="0"/>
    <s v="LM"/>
    <s v="S"/>
    <x v="256"/>
    <x v="1"/>
    <x v="249"/>
    <m/>
    <x v="175"/>
    <m/>
    <x v="3"/>
    <x v="0"/>
    <x v="84"/>
    <m/>
    <x v="9"/>
    <x v="0"/>
    <m/>
    <m/>
    <x v="0"/>
    <x v="1"/>
    <m/>
    <x v="0"/>
    <x v="5"/>
    <x v="302"/>
    <x v="3"/>
    <x v="0"/>
    <x v="1"/>
    <x v="84"/>
    <x v="692"/>
  </r>
  <r>
    <x v="0"/>
    <n v="425"/>
    <x v="300"/>
    <x v="0"/>
    <s v="LM"/>
    <s v="S"/>
    <x v="256"/>
    <x v="1"/>
    <x v="250"/>
    <m/>
    <x v="82"/>
    <m/>
    <x v="21"/>
    <x v="5"/>
    <x v="78"/>
    <m/>
    <x v="6"/>
    <x v="0"/>
    <m/>
    <m/>
    <x v="0"/>
    <x v="1"/>
    <s v="Maio"/>
    <x v="0"/>
    <x v="5"/>
    <x v="302"/>
    <x v="21"/>
    <x v="0"/>
    <x v="0"/>
    <x v="78"/>
    <x v="693"/>
  </r>
  <r>
    <x v="0"/>
    <n v="427"/>
    <x v="301"/>
    <x v="4"/>
    <s v=""/>
    <s v=""/>
    <x v="257"/>
    <x v="2"/>
    <x v="251"/>
    <m/>
    <x v="24"/>
    <m/>
    <x v="3"/>
    <x v="0"/>
    <x v="170"/>
    <d v="2011-11-20T00:00:00"/>
    <x v="13"/>
    <x v="0"/>
    <m/>
    <m/>
    <x v="0"/>
    <x v="1"/>
    <m/>
    <x v="0"/>
    <x v="7"/>
    <x v="303"/>
    <x v="3"/>
    <x v="0"/>
    <x v="1"/>
    <x v="170"/>
    <x v="694"/>
  </r>
  <r>
    <x v="0"/>
    <n v="428"/>
    <x v="302"/>
    <x v="4"/>
    <s v=""/>
    <s v=""/>
    <x v="258"/>
    <x v="2"/>
    <x v="252"/>
    <m/>
    <x v="99"/>
    <m/>
    <x v="3"/>
    <x v="0"/>
    <x v="168"/>
    <m/>
    <x v="9"/>
    <x v="0"/>
    <m/>
    <m/>
    <x v="0"/>
    <x v="1"/>
    <m/>
    <x v="0"/>
    <x v="7"/>
    <x v="304"/>
    <x v="3"/>
    <x v="0"/>
    <x v="1"/>
    <x v="168"/>
    <x v="695"/>
  </r>
  <r>
    <x v="0"/>
    <n v="428"/>
    <x v="302"/>
    <x v="4"/>
    <s v=""/>
    <s v=""/>
    <x v="258"/>
    <x v="2"/>
    <x v="11"/>
    <m/>
    <x v="11"/>
    <m/>
    <x v="3"/>
    <x v="0"/>
    <x v="10"/>
    <d v="2011-10-31T00:00:00"/>
    <x v="10"/>
    <x v="0"/>
    <m/>
    <m/>
    <x v="0"/>
    <x v="1"/>
    <m/>
    <x v="0"/>
    <x v="7"/>
    <x v="304"/>
    <x v="3"/>
    <x v="0"/>
    <x v="1"/>
    <x v="10"/>
    <x v="696"/>
  </r>
  <r>
    <x v="0"/>
    <n v="431"/>
    <x v="303"/>
    <x v="1"/>
    <s v="LM"/>
    <s v="N"/>
    <x v="259"/>
    <x v="3"/>
    <x v="146"/>
    <m/>
    <x v="24"/>
    <m/>
    <x v="3"/>
    <x v="0"/>
    <x v="112"/>
    <d v="2011-05-15T00:00:00"/>
    <x v="6"/>
    <x v="0"/>
    <m/>
    <s v="Sessões Especiais"/>
    <x v="0"/>
    <x v="0"/>
    <s v="Exibido #1"/>
    <x v="0"/>
    <x v="1"/>
    <x v="305"/>
    <x v="3"/>
    <x v="0"/>
    <x v="1"/>
    <x v="112"/>
    <x v="697"/>
  </r>
  <r>
    <x v="0"/>
    <n v="431"/>
    <x v="303"/>
    <x v="1"/>
    <s v="LM"/>
    <s v="N"/>
    <x v="259"/>
    <x v="3"/>
    <x v="147"/>
    <m/>
    <x v="112"/>
    <m/>
    <x v="34"/>
    <x v="0"/>
    <x v="48"/>
    <d v="2011-08-13T00:00:00"/>
    <x v="16"/>
    <x v="1"/>
    <s v="Concorso Cineasti del presente"/>
    <m/>
    <x v="81"/>
    <x v="0"/>
    <m/>
    <x v="1"/>
    <x v="1"/>
    <x v="305"/>
    <x v="34"/>
    <x v="87"/>
    <x v="0"/>
    <x v="48"/>
    <x v="698"/>
  </r>
  <r>
    <x v="0"/>
    <n v="431"/>
    <x v="303"/>
    <x v="1"/>
    <s v="LM"/>
    <s v="N"/>
    <x v="259"/>
    <x v="3"/>
    <x v="148"/>
    <m/>
    <x v="113"/>
    <m/>
    <x v="7"/>
    <x v="0"/>
    <x v="119"/>
    <d v="2011-10-14T00:00:00"/>
    <x v="10"/>
    <x v="0"/>
    <m/>
    <s v="Heaven and Earth"/>
    <x v="0"/>
    <x v="0"/>
    <m/>
    <x v="0"/>
    <x v="1"/>
    <x v="305"/>
    <x v="7"/>
    <x v="0"/>
    <x v="0"/>
    <x v="119"/>
    <x v="699"/>
  </r>
  <r>
    <x v="0"/>
    <n v="431"/>
    <x v="303"/>
    <x v="1"/>
    <s v="LM"/>
    <s v="N"/>
    <x v="259"/>
    <x v="3"/>
    <x v="253"/>
    <m/>
    <x v="91"/>
    <m/>
    <x v="28"/>
    <x v="0"/>
    <x v="172"/>
    <d v="2011-10-16T00:00:00"/>
    <x v="14"/>
    <x v="1"/>
    <s v="Largometrajes Internacionales"/>
    <m/>
    <x v="0"/>
    <x v="0"/>
    <m/>
    <x v="0"/>
    <x v="1"/>
    <x v="305"/>
    <x v="28"/>
    <x v="0"/>
    <x v="0"/>
    <x v="172"/>
    <x v="700"/>
  </r>
  <r>
    <x v="0"/>
    <n v="431"/>
    <x v="303"/>
    <x v="1"/>
    <s v="LM"/>
    <s v="N"/>
    <x v="259"/>
    <x v="3"/>
    <x v="25"/>
    <m/>
    <x v="24"/>
    <m/>
    <x v="3"/>
    <x v="0"/>
    <x v="23"/>
    <d v="2011-10-30T00:00:00"/>
    <x v="14"/>
    <x v="1"/>
    <s v="Competição Internacional - Médias e Longas"/>
    <m/>
    <x v="82"/>
    <x v="0"/>
    <m/>
    <x v="1"/>
    <x v="1"/>
    <x v="305"/>
    <x v="3"/>
    <x v="88"/>
    <x v="1"/>
    <x v="23"/>
    <x v="701"/>
  </r>
  <r>
    <x v="0"/>
    <n v="431"/>
    <x v="303"/>
    <x v="1"/>
    <s v="LM"/>
    <s v="N"/>
    <x v="259"/>
    <x v="3"/>
    <x v="149"/>
    <m/>
    <x v="114"/>
    <m/>
    <x v="35"/>
    <x v="0"/>
    <x v="23"/>
    <d v="2011-11-02T00:00:00"/>
    <x v="0"/>
    <x v="0"/>
    <m/>
    <s v="Documentaries"/>
    <x v="0"/>
    <x v="0"/>
    <m/>
    <x v="0"/>
    <x v="1"/>
    <x v="305"/>
    <x v="35"/>
    <x v="0"/>
    <x v="0"/>
    <x v="23"/>
    <x v="702"/>
  </r>
  <r>
    <x v="0"/>
    <n v="431"/>
    <x v="303"/>
    <x v="1"/>
    <s v="LM"/>
    <s v="N"/>
    <x v="259"/>
    <x v="3"/>
    <x v="14"/>
    <m/>
    <x v="14"/>
    <m/>
    <x v="3"/>
    <x v="0"/>
    <x v="13"/>
    <d v="2011-11-05T00:00:00"/>
    <x v="0"/>
    <x v="0"/>
    <m/>
    <s v="Sessão Especial"/>
    <x v="0"/>
    <x v="0"/>
    <m/>
    <x v="0"/>
    <x v="1"/>
    <x v="305"/>
    <x v="3"/>
    <x v="0"/>
    <x v="1"/>
    <x v="13"/>
    <x v="703"/>
  </r>
  <r>
    <x v="0"/>
    <n v="431"/>
    <x v="303"/>
    <x v="1"/>
    <s v="LM"/>
    <s v="N"/>
    <x v="259"/>
    <x v="3"/>
    <x v="150"/>
    <m/>
    <x v="115"/>
    <m/>
    <x v="36"/>
    <x v="0"/>
    <x v="120"/>
    <d v="2011-11-13T00:00:00"/>
    <x v="13"/>
    <x v="1"/>
    <s v="International DOX AWARD Competition"/>
    <m/>
    <x v="0"/>
    <x v="0"/>
    <m/>
    <x v="0"/>
    <x v="1"/>
    <x v="305"/>
    <x v="36"/>
    <x v="0"/>
    <x v="0"/>
    <x v="120"/>
    <x v="704"/>
  </r>
  <r>
    <x v="0"/>
    <n v="431"/>
    <x v="303"/>
    <x v="1"/>
    <s v="LM"/>
    <s v="N"/>
    <x v="259"/>
    <x v="3"/>
    <x v="133"/>
    <m/>
    <x v="101"/>
    <m/>
    <x v="3"/>
    <x v="0"/>
    <x v="108"/>
    <d v="2011-12-11T00:00:00"/>
    <x v="12"/>
    <x v="1"/>
    <s v="Documentários"/>
    <m/>
    <x v="0"/>
    <x v="0"/>
    <m/>
    <x v="0"/>
    <x v="1"/>
    <x v="305"/>
    <x v="3"/>
    <x v="0"/>
    <x v="1"/>
    <x v="108"/>
    <x v="705"/>
  </r>
  <r>
    <x v="0"/>
    <n v="432"/>
    <x v="304"/>
    <x v="0"/>
    <s v="LM"/>
    <s v="S"/>
    <x v="165"/>
    <x v="2"/>
    <x v="254"/>
    <m/>
    <x v="176"/>
    <m/>
    <x v="23"/>
    <x v="0"/>
    <x v="173"/>
    <d v="2011-06-19T00:00:00"/>
    <x v="7"/>
    <x v="1"/>
    <s v="Golden Goblet"/>
    <m/>
    <x v="0"/>
    <x v="0"/>
    <m/>
    <x v="0"/>
    <x v="5"/>
    <x v="306"/>
    <x v="23"/>
    <x v="0"/>
    <x v="0"/>
    <x v="173"/>
    <x v="706"/>
  </r>
  <r>
    <x v="0"/>
    <n v="432"/>
    <x v="304"/>
    <x v="0"/>
    <s v="LM"/>
    <s v="S"/>
    <x v="165"/>
    <x v="2"/>
    <x v="9"/>
    <m/>
    <x v="9"/>
    <m/>
    <x v="3"/>
    <x v="0"/>
    <x v="160"/>
    <m/>
    <x v="8"/>
    <x v="0"/>
    <m/>
    <m/>
    <x v="0"/>
    <x v="1"/>
    <m/>
    <x v="0"/>
    <x v="5"/>
    <x v="306"/>
    <x v="3"/>
    <x v="0"/>
    <x v="1"/>
    <x v="160"/>
    <x v="707"/>
  </r>
  <r>
    <x v="0"/>
    <n v="432"/>
    <x v="304"/>
    <x v="0"/>
    <s v="LM"/>
    <s v="S"/>
    <x v="165"/>
    <x v="2"/>
    <x v="156"/>
    <m/>
    <x v="49"/>
    <m/>
    <x v="3"/>
    <x v="0"/>
    <x v="165"/>
    <m/>
    <x v="14"/>
    <x v="0"/>
    <m/>
    <m/>
    <x v="0"/>
    <x v="1"/>
    <m/>
    <x v="0"/>
    <x v="5"/>
    <x v="306"/>
    <x v="3"/>
    <x v="0"/>
    <x v="1"/>
    <x v="165"/>
    <x v="708"/>
  </r>
  <r>
    <x v="0"/>
    <n v="432"/>
    <x v="304"/>
    <x v="0"/>
    <s v="LM"/>
    <s v="S"/>
    <x v="165"/>
    <x v="2"/>
    <x v="15"/>
    <m/>
    <x v="15"/>
    <m/>
    <x v="3"/>
    <x v="0"/>
    <x v="14"/>
    <d v="2011-12-20T00:00:00"/>
    <x v="11"/>
    <x v="0"/>
    <m/>
    <m/>
    <x v="0"/>
    <x v="1"/>
    <m/>
    <x v="0"/>
    <x v="5"/>
    <x v="306"/>
    <x v="3"/>
    <x v="0"/>
    <x v="1"/>
    <x v="14"/>
    <x v="709"/>
  </r>
  <r>
    <x v="0"/>
    <n v="432"/>
    <x v="304"/>
    <x v="0"/>
    <s v="LM"/>
    <s v="S"/>
    <x v="165"/>
    <x v="2"/>
    <x v="57"/>
    <m/>
    <x v="40"/>
    <m/>
    <x v="3"/>
    <x v="0"/>
    <x v="96"/>
    <m/>
    <x v="12"/>
    <x v="0"/>
    <m/>
    <m/>
    <x v="0"/>
    <x v="1"/>
    <m/>
    <x v="0"/>
    <x v="5"/>
    <x v="306"/>
    <x v="3"/>
    <x v="0"/>
    <x v="1"/>
    <x v="96"/>
    <x v="710"/>
  </r>
  <r>
    <x v="0"/>
    <n v="433"/>
    <x v="305"/>
    <x v="2"/>
    <s v="CM"/>
    <s v="S"/>
    <x v="260"/>
    <x v="5"/>
    <x v="34"/>
    <m/>
    <x v="32"/>
    <m/>
    <x v="3"/>
    <x v="0"/>
    <x v="31"/>
    <d v="2011-05-15T00:00:00"/>
    <x v="6"/>
    <x v="1"/>
    <m/>
    <m/>
    <x v="0"/>
    <x v="0"/>
    <m/>
    <x v="0"/>
    <x v="4"/>
    <x v="307"/>
    <x v="3"/>
    <x v="0"/>
    <x v="1"/>
    <x v="31"/>
    <x v="711"/>
  </r>
  <r>
    <x v="0"/>
    <n v="433"/>
    <x v="305"/>
    <x v="2"/>
    <s v="CM"/>
    <s v="S"/>
    <x v="260"/>
    <x v="5"/>
    <x v="125"/>
    <m/>
    <x v="58"/>
    <m/>
    <x v="17"/>
    <x v="0"/>
    <x v="102"/>
    <d v="2011-09-04T00:00:00"/>
    <x v="20"/>
    <x v="0"/>
    <m/>
    <s v="International Panorama 2"/>
    <x v="0"/>
    <x v="0"/>
    <m/>
    <x v="0"/>
    <x v="4"/>
    <x v="307"/>
    <x v="17"/>
    <x v="0"/>
    <x v="0"/>
    <x v="102"/>
    <x v="712"/>
  </r>
  <r>
    <x v="0"/>
    <n v="433"/>
    <x v="305"/>
    <x v="2"/>
    <s v="CM"/>
    <s v="S"/>
    <x v="260"/>
    <x v="5"/>
    <x v="14"/>
    <m/>
    <x v="14"/>
    <m/>
    <x v="3"/>
    <x v="0"/>
    <x v="13"/>
    <d v="2011-11-05T00:00:00"/>
    <x v="0"/>
    <x v="1"/>
    <s v="Competição Curtas Metragens"/>
    <m/>
    <x v="0"/>
    <x v="0"/>
    <m/>
    <x v="0"/>
    <x v="4"/>
    <x v="307"/>
    <x v="3"/>
    <x v="0"/>
    <x v="1"/>
    <x v="13"/>
    <x v="713"/>
  </r>
  <r>
    <x v="0"/>
    <n v="433"/>
    <x v="305"/>
    <x v="2"/>
    <s v="CM"/>
    <s v="S"/>
    <x v="260"/>
    <x v="5"/>
    <x v="245"/>
    <m/>
    <x v="172"/>
    <m/>
    <x v="49"/>
    <x v="0"/>
    <x v="170"/>
    <d v="2011-11-20T00:00:00"/>
    <x v="13"/>
    <x v="1"/>
    <s v="Competition Programme 1"/>
    <m/>
    <x v="0"/>
    <x v="0"/>
    <m/>
    <x v="0"/>
    <x v="4"/>
    <x v="307"/>
    <x v="49"/>
    <x v="0"/>
    <x v="0"/>
    <x v="170"/>
    <x v="714"/>
  </r>
  <r>
    <x v="0"/>
    <n v="435"/>
    <x v="306"/>
    <x v="1"/>
    <s v="LM"/>
    <s v="S"/>
    <x v="261"/>
    <x v="5"/>
    <x v="146"/>
    <m/>
    <x v="24"/>
    <m/>
    <x v="3"/>
    <x v="0"/>
    <x v="112"/>
    <d v="2011-05-15T00:00:00"/>
    <x v="6"/>
    <x v="0"/>
    <m/>
    <s v="Director's Cut"/>
    <x v="83"/>
    <x v="0"/>
    <m/>
    <x v="1"/>
    <x v="1"/>
    <x v="308"/>
    <x v="3"/>
    <x v="89"/>
    <x v="1"/>
    <x v="112"/>
    <x v="715"/>
  </r>
  <r>
    <x v="0"/>
    <n v="435"/>
    <x v="306"/>
    <x v="1"/>
    <s v="LM"/>
    <s v="S"/>
    <x v="261"/>
    <x v="5"/>
    <x v="88"/>
    <m/>
    <x v="67"/>
    <m/>
    <x v="3"/>
    <x v="0"/>
    <x v="79"/>
    <d v="2011-10-15T00:00:00"/>
    <x v="14"/>
    <x v="0"/>
    <m/>
    <m/>
    <x v="0"/>
    <x v="0"/>
    <m/>
    <x v="0"/>
    <x v="1"/>
    <x v="308"/>
    <x v="3"/>
    <x v="0"/>
    <x v="1"/>
    <x v="79"/>
    <x v="716"/>
  </r>
  <r>
    <x v="0"/>
    <n v="435"/>
    <x v="306"/>
    <x v="1"/>
    <s v="LM"/>
    <s v="S"/>
    <x v="261"/>
    <x v="5"/>
    <x v="255"/>
    <m/>
    <x v="17"/>
    <m/>
    <x v="2"/>
    <x v="0"/>
    <x v="103"/>
    <m/>
    <x v="14"/>
    <x v="0"/>
    <m/>
    <m/>
    <x v="0"/>
    <x v="1"/>
    <m/>
    <x v="0"/>
    <x v="1"/>
    <x v="308"/>
    <x v="2"/>
    <x v="0"/>
    <x v="0"/>
    <x v="103"/>
    <x v="717"/>
  </r>
  <r>
    <x v="0"/>
    <n v="435"/>
    <x v="306"/>
    <x v="1"/>
    <s v="LM"/>
    <s v="S"/>
    <x v="261"/>
    <x v="5"/>
    <x v="22"/>
    <m/>
    <x v="22"/>
    <m/>
    <x v="3"/>
    <x v="0"/>
    <x v="20"/>
    <d v="2011-11-17T00:00:00"/>
    <x v="13"/>
    <x v="1"/>
    <s v="Sessão Competitiva 15"/>
    <m/>
    <x v="0"/>
    <x v="0"/>
    <m/>
    <x v="0"/>
    <x v="1"/>
    <x v="308"/>
    <x v="3"/>
    <x v="0"/>
    <x v="1"/>
    <x v="20"/>
    <x v="718"/>
  </r>
  <r>
    <x v="0"/>
    <n v="437"/>
    <x v="307"/>
    <x v="4"/>
    <s v=""/>
    <s v=""/>
    <x v="262"/>
    <x v="2"/>
    <x v="132"/>
    <m/>
    <x v="36"/>
    <m/>
    <x v="3"/>
    <x v="0"/>
    <x v="20"/>
    <m/>
    <x v="13"/>
    <x v="0"/>
    <m/>
    <m/>
    <x v="0"/>
    <x v="1"/>
    <m/>
    <x v="0"/>
    <x v="7"/>
    <x v="309"/>
    <x v="3"/>
    <x v="0"/>
    <x v="1"/>
    <x v="20"/>
    <x v="719"/>
  </r>
  <r>
    <x v="0"/>
    <n v="439"/>
    <x v="308"/>
    <x v="1"/>
    <s v="CM"/>
    <s v="N"/>
    <x v="263"/>
    <x v="3"/>
    <x v="97"/>
    <m/>
    <x v="76"/>
    <m/>
    <x v="3"/>
    <x v="0"/>
    <x v="86"/>
    <d v="2011-11-19T00:00:00"/>
    <x v="13"/>
    <x v="1"/>
    <s v="Première Madeira"/>
    <m/>
    <x v="0"/>
    <x v="0"/>
    <m/>
    <x v="0"/>
    <x v="2"/>
    <x v="310"/>
    <x v="3"/>
    <x v="0"/>
    <x v="1"/>
    <x v="86"/>
    <x v="720"/>
  </r>
  <r>
    <x v="0"/>
    <n v="441"/>
    <x v="309"/>
    <x v="1"/>
    <s v="CM"/>
    <s v=""/>
    <x v="264"/>
    <x v="2"/>
    <x v="67"/>
    <m/>
    <x v="23"/>
    <m/>
    <x v="3"/>
    <x v="0"/>
    <x v="63"/>
    <d v="2011-06-12T00:00:00"/>
    <x v="7"/>
    <x v="1"/>
    <m/>
    <m/>
    <x v="17"/>
    <x v="0"/>
    <m/>
    <x v="1"/>
    <x v="2"/>
    <x v="311"/>
    <x v="3"/>
    <x v="17"/>
    <x v="1"/>
    <x v="63"/>
    <x v="721"/>
  </r>
  <r>
    <x v="0"/>
    <n v="444"/>
    <x v="310"/>
    <x v="0"/>
    <s v="CM"/>
    <s v="N"/>
    <x v="265"/>
    <x v="3"/>
    <x v="71"/>
    <m/>
    <x v="55"/>
    <m/>
    <x v="3"/>
    <x v="0"/>
    <x v="66"/>
    <d v="2011-10-29T00:00:00"/>
    <x v="14"/>
    <x v="0"/>
    <m/>
    <m/>
    <x v="0"/>
    <x v="1"/>
    <m/>
    <x v="0"/>
    <x v="0"/>
    <x v="312"/>
    <x v="3"/>
    <x v="0"/>
    <x v="1"/>
    <x v="66"/>
    <x v="722"/>
  </r>
  <r>
    <x v="0"/>
    <n v="445"/>
    <x v="311"/>
    <x v="1"/>
    <s v="CM"/>
    <s v="S"/>
    <x v="55"/>
    <x v="5"/>
    <x v="25"/>
    <m/>
    <x v="24"/>
    <m/>
    <x v="3"/>
    <x v="0"/>
    <x v="23"/>
    <d v="2011-10-30T00:00:00"/>
    <x v="14"/>
    <x v="0"/>
    <m/>
    <s v="Selecção Portuguesa - Sessões Especiais - Fora de Competição"/>
    <x v="0"/>
    <x v="0"/>
    <m/>
    <x v="0"/>
    <x v="2"/>
    <x v="313"/>
    <x v="3"/>
    <x v="0"/>
    <x v="1"/>
    <x v="23"/>
    <x v="723"/>
  </r>
  <r>
    <x v="0"/>
    <n v="445"/>
    <x v="311"/>
    <x v="1"/>
    <s v="CM"/>
    <s v="S"/>
    <x v="55"/>
    <x v="5"/>
    <x v="22"/>
    <m/>
    <x v="22"/>
    <m/>
    <x v="3"/>
    <x v="0"/>
    <x v="20"/>
    <d v="2011-11-17T00:00:00"/>
    <x v="13"/>
    <x v="1"/>
    <s v="Sessão Competitiva 3"/>
    <m/>
    <x v="0"/>
    <x v="0"/>
    <m/>
    <x v="0"/>
    <x v="2"/>
    <x v="313"/>
    <x v="3"/>
    <x v="0"/>
    <x v="1"/>
    <x v="20"/>
    <x v="724"/>
  </r>
  <r>
    <x v="0"/>
    <n v="446"/>
    <x v="312"/>
    <x v="2"/>
    <s v="Série"/>
    <s v="S"/>
    <x v="266"/>
    <x v="2"/>
    <x v="223"/>
    <m/>
    <x v="155"/>
    <m/>
    <x v="16"/>
    <x v="0"/>
    <x v="160"/>
    <d v="2011-07-23T00:00:00"/>
    <x v="8"/>
    <x v="1"/>
    <s v="Films for Kids"/>
    <m/>
    <x v="0"/>
    <x v="0"/>
    <m/>
    <x v="0"/>
    <x v="9"/>
    <x v="314"/>
    <x v="16"/>
    <x v="0"/>
    <x v="0"/>
    <x v="160"/>
    <x v="725"/>
  </r>
  <r>
    <x v="0"/>
    <n v="446"/>
    <x v="312"/>
    <x v="2"/>
    <s v="Série"/>
    <s v="S"/>
    <x v="266"/>
    <x v="2"/>
    <x v="224"/>
    <m/>
    <x v="156"/>
    <m/>
    <x v="18"/>
    <x v="0"/>
    <x v="140"/>
    <d v="2011-07-24T00:00:00"/>
    <x v="8"/>
    <x v="1"/>
    <s v="TV Films"/>
    <m/>
    <x v="0"/>
    <x v="0"/>
    <m/>
    <x v="0"/>
    <x v="9"/>
    <x v="314"/>
    <x v="18"/>
    <x v="0"/>
    <x v="0"/>
    <x v="140"/>
    <x v="726"/>
  </r>
  <r>
    <x v="0"/>
    <n v="446"/>
    <x v="312"/>
    <x v="2"/>
    <s v="Série"/>
    <s v="S"/>
    <x v="266"/>
    <x v="2"/>
    <x v="139"/>
    <m/>
    <x v="106"/>
    <m/>
    <x v="15"/>
    <x v="0"/>
    <x v="109"/>
    <d v="2011-07-30T00:00:00"/>
    <x v="8"/>
    <x v="1"/>
    <s v="UNICEF"/>
    <m/>
    <x v="0"/>
    <x v="0"/>
    <m/>
    <x v="0"/>
    <x v="9"/>
    <x v="314"/>
    <x v="15"/>
    <x v="0"/>
    <x v="0"/>
    <x v="109"/>
    <x v="727"/>
  </r>
  <r>
    <x v="0"/>
    <n v="446"/>
    <x v="312"/>
    <x v="2"/>
    <s v="Série"/>
    <s v="S"/>
    <x v="266"/>
    <x v="2"/>
    <x v="14"/>
    <m/>
    <x v="14"/>
    <m/>
    <x v="3"/>
    <x v="0"/>
    <x v="13"/>
    <d v="2011-11-05T00:00:00"/>
    <x v="0"/>
    <x v="1"/>
    <s v="Competição Curtas Metragens"/>
    <m/>
    <x v="0"/>
    <x v="0"/>
    <m/>
    <x v="0"/>
    <x v="9"/>
    <x v="314"/>
    <x v="3"/>
    <x v="0"/>
    <x v="1"/>
    <x v="13"/>
    <x v="728"/>
  </r>
  <r>
    <x v="0"/>
    <n v="447"/>
    <x v="313"/>
    <x v="2"/>
    <s v="Série"/>
    <s v="S"/>
    <x v="266"/>
    <x v="2"/>
    <x v="61"/>
    <m/>
    <x v="50"/>
    <m/>
    <x v="13"/>
    <x v="0"/>
    <x v="57"/>
    <d v="2011-02-25T00:00:00"/>
    <x v="1"/>
    <x v="0"/>
    <m/>
    <m/>
    <x v="0"/>
    <x v="1"/>
    <m/>
    <x v="0"/>
    <x v="9"/>
    <x v="315"/>
    <x v="13"/>
    <x v="0"/>
    <x v="0"/>
    <x v="57"/>
    <x v="729"/>
  </r>
  <r>
    <x v="0"/>
    <n v="448"/>
    <x v="314"/>
    <x v="1"/>
    <s v=""/>
    <s v=""/>
    <x v="267"/>
    <x v="2"/>
    <x v="256"/>
    <m/>
    <x v="177"/>
    <m/>
    <x v="50"/>
    <x v="0"/>
    <x v="37"/>
    <d v="2011-08-27T00:00:00"/>
    <x v="16"/>
    <x v="1"/>
    <s v="Documentary Film"/>
    <m/>
    <x v="0"/>
    <x v="0"/>
    <m/>
    <x v="0"/>
    <x v="11"/>
    <x v="316"/>
    <x v="50"/>
    <x v="0"/>
    <x v="0"/>
    <x v="37"/>
    <x v="730"/>
  </r>
  <r>
    <x v="0"/>
    <n v="449"/>
    <x v="315"/>
    <x v="0"/>
    <s v="LM"/>
    <s v="S"/>
    <x v="240"/>
    <x v="5"/>
    <x v="227"/>
    <m/>
    <x v="22"/>
    <m/>
    <x v="3"/>
    <x v="0"/>
    <x v="130"/>
    <d v="2011-03-06T00:00:00"/>
    <x v="2"/>
    <x v="0"/>
    <m/>
    <m/>
    <x v="0"/>
    <x v="1"/>
    <m/>
    <x v="0"/>
    <x v="5"/>
    <x v="317"/>
    <x v="3"/>
    <x v="0"/>
    <x v="1"/>
    <x v="130"/>
    <x v="731"/>
  </r>
  <r>
    <x v="0"/>
    <n v="449"/>
    <x v="315"/>
    <x v="0"/>
    <s v="LM"/>
    <s v="S"/>
    <x v="240"/>
    <x v="5"/>
    <x v="175"/>
    <m/>
    <x v="132"/>
    <m/>
    <x v="2"/>
    <x v="0"/>
    <x v="28"/>
    <d v="2011-03-30T00:00:00"/>
    <x v="2"/>
    <x v="0"/>
    <m/>
    <m/>
    <x v="0"/>
    <x v="1"/>
    <m/>
    <x v="0"/>
    <x v="5"/>
    <x v="317"/>
    <x v="2"/>
    <x v="0"/>
    <x v="0"/>
    <x v="28"/>
    <x v="732"/>
  </r>
  <r>
    <x v="0"/>
    <n v="449"/>
    <x v="315"/>
    <x v="0"/>
    <s v="LM"/>
    <s v="S"/>
    <x v="240"/>
    <x v="5"/>
    <x v="257"/>
    <m/>
    <x v="178"/>
    <m/>
    <x v="37"/>
    <x v="0"/>
    <x v="5"/>
    <d v="2011-05-25T00:00:00"/>
    <x v="4"/>
    <x v="0"/>
    <m/>
    <m/>
    <x v="0"/>
    <x v="0"/>
    <m/>
    <x v="0"/>
    <x v="5"/>
    <x v="317"/>
    <x v="37"/>
    <x v="0"/>
    <x v="0"/>
    <x v="5"/>
    <x v="733"/>
  </r>
  <r>
    <x v="0"/>
    <n v="449"/>
    <x v="315"/>
    <x v="0"/>
    <s v="LM"/>
    <s v="S"/>
    <x v="240"/>
    <x v="5"/>
    <x v="258"/>
    <m/>
    <x v="179"/>
    <m/>
    <x v="9"/>
    <x v="0"/>
    <x v="112"/>
    <d v="2011-05-14T00:00:00"/>
    <x v="6"/>
    <x v="1"/>
    <s v="Narrative Feature Competition"/>
    <m/>
    <x v="0"/>
    <x v="0"/>
    <m/>
    <x v="0"/>
    <x v="5"/>
    <x v="317"/>
    <x v="9"/>
    <x v="0"/>
    <x v="0"/>
    <x v="112"/>
    <x v="734"/>
  </r>
  <r>
    <x v="0"/>
    <n v="449"/>
    <x v="315"/>
    <x v="0"/>
    <s v="LM"/>
    <s v="S"/>
    <x v="240"/>
    <x v="5"/>
    <x v="259"/>
    <m/>
    <x v="180"/>
    <m/>
    <x v="51"/>
    <x v="0"/>
    <x v="112"/>
    <d v="2011-05-26T00:00:00"/>
    <x v="6"/>
    <x v="0"/>
    <m/>
    <m/>
    <x v="0"/>
    <x v="0"/>
    <m/>
    <x v="0"/>
    <x v="5"/>
    <x v="317"/>
    <x v="51"/>
    <x v="0"/>
    <x v="0"/>
    <x v="112"/>
    <x v="735"/>
  </r>
  <r>
    <x v="0"/>
    <n v="449"/>
    <x v="315"/>
    <x v="0"/>
    <s v="LM"/>
    <s v="S"/>
    <x v="240"/>
    <x v="5"/>
    <x v="260"/>
    <m/>
    <x v="181"/>
    <m/>
    <x v="52"/>
    <x v="0"/>
    <x v="174"/>
    <d v="2011-05-31T00:00:00"/>
    <x v="6"/>
    <x v="0"/>
    <m/>
    <m/>
    <x v="0"/>
    <x v="0"/>
    <m/>
    <x v="0"/>
    <x v="5"/>
    <x v="317"/>
    <x v="52"/>
    <x v="0"/>
    <x v="0"/>
    <x v="174"/>
    <x v="736"/>
  </r>
  <r>
    <x v="0"/>
    <n v="449"/>
    <x v="315"/>
    <x v="0"/>
    <s v="LM"/>
    <s v="S"/>
    <x v="240"/>
    <x v="5"/>
    <x v="261"/>
    <m/>
    <x v="182"/>
    <m/>
    <x v="53"/>
    <x v="0"/>
    <x v="175"/>
    <d v="2011-06-30T00:00:00"/>
    <x v="7"/>
    <x v="0"/>
    <m/>
    <m/>
    <x v="0"/>
    <x v="0"/>
    <m/>
    <x v="0"/>
    <x v="5"/>
    <x v="317"/>
    <x v="53"/>
    <x v="0"/>
    <x v="0"/>
    <x v="175"/>
    <x v="737"/>
  </r>
  <r>
    <x v="0"/>
    <n v="449"/>
    <x v="315"/>
    <x v="0"/>
    <s v="LM"/>
    <s v="S"/>
    <x v="240"/>
    <x v="5"/>
    <x v="262"/>
    <m/>
    <x v="183"/>
    <m/>
    <x v="15"/>
    <x v="0"/>
    <x v="175"/>
    <d v="2011-06-06T00:00:00"/>
    <x v="7"/>
    <x v="0"/>
    <m/>
    <m/>
    <x v="0"/>
    <x v="1"/>
    <m/>
    <x v="0"/>
    <x v="5"/>
    <x v="317"/>
    <x v="15"/>
    <x v="0"/>
    <x v="0"/>
    <x v="175"/>
    <x v="738"/>
  </r>
  <r>
    <x v="0"/>
    <n v="449"/>
    <x v="315"/>
    <x v="0"/>
    <s v="LM"/>
    <s v="S"/>
    <x v="240"/>
    <x v="5"/>
    <x v="66"/>
    <m/>
    <x v="52"/>
    <m/>
    <x v="3"/>
    <x v="0"/>
    <x v="62"/>
    <d v="2011-06-12T00:00:00"/>
    <x v="7"/>
    <x v="0"/>
    <m/>
    <s v="Cinema Português"/>
    <x v="0"/>
    <x v="0"/>
    <m/>
    <x v="0"/>
    <x v="5"/>
    <x v="317"/>
    <x v="3"/>
    <x v="0"/>
    <x v="1"/>
    <x v="62"/>
    <x v="739"/>
  </r>
  <r>
    <x v="0"/>
    <n v="449"/>
    <x v="315"/>
    <x v="0"/>
    <s v="LM"/>
    <s v="S"/>
    <x v="240"/>
    <x v="5"/>
    <x v="263"/>
    <m/>
    <x v="184"/>
    <m/>
    <x v="54"/>
    <x v="0"/>
    <x v="62"/>
    <d v="2011-06-09T00:00:00"/>
    <x v="7"/>
    <x v="0"/>
    <m/>
    <m/>
    <x v="0"/>
    <x v="1"/>
    <m/>
    <x v="0"/>
    <x v="5"/>
    <x v="317"/>
    <x v="54"/>
    <x v="0"/>
    <x v="0"/>
    <x v="62"/>
    <x v="740"/>
  </r>
  <r>
    <x v="0"/>
    <n v="449"/>
    <x v="315"/>
    <x v="0"/>
    <s v="LM"/>
    <s v="S"/>
    <x v="240"/>
    <x v="5"/>
    <x v="264"/>
    <m/>
    <x v="185"/>
    <m/>
    <x v="0"/>
    <x v="0"/>
    <x v="89"/>
    <d v="2011-07-17T00:00:00"/>
    <x v="8"/>
    <x v="1"/>
    <s v="Competição Ibero-Americana"/>
    <m/>
    <x v="0"/>
    <x v="0"/>
    <m/>
    <x v="0"/>
    <x v="5"/>
    <x v="317"/>
    <x v="0"/>
    <x v="0"/>
    <x v="0"/>
    <x v="89"/>
    <x v="741"/>
  </r>
  <r>
    <x v="0"/>
    <n v="449"/>
    <x v="315"/>
    <x v="0"/>
    <s v="LM"/>
    <s v="S"/>
    <x v="240"/>
    <x v="5"/>
    <x v="101"/>
    <m/>
    <x v="79"/>
    <m/>
    <x v="3"/>
    <x v="0"/>
    <x v="89"/>
    <d v="2011-11-17T00:00:00"/>
    <x v="21"/>
    <x v="0"/>
    <m/>
    <m/>
    <x v="0"/>
    <x v="1"/>
    <m/>
    <x v="0"/>
    <x v="5"/>
    <x v="317"/>
    <x v="3"/>
    <x v="0"/>
    <x v="1"/>
    <x v="89"/>
    <x v="742"/>
  </r>
  <r>
    <x v="0"/>
    <n v="449"/>
    <x v="315"/>
    <x v="0"/>
    <s v="LM"/>
    <s v="S"/>
    <x v="240"/>
    <x v="5"/>
    <x v="265"/>
    <m/>
    <x v="186"/>
    <m/>
    <x v="3"/>
    <x v="0"/>
    <x v="176"/>
    <d v="2011-07-31T00:00:00"/>
    <x v="8"/>
    <x v="0"/>
    <m/>
    <m/>
    <x v="0"/>
    <x v="1"/>
    <m/>
    <x v="0"/>
    <x v="5"/>
    <x v="317"/>
    <x v="3"/>
    <x v="0"/>
    <x v="1"/>
    <x v="176"/>
    <x v="743"/>
  </r>
  <r>
    <x v="0"/>
    <n v="449"/>
    <x v="315"/>
    <x v="0"/>
    <s v="LM"/>
    <s v="S"/>
    <x v="240"/>
    <x v="5"/>
    <x v="228"/>
    <m/>
    <x v="159"/>
    <m/>
    <x v="46"/>
    <x v="0"/>
    <x v="39"/>
    <d v="2011-11-20T00:00:00"/>
    <x v="0"/>
    <x v="0"/>
    <m/>
    <m/>
    <x v="0"/>
    <x v="0"/>
    <m/>
    <x v="0"/>
    <x v="5"/>
    <x v="317"/>
    <x v="46"/>
    <x v="0"/>
    <x v="0"/>
    <x v="39"/>
    <x v="744"/>
  </r>
  <r>
    <x v="0"/>
    <n v="449"/>
    <x v="315"/>
    <x v="0"/>
    <s v="LM"/>
    <s v="S"/>
    <x v="240"/>
    <x v="5"/>
    <x v="156"/>
    <m/>
    <x v="49"/>
    <m/>
    <x v="3"/>
    <x v="0"/>
    <x v="170"/>
    <m/>
    <x v="13"/>
    <x v="0"/>
    <m/>
    <m/>
    <x v="0"/>
    <x v="1"/>
    <m/>
    <x v="0"/>
    <x v="5"/>
    <x v="317"/>
    <x v="3"/>
    <x v="0"/>
    <x v="1"/>
    <x v="170"/>
    <x v="745"/>
  </r>
  <r>
    <x v="0"/>
    <n v="449"/>
    <x v="315"/>
    <x v="0"/>
    <s v="LM"/>
    <s v="S"/>
    <x v="240"/>
    <x v="5"/>
    <x v="266"/>
    <m/>
    <x v="187"/>
    <m/>
    <x v="4"/>
    <x v="6"/>
    <x v="78"/>
    <m/>
    <x v="26"/>
    <x v="0"/>
    <m/>
    <m/>
    <x v="0"/>
    <x v="1"/>
    <s v="Maio a Julho"/>
    <x v="0"/>
    <x v="5"/>
    <x v="317"/>
    <x v="4"/>
    <x v="0"/>
    <x v="0"/>
    <x v="78"/>
    <x v="746"/>
  </r>
  <r>
    <x v="0"/>
    <n v="451"/>
    <x v="316"/>
    <x v="0"/>
    <s v="CM"/>
    <s v="N"/>
    <x v="268"/>
    <x v="2"/>
    <x v="80"/>
    <m/>
    <x v="60"/>
    <m/>
    <x v="3"/>
    <x v="0"/>
    <x v="70"/>
    <d v="2011-11-13T00:00:00"/>
    <x v="13"/>
    <x v="1"/>
    <m/>
    <m/>
    <x v="84"/>
    <x v="0"/>
    <m/>
    <x v="1"/>
    <x v="0"/>
    <x v="318"/>
    <x v="3"/>
    <x v="90"/>
    <x v="1"/>
    <x v="70"/>
    <x v="747"/>
  </r>
  <r>
    <x v="0"/>
    <n v="452"/>
    <x v="317"/>
    <x v="0"/>
    <s v="CM"/>
    <s v="N"/>
    <x v="269"/>
    <x v="2"/>
    <x v="112"/>
    <m/>
    <x v="23"/>
    <m/>
    <x v="3"/>
    <x v="0"/>
    <x v="97"/>
    <d v="2011-05-14T00:00:00"/>
    <x v="6"/>
    <x v="1"/>
    <s v="Competição Vídeo 4"/>
    <m/>
    <x v="26"/>
    <x v="0"/>
    <m/>
    <x v="1"/>
    <x v="0"/>
    <x v="319"/>
    <x v="3"/>
    <x v="91"/>
    <x v="1"/>
    <x v="97"/>
    <x v="748"/>
  </r>
  <r>
    <x v="0"/>
    <n v="453"/>
    <x v="318"/>
    <x v="1"/>
    <s v="LM"/>
    <s v="S"/>
    <x v="270"/>
    <x v="15"/>
    <x v="62"/>
    <m/>
    <x v="23"/>
    <m/>
    <x v="3"/>
    <x v="0"/>
    <x v="58"/>
    <d v="2011-03-06T00:00:00"/>
    <x v="19"/>
    <x v="0"/>
    <m/>
    <s v="Homenagem a Paulo Trancoso"/>
    <x v="0"/>
    <x v="0"/>
    <m/>
    <x v="0"/>
    <x v="1"/>
    <x v="320"/>
    <x v="3"/>
    <x v="0"/>
    <x v="1"/>
    <x v="58"/>
    <x v="749"/>
  </r>
  <r>
    <x v="0"/>
    <n v="453"/>
    <x v="318"/>
    <x v="1"/>
    <s v="LM"/>
    <s v="S"/>
    <x v="270"/>
    <x v="15"/>
    <x v="12"/>
    <m/>
    <x v="12"/>
    <m/>
    <x v="2"/>
    <x v="0"/>
    <x v="11"/>
    <d v="2011-09-27T00:00:00"/>
    <x v="9"/>
    <x v="0"/>
    <m/>
    <s v="Désir d'Eternité"/>
    <x v="0"/>
    <x v="1"/>
    <m/>
    <x v="0"/>
    <x v="1"/>
    <x v="320"/>
    <x v="2"/>
    <x v="0"/>
    <x v="0"/>
    <x v="11"/>
    <x v="750"/>
  </r>
  <r>
    <x v="0"/>
    <n v="453"/>
    <x v="318"/>
    <x v="1"/>
    <s v="LM"/>
    <s v="S"/>
    <x v="270"/>
    <x v="15"/>
    <x v="89"/>
    <m/>
    <x v="68"/>
    <m/>
    <x v="1"/>
    <x v="0"/>
    <x v="80"/>
    <d v="2011-10-28T00:00:00"/>
    <x v="14"/>
    <x v="0"/>
    <m/>
    <s v="Foco Documental Portugués"/>
    <x v="0"/>
    <x v="1"/>
    <m/>
    <x v="0"/>
    <x v="1"/>
    <x v="320"/>
    <x v="1"/>
    <x v="0"/>
    <x v="0"/>
    <x v="80"/>
    <x v="751"/>
  </r>
  <r>
    <x v="0"/>
    <n v="455"/>
    <x v="319"/>
    <x v="4"/>
    <s v=""/>
    <s v=""/>
    <x v="271"/>
    <x v="2"/>
    <x v="68"/>
    <m/>
    <x v="53"/>
    <m/>
    <x v="3"/>
    <x v="0"/>
    <x v="64"/>
    <d v="2011-07-17T00:00:00"/>
    <x v="8"/>
    <x v="0"/>
    <m/>
    <s v="Paniorama Nacional - Super 8"/>
    <x v="0"/>
    <x v="0"/>
    <m/>
    <x v="0"/>
    <x v="7"/>
    <x v="321"/>
    <x v="3"/>
    <x v="0"/>
    <x v="1"/>
    <x v="64"/>
    <x v="752"/>
  </r>
  <r>
    <x v="0"/>
    <n v="456"/>
    <x v="320"/>
    <x v="3"/>
    <s v="CM"/>
    <s v="N"/>
    <x v="272"/>
    <x v="3"/>
    <x v="99"/>
    <m/>
    <x v="78"/>
    <m/>
    <x v="20"/>
    <x v="0"/>
    <x v="69"/>
    <d v="2011-11-13T00:00:00"/>
    <x v="13"/>
    <x v="1"/>
    <s v="International Shorts - Programme 8"/>
    <m/>
    <x v="0"/>
    <x v="0"/>
    <m/>
    <x v="0"/>
    <x v="6"/>
    <x v="322"/>
    <x v="20"/>
    <x v="0"/>
    <x v="0"/>
    <x v="69"/>
    <x v="753"/>
  </r>
  <r>
    <x v="0"/>
    <n v="457"/>
    <x v="321"/>
    <x v="0"/>
    <s v="CM"/>
    <s v="N"/>
    <x v="273"/>
    <x v="2"/>
    <x v="48"/>
    <m/>
    <x v="24"/>
    <m/>
    <x v="3"/>
    <x v="0"/>
    <x v="21"/>
    <d v="2011-09-11T00:00:00"/>
    <x v="9"/>
    <x v="1"/>
    <s v="Prémio Motelx . Melhor Curta de Terror Portuguesa"/>
    <m/>
    <x v="0"/>
    <x v="0"/>
    <m/>
    <x v="0"/>
    <x v="0"/>
    <x v="323"/>
    <x v="3"/>
    <x v="0"/>
    <x v="1"/>
    <x v="21"/>
    <x v="754"/>
  </r>
  <r>
    <x v="0"/>
    <n v="458"/>
    <x v="322"/>
    <x v="1"/>
    <s v="CM"/>
    <s v=""/>
    <x v="274"/>
    <x v="2"/>
    <x v="71"/>
    <m/>
    <x v="55"/>
    <m/>
    <x v="3"/>
    <x v="0"/>
    <x v="66"/>
    <d v="2011-10-29T00:00:00"/>
    <x v="14"/>
    <x v="0"/>
    <m/>
    <m/>
    <x v="0"/>
    <x v="1"/>
    <m/>
    <x v="0"/>
    <x v="2"/>
    <x v="324"/>
    <x v="3"/>
    <x v="0"/>
    <x v="1"/>
    <x v="66"/>
    <x v="755"/>
  </r>
  <r>
    <x v="0"/>
    <n v="459"/>
    <x v="323"/>
    <x v="1"/>
    <s v="LM"/>
    <s v=""/>
    <x v="275"/>
    <x v="2"/>
    <x v="207"/>
    <m/>
    <x v="24"/>
    <m/>
    <x v="3"/>
    <x v="0"/>
    <x v="109"/>
    <d v="2011-08-14T00:00:00"/>
    <x v="25"/>
    <x v="0"/>
    <m/>
    <m/>
    <x v="0"/>
    <x v="1"/>
    <m/>
    <x v="0"/>
    <x v="1"/>
    <x v="325"/>
    <x v="3"/>
    <x v="0"/>
    <x v="1"/>
    <x v="109"/>
    <x v="756"/>
  </r>
  <r>
    <x v="0"/>
    <n v="460"/>
    <x v="324"/>
    <x v="4"/>
    <s v=""/>
    <s v=""/>
    <x v="195"/>
    <x v="2"/>
    <x v="207"/>
    <m/>
    <x v="24"/>
    <m/>
    <x v="3"/>
    <x v="0"/>
    <x v="109"/>
    <d v="2011-08-14T00:00:00"/>
    <x v="25"/>
    <x v="0"/>
    <m/>
    <m/>
    <x v="0"/>
    <x v="1"/>
    <m/>
    <x v="0"/>
    <x v="7"/>
    <x v="326"/>
    <x v="3"/>
    <x v="0"/>
    <x v="1"/>
    <x v="109"/>
    <x v="757"/>
  </r>
  <r>
    <x v="0"/>
    <n v="463"/>
    <x v="325"/>
    <x v="4"/>
    <s v=""/>
    <s v=""/>
    <x v="276"/>
    <x v="2"/>
    <x v="62"/>
    <m/>
    <x v="23"/>
    <m/>
    <x v="3"/>
    <x v="0"/>
    <x v="58"/>
    <d v="2011-03-06T00:00:00"/>
    <x v="19"/>
    <x v="0"/>
    <m/>
    <s v="Panorama do Cinema Português"/>
    <x v="0"/>
    <x v="0"/>
    <m/>
    <x v="0"/>
    <x v="7"/>
    <x v="327"/>
    <x v="3"/>
    <x v="0"/>
    <x v="1"/>
    <x v="58"/>
    <x v="758"/>
  </r>
  <r>
    <x v="0"/>
    <n v="464"/>
    <x v="326"/>
    <x v="0"/>
    <s v="CM"/>
    <s v="S"/>
    <x v="0"/>
    <x v="13"/>
    <x v="0"/>
    <m/>
    <x v="0"/>
    <m/>
    <x v="0"/>
    <x v="0"/>
    <x v="0"/>
    <d v="2011-11-06T00:00:00"/>
    <x v="0"/>
    <x v="0"/>
    <m/>
    <s v="Foco Portugal: In Focus Miguel Gomes"/>
    <x v="0"/>
    <x v="0"/>
    <m/>
    <x v="0"/>
    <x v="0"/>
    <x v="328"/>
    <x v="0"/>
    <x v="0"/>
    <x v="0"/>
    <x v="0"/>
    <x v="759"/>
  </r>
  <r>
    <x v="0"/>
    <n v="465"/>
    <x v="327"/>
    <x v="0"/>
    <s v="CM"/>
    <s v="N"/>
    <x v="277"/>
    <x v="3"/>
    <x v="71"/>
    <m/>
    <x v="55"/>
    <m/>
    <x v="3"/>
    <x v="0"/>
    <x v="66"/>
    <d v="2011-10-29T00:00:00"/>
    <x v="14"/>
    <x v="0"/>
    <m/>
    <m/>
    <x v="0"/>
    <x v="1"/>
    <m/>
    <x v="0"/>
    <x v="0"/>
    <x v="329"/>
    <x v="3"/>
    <x v="0"/>
    <x v="1"/>
    <x v="66"/>
    <x v="760"/>
  </r>
  <r>
    <x v="0"/>
    <n v="467"/>
    <x v="328"/>
    <x v="4"/>
    <s v=""/>
    <s v=""/>
    <x v="278"/>
    <x v="2"/>
    <x v="63"/>
    <m/>
    <x v="24"/>
    <m/>
    <x v="3"/>
    <x v="0"/>
    <x v="59"/>
    <d v="2011-05-01T00:00:00"/>
    <x v="4"/>
    <x v="0"/>
    <m/>
    <s v="Cinema para a Inclusão"/>
    <x v="0"/>
    <x v="0"/>
    <m/>
    <x v="0"/>
    <x v="7"/>
    <x v="330"/>
    <x v="3"/>
    <x v="0"/>
    <x v="1"/>
    <x v="59"/>
    <x v="761"/>
  </r>
  <r>
    <x v="0"/>
    <n v="469"/>
    <x v="329"/>
    <x v="0"/>
    <s v="LM"/>
    <s v="S"/>
    <x v="240"/>
    <x v="2"/>
    <x v="227"/>
    <m/>
    <x v="22"/>
    <m/>
    <x v="3"/>
    <x v="0"/>
    <x v="130"/>
    <d v="2011-03-06T00:00:00"/>
    <x v="2"/>
    <x v="0"/>
    <m/>
    <m/>
    <x v="0"/>
    <x v="1"/>
    <m/>
    <x v="0"/>
    <x v="5"/>
    <x v="331"/>
    <x v="3"/>
    <x v="0"/>
    <x v="1"/>
    <x v="130"/>
    <x v="762"/>
  </r>
  <r>
    <x v="0"/>
    <n v="471"/>
    <x v="330"/>
    <x v="1"/>
    <s v="CM"/>
    <s v=""/>
    <x v="279"/>
    <x v="2"/>
    <x v="22"/>
    <m/>
    <x v="22"/>
    <m/>
    <x v="3"/>
    <x v="0"/>
    <x v="20"/>
    <d v="2011-11-17T00:00:00"/>
    <x v="13"/>
    <x v="1"/>
    <s v="Ensaios Visuais 1"/>
    <m/>
    <x v="0"/>
    <x v="0"/>
    <m/>
    <x v="0"/>
    <x v="2"/>
    <x v="332"/>
    <x v="3"/>
    <x v="0"/>
    <x v="1"/>
    <x v="20"/>
    <x v="763"/>
  </r>
  <r>
    <x v="0"/>
    <n v="474"/>
    <x v="331"/>
    <x v="0"/>
    <s v="CM"/>
    <s v=""/>
    <x v="280"/>
    <x v="2"/>
    <x v="71"/>
    <m/>
    <x v="55"/>
    <m/>
    <x v="3"/>
    <x v="0"/>
    <x v="66"/>
    <d v="2011-10-29T00:00:00"/>
    <x v="14"/>
    <x v="0"/>
    <m/>
    <m/>
    <x v="0"/>
    <x v="1"/>
    <m/>
    <x v="0"/>
    <x v="0"/>
    <x v="333"/>
    <x v="3"/>
    <x v="0"/>
    <x v="1"/>
    <x v="66"/>
    <x v="764"/>
  </r>
  <r>
    <x v="0"/>
    <n v="475"/>
    <x v="332"/>
    <x v="2"/>
    <s v="CM"/>
    <s v="S"/>
    <x v="281"/>
    <x v="2"/>
    <x v="30"/>
    <m/>
    <x v="28"/>
    <m/>
    <x v="8"/>
    <x v="0"/>
    <x v="28"/>
    <d v="2011-03-20T00:00:00"/>
    <x v="2"/>
    <x v="0"/>
    <m/>
    <s v="A Portuguesa 1 - Journeys"/>
    <x v="0"/>
    <x v="0"/>
    <m/>
    <x v="0"/>
    <x v="4"/>
    <x v="334"/>
    <x v="8"/>
    <x v="0"/>
    <x v="0"/>
    <x v="28"/>
    <x v="765"/>
  </r>
  <r>
    <x v="0"/>
    <n v="475"/>
    <x v="332"/>
    <x v="2"/>
    <s v="CM"/>
    <s v="S"/>
    <x v="281"/>
    <x v="2"/>
    <x v="55"/>
    <m/>
    <x v="45"/>
    <m/>
    <x v="3"/>
    <x v="0"/>
    <x v="175"/>
    <d v="2011-06-16T00:00:00"/>
    <x v="7"/>
    <x v="0"/>
    <m/>
    <s v="11º Programa: As Escolhas de Pedro Serrazina"/>
    <x v="0"/>
    <x v="1"/>
    <m/>
    <x v="0"/>
    <x v="4"/>
    <x v="334"/>
    <x v="3"/>
    <x v="0"/>
    <x v="1"/>
    <x v="175"/>
    <x v="766"/>
  </r>
  <r>
    <x v="0"/>
    <n v="476"/>
    <x v="333"/>
    <x v="0"/>
    <s v="LM"/>
    <s v="S"/>
    <x v="282"/>
    <x v="3"/>
    <x v="14"/>
    <m/>
    <x v="14"/>
    <m/>
    <x v="3"/>
    <x v="0"/>
    <x v="13"/>
    <d v="2011-11-05T00:00:00"/>
    <x v="0"/>
    <x v="1"/>
    <s v="Competição Longas Metragens"/>
    <m/>
    <x v="85"/>
    <x v="0"/>
    <m/>
    <x v="1"/>
    <x v="5"/>
    <x v="335"/>
    <x v="3"/>
    <x v="92"/>
    <x v="1"/>
    <x v="13"/>
    <x v="767"/>
  </r>
  <r>
    <x v="0"/>
    <n v="476"/>
    <x v="333"/>
    <x v="0"/>
    <s v="LM"/>
    <s v="S"/>
    <x v="282"/>
    <x v="3"/>
    <x v="22"/>
    <m/>
    <x v="22"/>
    <m/>
    <x v="3"/>
    <x v="0"/>
    <x v="20"/>
    <d v="2011-11-17T00:00:00"/>
    <x v="13"/>
    <x v="1"/>
    <s v="Sessão Competitiva 17"/>
    <m/>
    <x v="86"/>
    <x v="0"/>
    <m/>
    <x v="1"/>
    <x v="5"/>
    <x v="335"/>
    <x v="3"/>
    <x v="93"/>
    <x v="1"/>
    <x v="20"/>
    <x v="768"/>
  </r>
  <r>
    <x v="0"/>
    <n v="476"/>
    <x v="333"/>
    <x v="0"/>
    <s v="LM"/>
    <s v="S"/>
    <x v="282"/>
    <x v="3"/>
    <x v="133"/>
    <m/>
    <x v="101"/>
    <m/>
    <x v="3"/>
    <x v="0"/>
    <x v="108"/>
    <d v="2011-12-11T00:00:00"/>
    <x v="12"/>
    <x v="1"/>
    <s v="Longas Metragens SC 3"/>
    <m/>
    <x v="0"/>
    <x v="0"/>
    <m/>
    <x v="0"/>
    <x v="5"/>
    <x v="335"/>
    <x v="3"/>
    <x v="0"/>
    <x v="1"/>
    <x v="108"/>
    <x v="769"/>
  </r>
  <r>
    <x v="0"/>
    <n v="480"/>
    <x v="334"/>
    <x v="4"/>
    <s v=""/>
    <s v=""/>
    <x v="283"/>
    <x v="2"/>
    <x v="24"/>
    <m/>
    <x v="24"/>
    <m/>
    <x v="3"/>
    <x v="0"/>
    <x v="22"/>
    <d v="2011-09-24T00:00:00"/>
    <x v="9"/>
    <x v="1"/>
    <s v="Secção Competitiva para Melhor Curta Metragem"/>
    <m/>
    <x v="0"/>
    <x v="0"/>
    <m/>
    <x v="0"/>
    <x v="7"/>
    <x v="336"/>
    <x v="3"/>
    <x v="0"/>
    <x v="1"/>
    <x v="22"/>
    <x v="770"/>
  </r>
  <r>
    <x v="0"/>
    <n v="482"/>
    <x v="335"/>
    <x v="4"/>
    <s v=""/>
    <s v=""/>
    <x v="284"/>
    <x v="2"/>
    <x v="267"/>
    <m/>
    <x v="20"/>
    <m/>
    <x v="5"/>
    <x v="0"/>
    <x v="177"/>
    <m/>
    <x v="2"/>
    <x v="1"/>
    <m/>
    <m/>
    <x v="87"/>
    <x v="2"/>
    <m/>
    <x v="1"/>
    <x v="7"/>
    <x v="337"/>
    <x v="5"/>
    <x v="94"/>
    <x v="0"/>
    <x v="177"/>
    <x v="771"/>
  </r>
  <r>
    <x v="0"/>
    <n v="484"/>
    <x v="336"/>
    <x v="4"/>
    <s v=""/>
    <s v="N"/>
    <x v="89"/>
    <x v="2"/>
    <x v="62"/>
    <m/>
    <x v="23"/>
    <m/>
    <x v="3"/>
    <x v="0"/>
    <x v="58"/>
    <d v="2011-03-06T00:00:00"/>
    <x v="19"/>
    <x v="0"/>
    <m/>
    <s v="João Menezes 10 Anos"/>
    <x v="0"/>
    <x v="0"/>
    <m/>
    <x v="0"/>
    <x v="7"/>
    <x v="338"/>
    <x v="3"/>
    <x v="0"/>
    <x v="1"/>
    <x v="58"/>
    <x v="772"/>
  </r>
  <r>
    <x v="0"/>
    <n v="486"/>
    <x v="337"/>
    <x v="0"/>
    <s v="CM"/>
    <s v="N"/>
    <x v="285"/>
    <x v="2"/>
    <x v="63"/>
    <m/>
    <x v="24"/>
    <m/>
    <x v="3"/>
    <x v="0"/>
    <x v="59"/>
    <d v="2011-05-01T00:00:00"/>
    <x v="4"/>
    <x v="0"/>
    <m/>
    <s v="Olhares sobre Portugal"/>
    <x v="0"/>
    <x v="0"/>
    <m/>
    <x v="0"/>
    <x v="0"/>
    <x v="339"/>
    <x v="3"/>
    <x v="0"/>
    <x v="1"/>
    <x v="59"/>
    <x v="773"/>
  </r>
  <r>
    <x v="0"/>
    <n v="487"/>
    <x v="338"/>
    <x v="1"/>
    <s v="CM"/>
    <s v="N"/>
    <x v="286"/>
    <x v="2"/>
    <x v="268"/>
    <m/>
    <x v="0"/>
    <m/>
    <x v="0"/>
    <x v="0"/>
    <x v="32"/>
    <d v="2011-06-26T00:00:00"/>
    <x v="7"/>
    <x v="1"/>
    <s v="Mostra Competitiva VIDEOSUL -  curtas e médias-metragens de ficção"/>
    <m/>
    <x v="0"/>
    <x v="0"/>
    <m/>
    <x v="0"/>
    <x v="2"/>
    <x v="340"/>
    <x v="0"/>
    <x v="0"/>
    <x v="0"/>
    <x v="32"/>
    <x v="774"/>
  </r>
  <r>
    <x v="0"/>
    <n v="488"/>
    <x v="339"/>
    <x v="0"/>
    <s v="LM"/>
    <s v="N"/>
    <x v="287"/>
    <x v="24"/>
    <x v="53"/>
    <m/>
    <x v="24"/>
    <m/>
    <x v="3"/>
    <x v="0"/>
    <x v="47"/>
    <d v="2011-07-31T00:00:00"/>
    <x v="8"/>
    <x v="0"/>
    <m/>
    <m/>
    <x v="0"/>
    <x v="1"/>
    <m/>
    <x v="0"/>
    <x v="5"/>
    <x v="341"/>
    <x v="3"/>
    <x v="0"/>
    <x v="1"/>
    <x v="47"/>
    <x v="775"/>
  </r>
  <r>
    <x v="0"/>
    <n v="490"/>
    <x v="340"/>
    <x v="1"/>
    <s v="LM"/>
    <s v=""/>
    <x v="288"/>
    <x v="1"/>
    <x v="43"/>
    <m/>
    <x v="40"/>
    <m/>
    <x v="3"/>
    <x v="0"/>
    <x v="20"/>
    <d v="2011-11-26T00:00:00"/>
    <x v="13"/>
    <x v="0"/>
    <m/>
    <m/>
    <x v="0"/>
    <x v="1"/>
    <m/>
    <x v="0"/>
    <x v="1"/>
    <x v="342"/>
    <x v="3"/>
    <x v="0"/>
    <x v="1"/>
    <x v="20"/>
    <x v="776"/>
  </r>
  <r>
    <x v="0"/>
    <n v="491"/>
    <x v="341"/>
    <x v="1"/>
    <s v="LM"/>
    <s v=""/>
    <x v="15"/>
    <x v="25"/>
    <x v="43"/>
    <m/>
    <x v="40"/>
    <m/>
    <x v="3"/>
    <x v="0"/>
    <x v="20"/>
    <d v="2011-11-26T00:00:00"/>
    <x v="13"/>
    <x v="0"/>
    <m/>
    <m/>
    <x v="0"/>
    <x v="1"/>
    <m/>
    <x v="0"/>
    <x v="1"/>
    <x v="343"/>
    <x v="3"/>
    <x v="0"/>
    <x v="1"/>
    <x v="20"/>
    <x v="777"/>
  </r>
  <r>
    <x v="0"/>
    <n v="494"/>
    <x v="342"/>
    <x v="1"/>
    <s v="LM"/>
    <s v="S"/>
    <x v="289"/>
    <x v="5"/>
    <x v="269"/>
    <m/>
    <x v="188"/>
    <m/>
    <x v="55"/>
    <x v="0"/>
    <x v="178"/>
    <d v="2011-04-30T00:00:00"/>
    <x v="5"/>
    <x v="0"/>
    <m/>
    <m/>
    <x v="0"/>
    <x v="0"/>
    <m/>
    <x v="0"/>
    <x v="1"/>
    <x v="344"/>
    <x v="55"/>
    <x v="0"/>
    <x v="0"/>
    <x v="178"/>
    <x v="778"/>
  </r>
  <r>
    <x v="0"/>
    <n v="494"/>
    <x v="342"/>
    <x v="1"/>
    <s v="LM"/>
    <s v="S"/>
    <x v="289"/>
    <x v="5"/>
    <x v="58"/>
    <m/>
    <x v="47"/>
    <m/>
    <x v="3"/>
    <x v="0"/>
    <x v="53"/>
    <d v="2011-09-04T00:00:00"/>
    <x v="9"/>
    <x v="0"/>
    <m/>
    <m/>
    <x v="0"/>
    <x v="1"/>
    <m/>
    <x v="0"/>
    <x v="1"/>
    <x v="344"/>
    <x v="3"/>
    <x v="0"/>
    <x v="1"/>
    <x v="53"/>
    <x v="779"/>
  </r>
  <r>
    <x v="0"/>
    <n v="494"/>
    <x v="342"/>
    <x v="1"/>
    <s v="LM"/>
    <s v="S"/>
    <x v="289"/>
    <x v="5"/>
    <x v="42"/>
    <m/>
    <x v="39"/>
    <m/>
    <x v="3"/>
    <x v="0"/>
    <x v="25"/>
    <m/>
    <x v="13"/>
    <x v="0"/>
    <m/>
    <m/>
    <x v="0"/>
    <x v="1"/>
    <m/>
    <x v="0"/>
    <x v="1"/>
    <x v="344"/>
    <x v="3"/>
    <x v="0"/>
    <x v="1"/>
    <x v="25"/>
    <x v="780"/>
  </r>
  <r>
    <x v="0"/>
    <n v="496"/>
    <x v="343"/>
    <x v="0"/>
    <s v="LM"/>
    <s v="S"/>
    <x v="194"/>
    <x v="2"/>
    <x v="173"/>
    <m/>
    <x v="131"/>
    <m/>
    <x v="40"/>
    <x v="0"/>
    <x v="133"/>
    <d v="2011-09-20T00:00:00"/>
    <x v="9"/>
    <x v="0"/>
    <m/>
    <m/>
    <x v="0"/>
    <x v="1"/>
    <m/>
    <x v="0"/>
    <x v="5"/>
    <x v="345"/>
    <x v="40"/>
    <x v="0"/>
    <x v="0"/>
    <x v="133"/>
    <x v="781"/>
  </r>
  <r>
    <x v="0"/>
    <n v="501"/>
    <x v="344"/>
    <x v="0"/>
    <s v="CM"/>
    <s v="N"/>
    <x v="290"/>
    <x v="2"/>
    <x v="48"/>
    <m/>
    <x v="24"/>
    <m/>
    <x v="3"/>
    <x v="0"/>
    <x v="21"/>
    <d v="2011-09-11T00:00:00"/>
    <x v="9"/>
    <x v="1"/>
    <s v="Prémio Motelx . Melhor Curta de Terror Portuguesa"/>
    <m/>
    <x v="0"/>
    <x v="0"/>
    <m/>
    <x v="0"/>
    <x v="0"/>
    <x v="346"/>
    <x v="3"/>
    <x v="0"/>
    <x v="1"/>
    <x v="21"/>
    <x v="782"/>
  </r>
  <r>
    <x v="0"/>
    <n v="501"/>
    <x v="344"/>
    <x v="0"/>
    <s v="CM"/>
    <s v="N"/>
    <x v="290"/>
    <x v="2"/>
    <x v="22"/>
    <m/>
    <x v="22"/>
    <m/>
    <x v="3"/>
    <x v="0"/>
    <x v="20"/>
    <d v="2011-11-17T00:00:00"/>
    <x v="13"/>
    <x v="1"/>
    <s v="Sessão Competitiva 16"/>
    <m/>
    <x v="0"/>
    <x v="0"/>
    <m/>
    <x v="0"/>
    <x v="0"/>
    <x v="346"/>
    <x v="3"/>
    <x v="0"/>
    <x v="1"/>
    <x v="20"/>
    <x v="783"/>
  </r>
  <r>
    <x v="0"/>
    <n v="502"/>
    <x v="345"/>
    <x v="4"/>
    <s v=""/>
    <s v=""/>
    <x v="291"/>
    <x v="2"/>
    <x v="120"/>
    <m/>
    <x v="83"/>
    <m/>
    <x v="3"/>
    <x v="0"/>
    <x v="16"/>
    <d v="2011-12-04T00:00:00"/>
    <x v="12"/>
    <x v="1"/>
    <s v="Cinéfilos: Animação"/>
    <m/>
    <x v="0"/>
    <x v="0"/>
    <m/>
    <x v="0"/>
    <x v="7"/>
    <x v="347"/>
    <x v="3"/>
    <x v="0"/>
    <x v="1"/>
    <x v="16"/>
    <x v="784"/>
  </r>
  <r>
    <x v="0"/>
    <n v="503"/>
    <x v="346"/>
    <x v="3"/>
    <s v="Série"/>
    <s v="N"/>
    <x v="35"/>
    <x v="5"/>
    <x v="94"/>
    <m/>
    <x v="73"/>
    <m/>
    <x v="3"/>
    <x v="0"/>
    <x v="85"/>
    <d v="2011-10-30T00:00:00"/>
    <x v="14"/>
    <x v="0"/>
    <m/>
    <s v="Sessões não competitivas"/>
    <x v="0"/>
    <x v="0"/>
    <m/>
    <x v="0"/>
    <x v="12"/>
    <x v="348"/>
    <x v="3"/>
    <x v="0"/>
    <x v="1"/>
    <x v="85"/>
    <x v="785"/>
  </r>
  <r>
    <x v="0"/>
    <n v="503"/>
    <x v="346"/>
    <x v="3"/>
    <s v="Série"/>
    <s v="N"/>
    <x v="35"/>
    <x v="5"/>
    <x v="22"/>
    <m/>
    <x v="22"/>
    <m/>
    <x v="3"/>
    <x v="0"/>
    <x v="20"/>
    <d v="2011-11-17T00:00:00"/>
    <x v="13"/>
    <x v="1"/>
    <s v="Sessão Competitica 15"/>
    <m/>
    <x v="0"/>
    <x v="0"/>
    <m/>
    <x v="0"/>
    <x v="12"/>
    <x v="348"/>
    <x v="3"/>
    <x v="0"/>
    <x v="1"/>
    <x v="20"/>
    <x v="786"/>
  </r>
  <r>
    <x v="0"/>
    <n v="504"/>
    <x v="347"/>
    <x v="4"/>
    <s v=""/>
    <s v=""/>
    <x v="42"/>
    <x v="2"/>
    <x v="66"/>
    <m/>
    <x v="52"/>
    <m/>
    <x v="3"/>
    <x v="0"/>
    <x v="62"/>
    <d v="2011-06-12T00:00:00"/>
    <x v="7"/>
    <x v="0"/>
    <m/>
    <s v="O Homem e a Natureza: Fora de Competição"/>
    <x v="0"/>
    <x v="0"/>
    <m/>
    <x v="0"/>
    <x v="7"/>
    <x v="349"/>
    <x v="3"/>
    <x v="0"/>
    <x v="1"/>
    <x v="62"/>
    <x v="787"/>
  </r>
  <r>
    <x v="0"/>
    <n v="506"/>
    <x v="348"/>
    <x v="0"/>
    <s v="LM"/>
    <s v="S"/>
    <x v="29"/>
    <x v="5"/>
    <x v="9"/>
    <m/>
    <x v="9"/>
    <m/>
    <x v="3"/>
    <x v="0"/>
    <x v="179"/>
    <m/>
    <x v="1"/>
    <x v="0"/>
    <m/>
    <m/>
    <x v="0"/>
    <x v="1"/>
    <m/>
    <x v="0"/>
    <x v="5"/>
    <x v="350"/>
    <x v="3"/>
    <x v="0"/>
    <x v="1"/>
    <x v="179"/>
    <x v="788"/>
  </r>
  <r>
    <x v="0"/>
    <n v="506"/>
    <x v="348"/>
    <x v="0"/>
    <s v="LM"/>
    <s v="S"/>
    <x v="29"/>
    <x v="5"/>
    <x v="156"/>
    <m/>
    <x v="49"/>
    <m/>
    <x v="3"/>
    <x v="0"/>
    <x v="180"/>
    <m/>
    <x v="1"/>
    <x v="0"/>
    <m/>
    <m/>
    <x v="0"/>
    <x v="1"/>
    <m/>
    <x v="0"/>
    <x v="5"/>
    <x v="350"/>
    <x v="3"/>
    <x v="0"/>
    <x v="1"/>
    <x v="180"/>
    <x v="789"/>
  </r>
  <r>
    <x v="0"/>
    <n v="506"/>
    <x v="348"/>
    <x v="0"/>
    <s v="LM"/>
    <s v="S"/>
    <x v="29"/>
    <x v="5"/>
    <x v="248"/>
    <m/>
    <x v="24"/>
    <m/>
    <x v="3"/>
    <x v="0"/>
    <x v="58"/>
    <m/>
    <x v="1"/>
    <x v="0"/>
    <m/>
    <m/>
    <x v="88"/>
    <x v="2"/>
    <m/>
    <x v="1"/>
    <x v="5"/>
    <x v="350"/>
    <x v="3"/>
    <x v="95"/>
    <x v="1"/>
    <x v="58"/>
    <x v="790"/>
  </r>
  <r>
    <x v="0"/>
    <n v="506"/>
    <x v="348"/>
    <x v="0"/>
    <s v="LM"/>
    <s v="S"/>
    <x v="29"/>
    <x v="5"/>
    <x v="248"/>
    <m/>
    <x v="24"/>
    <m/>
    <x v="3"/>
    <x v="0"/>
    <x v="58"/>
    <m/>
    <x v="1"/>
    <x v="0"/>
    <m/>
    <m/>
    <x v="89"/>
    <x v="2"/>
    <m/>
    <x v="1"/>
    <x v="5"/>
    <x v="350"/>
    <x v="3"/>
    <x v="96"/>
    <x v="1"/>
    <x v="58"/>
    <x v="791"/>
  </r>
  <r>
    <x v="0"/>
    <n v="506"/>
    <x v="348"/>
    <x v="0"/>
    <s v="LM"/>
    <s v="S"/>
    <x v="29"/>
    <x v="5"/>
    <x v="91"/>
    <m/>
    <x v="70"/>
    <m/>
    <x v="18"/>
    <x v="0"/>
    <x v="82"/>
    <d v="2011-05-06T00:00:00"/>
    <x v="4"/>
    <x v="0"/>
    <m/>
    <s v="Cinemascape: World Cinema"/>
    <x v="0"/>
    <x v="0"/>
    <m/>
    <x v="0"/>
    <x v="5"/>
    <x v="350"/>
    <x v="18"/>
    <x v="0"/>
    <x v="0"/>
    <x v="82"/>
    <x v="792"/>
  </r>
  <r>
    <x v="0"/>
    <n v="506"/>
    <x v="348"/>
    <x v="0"/>
    <s v="LM"/>
    <s v="S"/>
    <x v="29"/>
    <x v="5"/>
    <x v="76"/>
    <m/>
    <x v="58"/>
    <m/>
    <x v="17"/>
    <x v="0"/>
    <x v="67"/>
    <d v="2011-11-30T00:00:00"/>
    <x v="13"/>
    <x v="0"/>
    <m/>
    <m/>
    <x v="0"/>
    <x v="0"/>
    <m/>
    <x v="0"/>
    <x v="5"/>
    <x v="350"/>
    <x v="17"/>
    <x v="0"/>
    <x v="0"/>
    <x v="67"/>
    <x v="793"/>
  </r>
  <r>
    <x v="0"/>
    <n v="506"/>
    <x v="348"/>
    <x v="0"/>
    <s v="LM"/>
    <s v="S"/>
    <x v="29"/>
    <x v="5"/>
    <x v="16"/>
    <m/>
    <x v="16"/>
    <m/>
    <x v="1"/>
    <x v="0"/>
    <x v="15"/>
    <d v="2011-12-17T00:00:00"/>
    <x v="12"/>
    <x v="0"/>
    <m/>
    <m/>
    <x v="0"/>
    <x v="1"/>
    <m/>
    <x v="0"/>
    <x v="5"/>
    <x v="350"/>
    <x v="1"/>
    <x v="0"/>
    <x v="0"/>
    <x v="15"/>
    <x v="794"/>
  </r>
  <r>
    <x v="0"/>
    <n v="507"/>
    <x v="349"/>
    <x v="4"/>
    <s v=""/>
    <s v=""/>
    <x v="292"/>
    <x v="2"/>
    <x v="64"/>
    <m/>
    <x v="23"/>
    <m/>
    <x v="3"/>
    <x v="0"/>
    <x v="60"/>
    <d v="2011-05-28T00:00:00"/>
    <x v="6"/>
    <x v="1"/>
    <m/>
    <m/>
    <x v="90"/>
    <x v="1"/>
    <m/>
    <x v="1"/>
    <x v="7"/>
    <x v="351"/>
    <x v="3"/>
    <x v="97"/>
    <x v="1"/>
    <x v="60"/>
    <x v="795"/>
  </r>
  <r>
    <x v="0"/>
    <n v="508"/>
    <x v="350"/>
    <x v="0"/>
    <s v="CM"/>
    <s v="N"/>
    <x v="293"/>
    <x v="2"/>
    <x v="0"/>
    <m/>
    <x v="0"/>
    <m/>
    <x v="0"/>
    <x v="0"/>
    <x v="0"/>
    <d v="2011-11-06T00:00:00"/>
    <x v="0"/>
    <x v="0"/>
    <m/>
    <s v="Foco Portugal: Programa IndieLisboa"/>
    <x v="0"/>
    <x v="0"/>
    <m/>
    <x v="0"/>
    <x v="0"/>
    <x v="352"/>
    <x v="0"/>
    <x v="0"/>
    <x v="0"/>
    <x v="0"/>
    <x v="796"/>
  </r>
  <r>
    <x v="0"/>
    <n v="510"/>
    <x v="351"/>
    <x v="4"/>
    <s v=""/>
    <s v=""/>
    <x v="25"/>
    <x v="2"/>
    <x v="12"/>
    <m/>
    <x v="12"/>
    <m/>
    <x v="2"/>
    <x v="0"/>
    <x v="11"/>
    <d v="2011-09-27T00:00:00"/>
    <x v="9"/>
    <x v="0"/>
    <m/>
    <s v="Etas et Lieux"/>
    <x v="0"/>
    <x v="1"/>
    <m/>
    <x v="0"/>
    <x v="7"/>
    <x v="353"/>
    <x v="2"/>
    <x v="0"/>
    <x v="0"/>
    <x v="11"/>
    <x v="797"/>
  </r>
  <r>
    <x v="0"/>
    <n v="512"/>
    <x v="352"/>
    <x v="1"/>
    <s v="CM"/>
    <s v="N"/>
    <x v="294"/>
    <x v="2"/>
    <x v="34"/>
    <m/>
    <x v="32"/>
    <m/>
    <x v="3"/>
    <x v="0"/>
    <x v="31"/>
    <d v="2011-05-15T00:00:00"/>
    <x v="6"/>
    <x v="1"/>
    <m/>
    <m/>
    <x v="0"/>
    <x v="0"/>
    <m/>
    <x v="0"/>
    <x v="2"/>
    <x v="354"/>
    <x v="3"/>
    <x v="0"/>
    <x v="1"/>
    <x v="31"/>
    <x v="798"/>
  </r>
  <r>
    <x v="0"/>
    <n v="513"/>
    <x v="353"/>
    <x v="4"/>
    <s v=""/>
    <s v=""/>
    <x v="151"/>
    <x v="2"/>
    <x v="270"/>
    <m/>
    <x v="189"/>
    <m/>
    <x v="5"/>
    <x v="0"/>
    <x v="181"/>
    <d v="2011-01-22T00:00:00"/>
    <x v="15"/>
    <x v="1"/>
    <m/>
    <m/>
    <x v="91"/>
    <x v="0"/>
    <m/>
    <x v="1"/>
    <x v="7"/>
    <x v="355"/>
    <x v="5"/>
    <x v="98"/>
    <x v="0"/>
    <x v="181"/>
    <x v="799"/>
  </r>
  <r>
    <x v="0"/>
    <n v="513"/>
    <x v="353"/>
    <x v="4"/>
    <s v=""/>
    <s v=""/>
    <x v="151"/>
    <x v="2"/>
    <x v="109"/>
    <m/>
    <x v="23"/>
    <m/>
    <x v="3"/>
    <x v="0"/>
    <x v="115"/>
    <d v="2011-06-05T00:00:00"/>
    <x v="23"/>
    <x v="0"/>
    <m/>
    <s v="Momento XIX"/>
    <x v="0"/>
    <x v="1"/>
    <m/>
    <x v="0"/>
    <x v="7"/>
    <x v="355"/>
    <x v="3"/>
    <x v="0"/>
    <x v="1"/>
    <x v="115"/>
    <x v="800"/>
  </r>
  <r>
    <x v="0"/>
    <n v="513"/>
    <x v="353"/>
    <x v="4"/>
    <s v=""/>
    <s v=""/>
    <x v="151"/>
    <x v="2"/>
    <x v="68"/>
    <m/>
    <x v="53"/>
    <m/>
    <x v="3"/>
    <x v="0"/>
    <x v="64"/>
    <d v="2011-07-17T00:00:00"/>
    <x v="8"/>
    <x v="0"/>
    <m/>
    <s v="Panorama Nacional - Super 8"/>
    <x v="0"/>
    <x v="0"/>
    <m/>
    <x v="0"/>
    <x v="7"/>
    <x v="355"/>
    <x v="3"/>
    <x v="0"/>
    <x v="1"/>
    <x v="64"/>
    <x v="801"/>
  </r>
  <r>
    <x v="0"/>
    <n v="513"/>
    <x v="353"/>
    <x v="4"/>
    <s v=""/>
    <s v=""/>
    <x v="151"/>
    <x v="2"/>
    <x v="271"/>
    <m/>
    <x v="190"/>
    <m/>
    <x v="0"/>
    <x v="0"/>
    <x v="119"/>
    <d v="2011-10-02T00:00:00"/>
    <x v="10"/>
    <x v="1"/>
    <m/>
    <m/>
    <x v="92"/>
    <x v="0"/>
    <m/>
    <x v="1"/>
    <x v="7"/>
    <x v="355"/>
    <x v="0"/>
    <x v="99"/>
    <x v="0"/>
    <x v="119"/>
    <x v="802"/>
  </r>
  <r>
    <x v="0"/>
    <n v="516"/>
    <x v="354"/>
    <x v="4"/>
    <s v=""/>
    <s v=""/>
    <x v="295"/>
    <x v="2"/>
    <x v="128"/>
    <m/>
    <x v="98"/>
    <m/>
    <x v="29"/>
    <x v="0"/>
    <x v="104"/>
    <d v="2011-05-28T00:00:00"/>
    <x v="6"/>
    <x v="0"/>
    <m/>
    <m/>
    <x v="0"/>
    <x v="1"/>
    <m/>
    <x v="0"/>
    <x v="7"/>
    <x v="356"/>
    <x v="29"/>
    <x v="0"/>
    <x v="0"/>
    <x v="104"/>
    <x v="803"/>
  </r>
  <r>
    <x v="0"/>
    <n v="517"/>
    <x v="355"/>
    <x v="4"/>
    <s v=""/>
    <s v=""/>
    <x v="296"/>
    <x v="2"/>
    <x v="63"/>
    <m/>
    <x v="24"/>
    <m/>
    <x v="3"/>
    <x v="0"/>
    <x v="59"/>
    <d v="2011-05-01T00:00:00"/>
    <x v="4"/>
    <x v="0"/>
    <m/>
    <s v="Cinema para a Inclusão"/>
    <x v="0"/>
    <x v="0"/>
    <m/>
    <x v="0"/>
    <x v="7"/>
    <x v="357"/>
    <x v="3"/>
    <x v="0"/>
    <x v="1"/>
    <x v="59"/>
    <x v="804"/>
  </r>
  <r>
    <x v="0"/>
    <n v="518"/>
    <x v="356"/>
    <x v="1"/>
    <s v="CM"/>
    <s v=""/>
    <x v="297"/>
    <x v="2"/>
    <x v="120"/>
    <m/>
    <x v="83"/>
    <m/>
    <x v="3"/>
    <x v="0"/>
    <x v="16"/>
    <d v="2011-12-04T00:00:00"/>
    <x v="12"/>
    <x v="1"/>
    <s v="Cineastas: Documentários"/>
    <m/>
    <x v="0"/>
    <x v="0"/>
    <m/>
    <x v="0"/>
    <x v="2"/>
    <x v="358"/>
    <x v="3"/>
    <x v="0"/>
    <x v="1"/>
    <x v="16"/>
    <x v="805"/>
  </r>
  <r>
    <x v="0"/>
    <n v="519"/>
    <x v="357"/>
    <x v="0"/>
    <s v="CM"/>
    <s v="N"/>
    <x v="298"/>
    <x v="3"/>
    <x v="65"/>
    <m/>
    <x v="51"/>
    <m/>
    <x v="14"/>
    <x v="0"/>
    <x v="61"/>
    <d v="2011-06-03T00:00:00"/>
    <x v="7"/>
    <x v="0"/>
    <m/>
    <m/>
    <x v="0"/>
    <x v="0"/>
    <m/>
    <x v="0"/>
    <x v="0"/>
    <x v="359"/>
    <x v="14"/>
    <x v="0"/>
    <x v="0"/>
    <x v="61"/>
    <x v="806"/>
  </r>
  <r>
    <x v="0"/>
    <n v="519"/>
    <x v="357"/>
    <x v="0"/>
    <s v="CM"/>
    <s v="N"/>
    <x v="298"/>
    <x v="3"/>
    <x v="67"/>
    <m/>
    <x v="23"/>
    <m/>
    <x v="3"/>
    <x v="0"/>
    <x v="63"/>
    <d v="2011-06-12T00:00:00"/>
    <x v="7"/>
    <x v="0"/>
    <m/>
    <s v="Sessão Não Competitiva 1"/>
    <x v="0"/>
    <x v="0"/>
    <m/>
    <x v="0"/>
    <x v="0"/>
    <x v="359"/>
    <x v="3"/>
    <x v="0"/>
    <x v="1"/>
    <x v="63"/>
    <x v="807"/>
  </r>
  <r>
    <x v="0"/>
    <n v="519"/>
    <x v="357"/>
    <x v="0"/>
    <s v="CM"/>
    <s v="N"/>
    <x v="298"/>
    <x v="3"/>
    <x v="272"/>
    <m/>
    <x v="191"/>
    <m/>
    <x v="39"/>
    <x v="0"/>
    <x v="70"/>
    <d v="2011-11-13T00:00:00"/>
    <x v="13"/>
    <x v="0"/>
    <m/>
    <s v="Short Wave"/>
    <x v="0"/>
    <x v="0"/>
    <m/>
    <x v="0"/>
    <x v="0"/>
    <x v="359"/>
    <x v="39"/>
    <x v="0"/>
    <x v="0"/>
    <x v="70"/>
    <x v="808"/>
  </r>
  <r>
    <x v="0"/>
    <n v="519"/>
    <x v="357"/>
    <x v="0"/>
    <s v="CM"/>
    <s v="N"/>
    <x v="298"/>
    <x v="3"/>
    <x v="22"/>
    <m/>
    <x v="22"/>
    <m/>
    <x v="3"/>
    <x v="0"/>
    <x v="20"/>
    <d v="2011-11-17T00:00:00"/>
    <x v="13"/>
    <x v="1"/>
    <s v="Sessão Competitiva 3"/>
    <m/>
    <x v="0"/>
    <x v="0"/>
    <m/>
    <x v="0"/>
    <x v="0"/>
    <x v="359"/>
    <x v="3"/>
    <x v="0"/>
    <x v="1"/>
    <x v="20"/>
    <x v="809"/>
  </r>
  <r>
    <x v="0"/>
    <n v="521"/>
    <x v="358"/>
    <x v="2"/>
    <s v="CM"/>
    <s v=""/>
    <x v="299"/>
    <x v="2"/>
    <x v="120"/>
    <m/>
    <x v="83"/>
    <m/>
    <x v="3"/>
    <x v="0"/>
    <x v="16"/>
    <d v="2011-12-04T00:00:00"/>
    <x v="12"/>
    <x v="1"/>
    <s v="Cinéfilos: Animação"/>
    <m/>
    <x v="0"/>
    <x v="0"/>
    <m/>
    <x v="0"/>
    <x v="4"/>
    <x v="360"/>
    <x v="3"/>
    <x v="0"/>
    <x v="1"/>
    <x v="16"/>
    <x v="810"/>
  </r>
  <r>
    <x v="0"/>
    <n v="522"/>
    <x v="359"/>
    <x v="2"/>
    <s v="Série"/>
    <s v="S"/>
    <x v="300"/>
    <x v="5"/>
    <x v="14"/>
    <m/>
    <x v="14"/>
    <m/>
    <x v="3"/>
    <x v="0"/>
    <x v="13"/>
    <d v="2011-11-05T00:00:00"/>
    <x v="0"/>
    <x v="0"/>
    <m/>
    <s v="FFF Escolas: Festa Mundial da Animação, Panorama Infantil"/>
    <x v="0"/>
    <x v="0"/>
    <m/>
    <x v="0"/>
    <x v="9"/>
    <x v="361"/>
    <x v="3"/>
    <x v="0"/>
    <x v="1"/>
    <x v="13"/>
    <x v="811"/>
  </r>
  <r>
    <x v="0"/>
    <n v="522"/>
    <x v="359"/>
    <x v="2"/>
    <s v="Série"/>
    <s v="S"/>
    <x v="300"/>
    <x v="5"/>
    <x v="243"/>
    <m/>
    <x v="99"/>
    <m/>
    <x v="3"/>
    <x v="0"/>
    <x v="86"/>
    <d v="2011-11-19T00:00:00"/>
    <x v="13"/>
    <x v="0"/>
    <m/>
    <s v="Panorama Infantil"/>
    <x v="0"/>
    <x v="0"/>
    <m/>
    <x v="0"/>
    <x v="9"/>
    <x v="361"/>
    <x v="3"/>
    <x v="0"/>
    <x v="1"/>
    <x v="86"/>
    <x v="812"/>
  </r>
  <r>
    <x v="0"/>
    <n v="523"/>
    <x v="360"/>
    <x v="2"/>
    <s v="Série"/>
    <s v="S"/>
    <x v="300"/>
    <x v="5"/>
    <x v="26"/>
    <m/>
    <x v="24"/>
    <m/>
    <x v="3"/>
    <x v="0"/>
    <x v="24"/>
    <d v="2011-03-27T00:00:00"/>
    <x v="2"/>
    <x v="0"/>
    <m/>
    <s v="MONSTRINHA ESCOLA: Sessão dos 7/12 anos"/>
    <x v="0"/>
    <x v="0"/>
    <m/>
    <x v="0"/>
    <x v="9"/>
    <x v="362"/>
    <x v="3"/>
    <x v="0"/>
    <x v="1"/>
    <x v="24"/>
    <x v="813"/>
  </r>
  <r>
    <x v="0"/>
    <n v="524"/>
    <x v="361"/>
    <x v="2"/>
    <s v="Série"/>
    <s v="S"/>
    <x v="300"/>
    <x v="5"/>
    <x v="26"/>
    <m/>
    <x v="24"/>
    <m/>
    <x v="3"/>
    <x v="0"/>
    <x v="24"/>
    <d v="2011-03-27T00:00:00"/>
    <x v="2"/>
    <x v="0"/>
    <m/>
    <s v="MONSTRINHA ESCOLA: Sessão dos 3/6 anos"/>
    <x v="0"/>
    <x v="0"/>
    <m/>
    <x v="0"/>
    <x v="9"/>
    <x v="363"/>
    <x v="3"/>
    <x v="0"/>
    <x v="1"/>
    <x v="24"/>
    <x v="814"/>
  </r>
  <r>
    <x v="0"/>
    <n v="525"/>
    <x v="362"/>
    <x v="0"/>
    <s v="CM"/>
    <s v=""/>
    <x v="301"/>
    <x v="5"/>
    <x v="14"/>
    <m/>
    <x v="14"/>
    <m/>
    <x v="3"/>
    <x v="0"/>
    <x v="13"/>
    <d v="2011-11-05T00:00:00"/>
    <x v="0"/>
    <x v="1"/>
    <s v="Competição Curtas Metragens"/>
    <m/>
    <x v="0"/>
    <x v="0"/>
    <m/>
    <x v="0"/>
    <x v="0"/>
    <x v="364"/>
    <x v="3"/>
    <x v="0"/>
    <x v="1"/>
    <x v="13"/>
    <x v="815"/>
  </r>
  <r>
    <x v="0"/>
    <n v="526"/>
    <x v="363"/>
    <x v="4"/>
    <s v=""/>
    <s v=""/>
    <x v="302"/>
    <x v="2"/>
    <x v="46"/>
    <m/>
    <x v="24"/>
    <m/>
    <x v="3"/>
    <x v="0"/>
    <x v="41"/>
    <d v="2011-11-18T00:00:00"/>
    <x v="13"/>
    <x v="1"/>
    <s v="Prémio de Cinema para Filmes sobre Arte"/>
    <m/>
    <x v="0"/>
    <x v="0"/>
    <m/>
    <x v="0"/>
    <x v="7"/>
    <x v="365"/>
    <x v="3"/>
    <x v="0"/>
    <x v="1"/>
    <x v="41"/>
    <x v="816"/>
  </r>
  <r>
    <x v="0"/>
    <n v="527"/>
    <x v="364"/>
    <x v="0"/>
    <s v="LM"/>
    <s v=""/>
    <x v="20"/>
    <x v="2"/>
    <x v="85"/>
    <m/>
    <x v="64"/>
    <m/>
    <x v="18"/>
    <x v="0"/>
    <x v="77"/>
    <d v="2011-10-14T00:00:00"/>
    <x v="14"/>
    <x v="0"/>
    <m/>
    <s v="Extreme Portuguese Cinema: Six Auteurs in Focus"/>
    <x v="0"/>
    <x v="0"/>
    <m/>
    <x v="0"/>
    <x v="5"/>
    <x v="366"/>
    <x v="18"/>
    <x v="0"/>
    <x v="0"/>
    <x v="77"/>
    <x v="817"/>
  </r>
  <r>
    <x v="0"/>
    <n v="528"/>
    <x v="365"/>
    <x v="4"/>
    <s v=""/>
    <s v=""/>
    <x v="89"/>
    <x v="2"/>
    <x v="70"/>
    <m/>
    <x v="38"/>
    <m/>
    <x v="3"/>
    <x v="0"/>
    <x v="19"/>
    <d v="2011-09-11T00:00:00"/>
    <x v="9"/>
    <x v="1"/>
    <s v="3ª sessão Competitiva"/>
    <m/>
    <x v="0"/>
    <x v="0"/>
    <m/>
    <x v="0"/>
    <x v="7"/>
    <x v="367"/>
    <x v="3"/>
    <x v="0"/>
    <x v="1"/>
    <x v="19"/>
    <x v="818"/>
  </r>
  <r>
    <x v="0"/>
    <n v="529"/>
    <x v="366"/>
    <x v="0"/>
    <s v="CM"/>
    <s v="N"/>
    <x v="303"/>
    <x v="2"/>
    <x v="68"/>
    <m/>
    <x v="53"/>
    <m/>
    <x v="3"/>
    <x v="0"/>
    <x v="64"/>
    <d v="2011-07-17T00:00:00"/>
    <x v="8"/>
    <x v="1"/>
    <s v="Competição Nacional"/>
    <m/>
    <x v="85"/>
    <x v="0"/>
    <m/>
    <x v="1"/>
    <x v="0"/>
    <x v="368"/>
    <x v="3"/>
    <x v="100"/>
    <x v="1"/>
    <x v="64"/>
    <x v="819"/>
  </r>
  <r>
    <x v="0"/>
    <n v="529"/>
    <x v="366"/>
    <x v="0"/>
    <s v="CM"/>
    <s v="N"/>
    <x v="303"/>
    <x v="2"/>
    <x v="76"/>
    <m/>
    <x v="58"/>
    <m/>
    <x v="17"/>
    <x v="0"/>
    <x v="67"/>
    <d v="2011-11-30T00:00:00"/>
    <x v="13"/>
    <x v="0"/>
    <m/>
    <m/>
    <x v="0"/>
    <x v="0"/>
    <m/>
    <x v="0"/>
    <x v="0"/>
    <x v="368"/>
    <x v="17"/>
    <x v="0"/>
    <x v="0"/>
    <x v="67"/>
    <x v="820"/>
  </r>
  <r>
    <x v="0"/>
    <n v="529"/>
    <x v="366"/>
    <x v="0"/>
    <s v="CM"/>
    <s v="N"/>
    <x v="303"/>
    <x v="2"/>
    <x v="96"/>
    <m/>
    <x v="75"/>
    <m/>
    <x v="15"/>
    <x v="0"/>
    <x v="87"/>
    <m/>
    <x v="12"/>
    <x v="0"/>
    <m/>
    <m/>
    <x v="0"/>
    <x v="1"/>
    <m/>
    <x v="0"/>
    <x v="0"/>
    <x v="368"/>
    <x v="15"/>
    <x v="0"/>
    <x v="0"/>
    <x v="87"/>
    <x v="821"/>
  </r>
  <r>
    <x v="0"/>
    <n v="530"/>
    <x v="367"/>
    <x v="4"/>
    <s v=""/>
    <s v=""/>
    <x v="304"/>
    <x v="2"/>
    <x v="62"/>
    <m/>
    <x v="23"/>
    <m/>
    <x v="3"/>
    <x v="0"/>
    <x v="58"/>
    <d v="2011-03-06T00:00:00"/>
    <x v="19"/>
    <x v="0"/>
    <m/>
    <s v="Panorama do Cinema Português"/>
    <x v="0"/>
    <x v="0"/>
    <m/>
    <x v="0"/>
    <x v="7"/>
    <x v="369"/>
    <x v="3"/>
    <x v="0"/>
    <x v="1"/>
    <x v="58"/>
    <x v="822"/>
  </r>
  <r>
    <x v="0"/>
    <n v="532"/>
    <x v="368"/>
    <x v="1"/>
    <s v="CM"/>
    <s v="N"/>
    <x v="305"/>
    <x v="5"/>
    <x v="205"/>
    <m/>
    <x v="147"/>
    <m/>
    <x v="1"/>
    <x v="0"/>
    <x v="149"/>
    <d v="2011-01-30T00:00:00"/>
    <x v="15"/>
    <x v="0"/>
    <m/>
    <s v="OFF Zinegoak"/>
    <x v="0"/>
    <x v="0"/>
    <m/>
    <x v="0"/>
    <x v="2"/>
    <x v="370"/>
    <x v="1"/>
    <x v="0"/>
    <x v="0"/>
    <x v="149"/>
    <x v="823"/>
  </r>
  <r>
    <x v="0"/>
    <n v="532"/>
    <x v="368"/>
    <x v="1"/>
    <s v="CM"/>
    <s v="N"/>
    <x v="305"/>
    <x v="5"/>
    <x v="0"/>
    <m/>
    <x v="0"/>
    <m/>
    <x v="0"/>
    <x v="0"/>
    <x v="0"/>
    <d v="2011-11-06T00:00:00"/>
    <x v="0"/>
    <x v="0"/>
    <m/>
    <s v="Foco Portugal: Programa IndieLisboa"/>
    <x v="0"/>
    <x v="0"/>
    <m/>
    <x v="0"/>
    <x v="2"/>
    <x v="370"/>
    <x v="0"/>
    <x v="0"/>
    <x v="0"/>
    <x v="0"/>
    <x v="824"/>
  </r>
  <r>
    <x v="0"/>
    <n v="532"/>
    <x v="368"/>
    <x v="1"/>
    <s v="CM"/>
    <s v="N"/>
    <x v="305"/>
    <x v="5"/>
    <x v="229"/>
    <m/>
    <x v="160"/>
    <m/>
    <x v="47"/>
    <x v="0"/>
    <x v="148"/>
    <d v="2011-12-20T00:00:00"/>
    <x v="12"/>
    <x v="1"/>
    <s v="International Showcase: Short length Documentaries"/>
    <m/>
    <x v="0"/>
    <x v="0"/>
    <m/>
    <x v="0"/>
    <x v="2"/>
    <x v="370"/>
    <x v="47"/>
    <x v="0"/>
    <x v="0"/>
    <x v="148"/>
    <x v="825"/>
  </r>
  <r>
    <x v="0"/>
    <n v="533"/>
    <x v="369"/>
    <x v="4"/>
    <s v=""/>
    <s v=""/>
    <x v="306"/>
    <x v="2"/>
    <x v="21"/>
    <m/>
    <x v="21"/>
    <m/>
    <x v="3"/>
    <x v="0"/>
    <x v="15"/>
    <d v="2011-12-03T00:00:00"/>
    <x v="12"/>
    <x v="1"/>
    <s v="Documentários (média e longa metragem)"/>
    <m/>
    <x v="0"/>
    <x v="0"/>
    <m/>
    <x v="0"/>
    <x v="7"/>
    <x v="371"/>
    <x v="3"/>
    <x v="0"/>
    <x v="1"/>
    <x v="15"/>
    <x v="826"/>
  </r>
  <r>
    <x v="0"/>
    <n v="534"/>
    <x v="370"/>
    <x v="4"/>
    <s v=""/>
    <s v=""/>
    <x v="307"/>
    <x v="2"/>
    <x v="92"/>
    <m/>
    <x v="71"/>
    <m/>
    <x v="15"/>
    <x v="0"/>
    <x v="83"/>
    <d v="2011-07-23T00:00:00"/>
    <x v="8"/>
    <x v="0"/>
    <m/>
    <s v="Portogallo Paese Ospite"/>
    <x v="0"/>
    <x v="0"/>
    <m/>
    <x v="0"/>
    <x v="7"/>
    <x v="372"/>
    <x v="15"/>
    <x v="0"/>
    <x v="0"/>
    <x v="83"/>
    <x v="827"/>
  </r>
  <r>
    <x v="0"/>
    <n v="535"/>
    <x v="371"/>
    <x v="0"/>
    <s v="LM"/>
    <s v="S"/>
    <x v="289"/>
    <x v="0"/>
    <x v="85"/>
    <m/>
    <x v="64"/>
    <m/>
    <x v="18"/>
    <x v="0"/>
    <x v="77"/>
    <d v="2011-10-14T00:00:00"/>
    <x v="14"/>
    <x v="0"/>
    <m/>
    <s v="Extreme Portuguese Cinema: Six Auteurs in Focus"/>
    <x v="0"/>
    <x v="0"/>
    <m/>
    <x v="0"/>
    <x v="5"/>
    <x v="373"/>
    <x v="18"/>
    <x v="0"/>
    <x v="0"/>
    <x v="77"/>
    <x v="828"/>
  </r>
  <r>
    <x v="0"/>
    <n v="537"/>
    <x v="372"/>
    <x v="1"/>
    <s v="CM"/>
    <s v="N"/>
    <x v="308"/>
    <x v="5"/>
    <x v="57"/>
    <m/>
    <x v="40"/>
    <m/>
    <x v="3"/>
    <x v="0"/>
    <x v="182"/>
    <m/>
    <x v="1"/>
    <x v="0"/>
    <m/>
    <m/>
    <x v="0"/>
    <x v="1"/>
    <m/>
    <x v="0"/>
    <x v="2"/>
    <x v="374"/>
    <x v="3"/>
    <x v="0"/>
    <x v="1"/>
    <x v="182"/>
    <x v="829"/>
  </r>
  <r>
    <x v="0"/>
    <n v="537"/>
    <x v="372"/>
    <x v="1"/>
    <s v="CM"/>
    <s v="N"/>
    <x v="308"/>
    <x v="5"/>
    <x v="3"/>
    <m/>
    <x v="3"/>
    <m/>
    <x v="2"/>
    <x v="0"/>
    <x v="3"/>
    <d v="2011-04-03T00:00:00"/>
    <x v="3"/>
    <x v="0"/>
    <m/>
    <s v="Au Sud de l'Europe - Portugal"/>
    <x v="0"/>
    <x v="0"/>
    <m/>
    <x v="0"/>
    <x v="2"/>
    <x v="374"/>
    <x v="2"/>
    <x v="0"/>
    <x v="0"/>
    <x v="3"/>
    <x v="830"/>
  </r>
  <r>
    <x v="0"/>
    <n v="539"/>
    <x v="373"/>
    <x v="1"/>
    <s v="LM"/>
    <s v="S"/>
    <x v="15"/>
    <x v="26"/>
    <x v="43"/>
    <m/>
    <x v="40"/>
    <m/>
    <x v="3"/>
    <x v="0"/>
    <x v="20"/>
    <d v="2011-11-26T00:00:00"/>
    <x v="13"/>
    <x v="0"/>
    <m/>
    <m/>
    <x v="0"/>
    <x v="1"/>
    <m/>
    <x v="0"/>
    <x v="1"/>
    <x v="375"/>
    <x v="3"/>
    <x v="0"/>
    <x v="1"/>
    <x v="20"/>
    <x v="831"/>
  </r>
  <r>
    <x v="0"/>
    <n v="540"/>
    <x v="374"/>
    <x v="1"/>
    <s v="CM"/>
    <s v="N"/>
    <x v="309"/>
    <x v="5"/>
    <x v="63"/>
    <m/>
    <x v="24"/>
    <m/>
    <x v="3"/>
    <x v="0"/>
    <x v="59"/>
    <d v="2011-05-01T00:00:00"/>
    <x v="4"/>
    <x v="0"/>
    <m/>
    <s v="Olhares sobre Portugal"/>
    <x v="0"/>
    <x v="0"/>
    <m/>
    <x v="0"/>
    <x v="2"/>
    <x v="376"/>
    <x v="3"/>
    <x v="0"/>
    <x v="1"/>
    <x v="59"/>
    <x v="832"/>
  </r>
  <r>
    <x v="0"/>
    <n v="541"/>
    <x v="375"/>
    <x v="4"/>
    <s v=""/>
    <s v=""/>
    <x v="310"/>
    <x v="2"/>
    <x v="3"/>
    <m/>
    <x v="3"/>
    <m/>
    <x v="2"/>
    <x v="0"/>
    <x v="3"/>
    <d v="2011-04-03T00:00:00"/>
    <x v="3"/>
    <x v="0"/>
    <m/>
    <s v="Au Sud de l'Europe - Portugal"/>
    <x v="0"/>
    <x v="0"/>
    <m/>
    <x v="0"/>
    <x v="7"/>
    <x v="377"/>
    <x v="2"/>
    <x v="0"/>
    <x v="0"/>
    <x v="3"/>
    <x v="833"/>
  </r>
  <r>
    <x v="0"/>
    <n v="542"/>
    <x v="376"/>
    <x v="1"/>
    <s v="LM"/>
    <s v="N"/>
    <x v="311"/>
    <x v="2"/>
    <x v="25"/>
    <m/>
    <x v="24"/>
    <m/>
    <x v="3"/>
    <x v="0"/>
    <x v="23"/>
    <d v="2011-10-30T00:00:00"/>
    <x v="14"/>
    <x v="0"/>
    <m/>
    <s v="Selecção Portuguesa - Sessões Especiais - Fora de Competição"/>
    <x v="0"/>
    <x v="0"/>
    <m/>
    <x v="0"/>
    <x v="1"/>
    <x v="378"/>
    <x v="3"/>
    <x v="0"/>
    <x v="1"/>
    <x v="23"/>
    <x v="834"/>
  </r>
  <r>
    <x v="0"/>
    <n v="545"/>
    <x v="377"/>
    <x v="2"/>
    <s v="Série"/>
    <s v="S"/>
    <x v="312"/>
    <x v="3"/>
    <x v="14"/>
    <m/>
    <x v="14"/>
    <m/>
    <x v="3"/>
    <x v="0"/>
    <x v="13"/>
    <d v="2011-11-05T00:00:00"/>
    <x v="0"/>
    <x v="0"/>
    <m/>
    <s v="FFF Escolas: Festa Mundial da Animação, Panorama Infantil"/>
    <x v="0"/>
    <x v="0"/>
    <m/>
    <x v="0"/>
    <x v="9"/>
    <x v="379"/>
    <x v="3"/>
    <x v="0"/>
    <x v="1"/>
    <x v="13"/>
    <x v="835"/>
  </r>
  <r>
    <x v="0"/>
    <n v="545"/>
    <x v="377"/>
    <x v="2"/>
    <s v="Série"/>
    <s v="S"/>
    <x v="312"/>
    <x v="3"/>
    <x v="22"/>
    <m/>
    <x v="22"/>
    <m/>
    <x v="3"/>
    <x v="0"/>
    <x v="20"/>
    <d v="2011-11-17T00:00:00"/>
    <x v="13"/>
    <x v="1"/>
    <s v="Sessão Competitiva 9"/>
    <s v="Caminhos Juniores"/>
    <x v="0"/>
    <x v="0"/>
    <m/>
    <x v="0"/>
    <x v="9"/>
    <x v="379"/>
    <x v="3"/>
    <x v="0"/>
    <x v="1"/>
    <x v="20"/>
    <x v="836"/>
  </r>
  <r>
    <x v="0"/>
    <n v="545"/>
    <x v="377"/>
    <x v="2"/>
    <s v="Série"/>
    <s v="S"/>
    <x v="312"/>
    <x v="3"/>
    <x v="243"/>
    <m/>
    <x v="99"/>
    <m/>
    <x v="3"/>
    <x v="0"/>
    <x v="86"/>
    <d v="2011-11-19T00:00:00"/>
    <x v="13"/>
    <x v="0"/>
    <m/>
    <s v="Panorama Infantil"/>
    <x v="0"/>
    <x v="0"/>
    <m/>
    <x v="0"/>
    <x v="9"/>
    <x v="379"/>
    <x v="3"/>
    <x v="0"/>
    <x v="1"/>
    <x v="86"/>
    <x v="837"/>
  </r>
  <r>
    <x v="0"/>
    <n v="546"/>
    <x v="378"/>
    <x v="2"/>
    <s v="Série"/>
    <s v="S"/>
    <x v="312"/>
    <x v="3"/>
    <x v="68"/>
    <m/>
    <x v="53"/>
    <m/>
    <x v="3"/>
    <x v="0"/>
    <x v="64"/>
    <d v="2011-07-17T00:00:00"/>
    <x v="8"/>
    <x v="1"/>
    <s v="Curtinhas M6"/>
    <m/>
    <x v="0"/>
    <x v="0"/>
    <m/>
    <x v="0"/>
    <x v="9"/>
    <x v="380"/>
    <x v="3"/>
    <x v="0"/>
    <x v="1"/>
    <x v="64"/>
    <x v="838"/>
  </r>
  <r>
    <x v="0"/>
    <n v="547"/>
    <x v="379"/>
    <x v="2"/>
    <s v="Série"/>
    <s v="S"/>
    <x v="312"/>
    <x v="3"/>
    <x v="68"/>
    <m/>
    <x v="53"/>
    <m/>
    <x v="3"/>
    <x v="0"/>
    <x v="64"/>
    <d v="2011-07-17T00:00:00"/>
    <x v="8"/>
    <x v="1"/>
    <s v="Competição Nacional"/>
    <m/>
    <x v="0"/>
    <x v="0"/>
    <m/>
    <x v="0"/>
    <x v="9"/>
    <x v="381"/>
    <x v="3"/>
    <x v="0"/>
    <x v="1"/>
    <x v="64"/>
    <x v="839"/>
  </r>
  <r>
    <x v="0"/>
    <n v="548"/>
    <x v="380"/>
    <x v="2"/>
    <s v="Série"/>
    <s v="S"/>
    <x v="312"/>
    <x v="3"/>
    <x v="27"/>
    <m/>
    <x v="25"/>
    <m/>
    <x v="3"/>
    <x v="0"/>
    <x v="25"/>
    <d v="2011-11-13T00:00:00"/>
    <x v="13"/>
    <x v="1"/>
    <s v="Competição Nacional: Prémio António Gaio"/>
    <m/>
    <x v="0"/>
    <x v="0"/>
    <m/>
    <x v="0"/>
    <x v="9"/>
    <x v="382"/>
    <x v="3"/>
    <x v="0"/>
    <x v="1"/>
    <x v="25"/>
    <x v="840"/>
  </r>
  <r>
    <x v="0"/>
    <n v="551"/>
    <x v="381"/>
    <x v="4"/>
    <s v=""/>
    <s v=""/>
    <x v="35"/>
    <x v="2"/>
    <x v="68"/>
    <m/>
    <x v="53"/>
    <m/>
    <x v="3"/>
    <x v="0"/>
    <x v="64"/>
    <d v="2011-07-17T00:00:00"/>
    <x v="8"/>
    <x v="0"/>
    <m/>
    <s v="Panorama Nacional - Super 8"/>
    <x v="0"/>
    <x v="0"/>
    <m/>
    <x v="0"/>
    <x v="7"/>
    <x v="383"/>
    <x v="3"/>
    <x v="0"/>
    <x v="1"/>
    <x v="64"/>
    <x v="841"/>
  </r>
  <r>
    <x v="0"/>
    <n v="552"/>
    <x v="382"/>
    <x v="1"/>
    <s v="CM"/>
    <s v="N"/>
    <x v="313"/>
    <x v="3"/>
    <x v="25"/>
    <m/>
    <x v="24"/>
    <m/>
    <x v="3"/>
    <x v="0"/>
    <x v="23"/>
    <d v="2011-10-30T00:00:00"/>
    <x v="14"/>
    <x v="1"/>
    <s v="Competição Portuguesa - Curtas"/>
    <m/>
    <x v="0"/>
    <x v="0"/>
    <m/>
    <x v="0"/>
    <x v="2"/>
    <x v="384"/>
    <x v="3"/>
    <x v="0"/>
    <x v="1"/>
    <x v="23"/>
    <x v="842"/>
  </r>
  <r>
    <x v="0"/>
    <n v="553"/>
    <x v="383"/>
    <x v="0"/>
    <s v="CM"/>
    <s v="N"/>
    <x v="282"/>
    <x v="5"/>
    <x v="270"/>
    <m/>
    <x v="189"/>
    <m/>
    <x v="5"/>
    <x v="0"/>
    <x v="181"/>
    <d v="2011-01-22T00:00:00"/>
    <x v="15"/>
    <x v="0"/>
    <m/>
    <s v="The Legendary Portuguese"/>
    <x v="0"/>
    <x v="0"/>
    <m/>
    <x v="0"/>
    <x v="0"/>
    <x v="385"/>
    <x v="5"/>
    <x v="0"/>
    <x v="0"/>
    <x v="181"/>
    <x v="843"/>
  </r>
  <r>
    <x v="0"/>
    <n v="553"/>
    <x v="383"/>
    <x v="0"/>
    <s v="CM"/>
    <s v="N"/>
    <x v="282"/>
    <x v="5"/>
    <x v="10"/>
    <m/>
    <x v="10"/>
    <m/>
    <x v="0"/>
    <x v="0"/>
    <x v="10"/>
    <d v="2011-09-25T00:00:00"/>
    <x v="9"/>
    <x v="1"/>
    <s v="Andorinha Curta Ficção"/>
    <m/>
    <x v="0"/>
    <x v="0"/>
    <m/>
    <x v="0"/>
    <x v="0"/>
    <x v="385"/>
    <x v="0"/>
    <x v="0"/>
    <x v="0"/>
    <x v="10"/>
    <x v="844"/>
  </r>
  <r>
    <x v="0"/>
    <n v="554"/>
    <x v="384"/>
    <x v="4"/>
    <s v=""/>
    <s v=""/>
    <x v="314"/>
    <x v="2"/>
    <x v="58"/>
    <m/>
    <x v="47"/>
    <m/>
    <x v="3"/>
    <x v="0"/>
    <x v="53"/>
    <d v="2011-09-04T00:00:00"/>
    <x v="9"/>
    <x v="0"/>
    <m/>
    <m/>
    <x v="0"/>
    <x v="1"/>
    <m/>
    <x v="0"/>
    <x v="7"/>
    <x v="386"/>
    <x v="3"/>
    <x v="0"/>
    <x v="1"/>
    <x v="53"/>
    <x v="845"/>
  </r>
  <r>
    <x v="0"/>
    <n v="555"/>
    <x v="385"/>
    <x v="0"/>
    <s v="LM"/>
    <s v="S"/>
    <x v="315"/>
    <x v="2"/>
    <x v="145"/>
    <m/>
    <x v="111"/>
    <m/>
    <x v="33"/>
    <x v="0"/>
    <x v="117"/>
    <d v="2011-07-26T00:00:00"/>
    <x v="8"/>
    <x v="0"/>
    <m/>
    <m/>
    <x v="0"/>
    <x v="1"/>
    <m/>
    <x v="0"/>
    <x v="5"/>
    <x v="387"/>
    <x v="33"/>
    <x v="0"/>
    <x v="0"/>
    <x v="117"/>
    <x v="846"/>
  </r>
  <r>
    <x v="0"/>
    <n v="555"/>
    <x v="385"/>
    <x v="0"/>
    <s v="LM"/>
    <s v="S"/>
    <x v="315"/>
    <x v="2"/>
    <x v="87"/>
    <m/>
    <x v="66"/>
    <m/>
    <x v="19"/>
    <x v="1"/>
    <x v="78"/>
    <m/>
    <x v="3"/>
    <x v="0"/>
    <m/>
    <m/>
    <x v="0"/>
    <x v="1"/>
    <s v="Mar/Abr"/>
    <x v="0"/>
    <x v="5"/>
    <x v="387"/>
    <x v="19"/>
    <x v="0"/>
    <x v="0"/>
    <x v="78"/>
    <x v="847"/>
  </r>
  <r>
    <x v="0"/>
    <n v="556"/>
    <x v="386"/>
    <x v="4"/>
    <s v=""/>
    <s v=""/>
    <x v="227"/>
    <x v="2"/>
    <x v="178"/>
    <m/>
    <x v="25"/>
    <m/>
    <x v="3"/>
    <x v="0"/>
    <x v="44"/>
    <d v="2011-07-03T00:00:00"/>
    <x v="17"/>
    <x v="1"/>
    <s v="Sessão Competitiva 5"/>
    <m/>
    <x v="0"/>
    <x v="0"/>
    <m/>
    <x v="0"/>
    <x v="7"/>
    <x v="388"/>
    <x v="3"/>
    <x v="0"/>
    <x v="1"/>
    <x v="44"/>
    <x v="848"/>
  </r>
  <r>
    <x v="0"/>
    <n v="557"/>
    <x v="387"/>
    <x v="0"/>
    <s v="LM"/>
    <s v="S"/>
    <x v="316"/>
    <x v="5"/>
    <x v="262"/>
    <m/>
    <x v="183"/>
    <m/>
    <x v="15"/>
    <x v="0"/>
    <x v="175"/>
    <d v="2011-06-06T00:00:00"/>
    <x v="7"/>
    <x v="0"/>
    <m/>
    <m/>
    <x v="0"/>
    <x v="1"/>
    <m/>
    <x v="0"/>
    <x v="5"/>
    <x v="389"/>
    <x v="15"/>
    <x v="0"/>
    <x v="0"/>
    <x v="175"/>
    <x v="849"/>
  </r>
  <r>
    <x v="0"/>
    <n v="557"/>
    <x v="387"/>
    <x v="0"/>
    <s v="LM"/>
    <s v="S"/>
    <x v="316"/>
    <x v="5"/>
    <x v="15"/>
    <m/>
    <x v="15"/>
    <m/>
    <x v="3"/>
    <x v="0"/>
    <x v="14"/>
    <d v="2011-12-20T00:00:00"/>
    <x v="11"/>
    <x v="0"/>
    <m/>
    <m/>
    <x v="0"/>
    <x v="1"/>
    <m/>
    <x v="0"/>
    <x v="5"/>
    <x v="389"/>
    <x v="3"/>
    <x v="0"/>
    <x v="1"/>
    <x v="14"/>
    <x v="850"/>
  </r>
  <r>
    <x v="0"/>
    <n v="557"/>
    <x v="387"/>
    <x v="0"/>
    <s v="LM"/>
    <s v="S"/>
    <x v="316"/>
    <x v="5"/>
    <x v="55"/>
    <m/>
    <x v="45"/>
    <m/>
    <x v="3"/>
    <x v="0"/>
    <x v="183"/>
    <d v="2011-12-14T00:00:00"/>
    <x v="11"/>
    <x v="0"/>
    <m/>
    <s v="Programa 14: As Escolhas de Pedro Caldas"/>
    <x v="0"/>
    <x v="1"/>
    <m/>
    <x v="0"/>
    <x v="5"/>
    <x v="389"/>
    <x v="3"/>
    <x v="0"/>
    <x v="1"/>
    <x v="183"/>
    <x v="851"/>
  </r>
  <r>
    <x v="0"/>
    <n v="558"/>
    <x v="388"/>
    <x v="2"/>
    <s v="CM"/>
    <s v="S"/>
    <x v="33"/>
    <x v="4"/>
    <x v="61"/>
    <m/>
    <x v="50"/>
    <m/>
    <x v="13"/>
    <x v="0"/>
    <x v="57"/>
    <d v="2011-02-25T00:00:00"/>
    <x v="1"/>
    <x v="0"/>
    <m/>
    <m/>
    <x v="0"/>
    <x v="1"/>
    <m/>
    <x v="0"/>
    <x v="4"/>
    <x v="390"/>
    <x v="13"/>
    <x v="0"/>
    <x v="0"/>
    <x v="57"/>
    <x v="852"/>
  </r>
  <r>
    <x v="0"/>
    <n v="558"/>
    <x v="388"/>
    <x v="2"/>
    <s v="CM"/>
    <s v="S"/>
    <x v="33"/>
    <x v="4"/>
    <x v="124"/>
    <m/>
    <x v="95"/>
    <m/>
    <x v="2"/>
    <x v="0"/>
    <x v="9"/>
    <d v="2011-07-09T00:00:00"/>
    <x v="8"/>
    <x v="0"/>
    <m/>
    <s v="L'Animation à l'Honneur - Programmation Casa da Animação 2nde Partie"/>
    <x v="0"/>
    <x v="1"/>
    <m/>
    <x v="0"/>
    <x v="4"/>
    <x v="390"/>
    <x v="2"/>
    <x v="0"/>
    <x v="0"/>
    <x v="9"/>
    <x v="853"/>
  </r>
  <r>
    <x v="0"/>
    <n v="559"/>
    <x v="389"/>
    <x v="3"/>
    <s v="CM"/>
    <s v="N"/>
    <x v="47"/>
    <x v="10"/>
    <x v="31"/>
    <m/>
    <x v="29"/>
    <m/>
    <x v="2"/>
    <x v="0"/>
    <x v="24"/>
    <d v="2011-03-26T00:00:00"/>
    <x v="2"/>
    <x v="0"/>
    <m/>
    <s v="Carte Blanche à 3 Festivals - IndieLisboa"/>
    <x v="0"/>
    <x v="0"/>
    <m/>
    <x v="0"/>
    <x v="6"/>
    <x v="391"/>
    <x v="2"/>
    <x v="0"/>
    <x v="0"/>
    <x v="24"/>
    <x v="854"/>
  </r>
  <r>
    <x v="0"/>
    <n v="561"/>
    <x v="390"/>
    <x v="1"/>
    <s v="LM"/>
    <s v=""/>
    <x v="297"/>
    <x v="5"/>
    <x v="109"/>
    <m/>
    <x v="23"/>
    <m/>
    <x v="3"/>
    <x v="0"/>
    <x v="115"/>
    <d v="2011-06-05T00:00:00"/>
    <x v="23"/>
    <x v="0"/>
    <m/>
    <s v="Momento XIX"/>
    <x v="0"/>
    <x v="1"/>
    <m/>
    <x v="0"/>
    <x v="1"/>
    <x v="392"/>
    <x v="3"/>
    <x v="0"/>
    <x v="1"/>
    <x v="115"/>
    <x v="855"/>
  </r>
  <r>
    <x v="0"/>
    <n v="562"/>
    <x v="391"/>
    <x v="0"/>
    <s v="CM"/>
    <s v="N"/>
    <x v="317"/>
    <x v="2"/>
    <x v="48"/>
    <m/>
    <x v="24"/>
    <m/>
    <x v="3"/>
    <x v="0"/>
    <x v="21"/>
    <d v="2011-09-11T00:00:00"/>
    <x v="9"/>
    <x v="1"/>
    <s v="Prémio Motelx . Melhor Curta de Terror Portuguesa"/>
    <m/>
    <x v="0"/>
    <x v="0"/>
    <m/>
    <x v="0"/>
    <x v="0"/>
    <x v="393"/>
    <x v="3"/>
    <x v="0"/>
    <x v="1"/>
    <x v="21"/>
    <x v="856"/>
  </r>
  <r>
    <x v="0"/>
    <n v="562"/>
    <x v="391"/>
    <x v="0"/>
    <s v="CM"/>
    <s v="N"/>
    <x v="317"/>
    <x v="2"/>
    <x v="133"/>
    <m/>
    <x v="101"/>
    <m/>
    <x v="3"/>
    <x v="0"/>
    <x v="108"/>
    <d v="2011-12-11T00:00:00"/>
    <x v="12"/>
    <x v="0"/>
    <m/>
    <s v="Sessão Especial 2"/>
    <x v="0"/>
    <x v="0"/>
    <m/>
    <x v="0"/>
    <x v="0"/>
    <x v="393"/>
    <x v="3"/>
    <x v="0"/>
    <x v="1"/>
    <x v="108"/>
    <x v="857"/>
  </r>
  <r>
    <x v="0"/>
    <n v="563"/>
    <x v="392"/>
    <x v="1"/>
    <s v="CM"/>
    <s v="N"/>
    <x v="284"/>
    <x v="5"/>
    <x v="70"/>
    <m/>
    <x v="38"/>
    <m/>
    <x v="3"/>
    <x v="0"/>
    <x v="19"/>
    <d v="2011-09-11T00:00:00"/>
    <x v="9"/>
    <x v="1"/>
    <s v="3ª sessão Competitiva"/>
    <m/>
    <x v="93"/>
    <x v="0"/>
    <m/>
    <x v="1"/>
    <x v="2"/>
    <x v="394"/>
    <x v="3"/>
    <x v="101"/>
    <x v="1"/>
    <x v="19"/>
    <x v="858"/>
  </r>
  <r>
    <x v="0"/>
    <n v="564"/>
    <x v="393"/>
    <x v="4"/>
    <s v=""/>
    <s v=""/>
    <x v="318"/>
    <x v="2"/>
    <x v="67"/>
    <m/>
    <x v="23"/>
    <m/>
    <x v="3"/>
    <x v="0"/>
    <x v="63"/>
    <d v="2011-06-12T00:00:00"/>
    <x v="7"/>
    <x v="0"/>
    <m/>
    <s v="Sessão Não Competitiva 1"/>
    <x v="0"/>
    <x v="0"/>
    <m/>
    <x v="0"/>
    <x v="7"/>
    <x v="395"/>
    <x v="3"/>
    <x v="0"/>
    <x v="1"/>
    <x v="63"/>
    <x v="859"/>
  </r>
  <r>
    <x v="0"/>
    <n v="567"/>
    <x v="394"/>
    <x v="0"/>
    <s v="CM"/>
    <s v="N"/>
    <x v="319"/>
    <x v="1"/>
    <x v="62"/>
    <m/>
    <x v="23"/>
    <m/>
    <x v="3"/>
    <x v="0"/>
    <x v="58"/>
    <d v="2011-03-06T00:00:00"/>
    <x v="19"/>
    <x v="0"/>
    <m/>
    <s v="Panorama do Cinema Português"/>
    <x v="0"/>
    <x v="0"/>
    <m/>
    <x v="0"/>
    <x v="0"/>
    <x v="396"/>
    <x v="3"/>
    <x v="0"/>
    <x v="1"/>
    <x v="58"/>
    <x v="860"/>
  </r>
  <r>
    <x v="0"/>
    <n v="567"/>
    <x v="394"/>
    <x v="0"/>
    <s v="CM"/>
    <s v="N"/>
    <x v="319"/>
    <x v="1"/>
    <x v="256"/>
    <m/>
    <x v="177"/>
    <m/>
    <x v="50"/>
    <x v="0"/>
    <x v="37"/>
    <d v="2011-08-27T00:00:00"/>
    <x v="16"/>
    <x v="1"/>
    <s v="European Short Critic - Part 5"/>
    <m/>
    <x v="0"/>
    <x v="0"/>
    <m/>
    <x v="0"/>
    <x v="0"/>
    <x v="396"/>
    <x v="50"/>
    <x v="0"/>
    <x v="0"/>
    <x v="37"/>
    <x v="861"/>
  </r>
  <r>
    <x v="0"/>
    <n v="568"/>
    <x v="395"/>
    <x v="4"/>
    <s v=""/>
    <s v=""/>
    <x v="320"/>
    <x v="2"/>
    <x v="70"/>
    <m/>
    <x v="38"/>
    <m/>
    <x v="3"/>
    <x v="0"/>
    <x v="19"/>
    <d v="2011-09-11T00:00:00"/>
    <x v="9"/>
    <x v="1"/>
    <s v="1ª Sessão Competitiva"/>
    <m/>
    <x v="0"/>
    <x v="0"/>
    <m/>
    <x v="0"/>
    <x v="7"/>
    <x v="397"/>
    <x v="3"/>
    <x v="0"/>
    <x v="1"/>
    <x v="19"/>
    <x v="862"/>
  </r>
  <r>
    <x v="0"/>
    <n v="569"/>
    <x v="396"/>
    <x v="4"/>
    <s v=""/>
    <s v=""/>
    <x v="321"/>
    <x v="2"/>
    <x v="68"/>
    <m/>
    <x v="53"/>
    <m/>
    <x v="3"/>
    <x v="0"/>
    <x v="64"/>
    <d v="2011-07-17T00:00:00"/>
    <x v="8"/>
    <x v="0"/>
    <m/>
    <s v="Panorama Nacional - Super 8"/>
    <x v="0"/>
    <x v="0"/>
    <m/>
    <x v="0"/>
    <x v="7"/>
    <x v="398"/>
    <x v="3"/>
    <x v="0"/>
    <x v="1"/>
    <x v="64"/>
    <x v="863"/>
  </r>
  <r>
    <x v="0"/>
    <n v="570"/>
    <x v="397"/>
    <x v="1"/>
    <s v="CM"/>
    <s v=""/>
    <x v="322"/>
    <x v="2"/>
    <x v="120"/>
    <m/>
    <x v="83"/>
    <m/>
    <x v="3"/>
    <x v="0"/>
    <x v="16"/>
    <d v="2011-12-04T00:00:00"/>
    <x v="12"/>
    <x v="1"/>
    <s v="Cineastas: Documentários"/>
    <m/>
    <x v="94"/>
    <x v="0"/>
    <m/>
    <x v="1"/>
    <x v="2"/>
    <x v="399"/>
    <x v="3"/>
    <x v="102"/>
    <x v="1"/>
    <x v="16"/>
    <x v="864"/>
  </r>
  <r>
    <x v="0"/>
    <n v="571"/>
    <x v="398"/>
    <x v="4"/>
    <s v=""/>
    <s v=""/>
    <x v="323"/>
    <x v="2"/>
    <x v="61"/>
    <m/>
    <x v="50"/>
    <m/>
    <x v="13"/>
    <x v="0"/>
    <x v="57"/>
    <d v="2011-02-25T00:00:00"/>
    <x v="1"/>
    <x v="0"/>
    <m/>
    <m/>
    <x v="0"/>
    <x v="1"/>
    <m/>
    <x v="0"/>
    <x v="7"/>
    <x v="400"/>
    <x v="13"/>
    <x v="0"/>
    <x v="0"/>
    <x v="57"/>
    <x v="865"/>
  </r>
  <r>
    <x v="0"/>
    <n v="572"/>
    <x v="399"/>
    <x v="2"/>
    <s v="CM"/>
    <s v="S"/>
    <x v="324"/>
    <x v="27"/>
    <x v="61"/>
    <m/>
    <x v="50"/>
    <m/>
    <x v="13"/>
    <x v="0"/>
    <x v="57"/>
    <d v="2011-02-25T00:00:00"/>
    <x v="1"/>
    <x v="0"/>
    <m/>
    <m/>
    <x v="0"/>
    <x v="1"/>
    <m/>
    <x v="0"/>
    <x v="4"/>
    <x v="401"/>
    <x v="13"/>
    <x v="0"/>
    <x v="0"/>
    <x v="57"/>
    <x v="866"/>
  </r>
  <r>
    <x v="0"/>
    <n v="572"/>
    <x v="399"/>
    <x v="2"/>
    <s v="CM"/>
    <s v="S"/>
    <x v="324"/>
    <x v="27"/>
    <x v="30"/>
    <m/>
    <x v="28"/>
    <m/>
    <x v="8"/>
    <x v="0"/>
    <x v="28"/>
    <d v="2011-03-20T00:00:00"/>
    <x v="2"/>
    <x v="0"/>
    <m/>
    <s v="A Portuguesa 2- Out of Touch"/>
    <x v="0"/>
    <x v="0"/>
    <m/>
    <x v="0"/>
    <x v="4"/>
    <x v="401"/>
    <x v="8"/>
    <x v="0"/>
    <x v="0"/>
    <x v="28"/>
    <x v="867"/>
  </r>
  <r>
    <x v="0"/>
    <n v="572"/>
    <x v="399"/>
    <x v="2"/>
    <s v="CM"/>
    <s v="S"/>
    <x v="324"/>
    <x v="27"/>
    <x v="257"/>
    <m/>
    <x v="178"/>
    <m/>
    <x v="37"/>
    <x v="0"/>
    <x v="5"/>
    <d v="2011-05-25T00:00:00"/>
    <x v="4"/>
    <x v="0"/>
    <m/>
    <m/>
    <x v="0"/>
    <x v="0"/>
    <m/>
    <x v="0"/>
    <x v="4"/>
    <x v="401"/>
    <x v="37"/>
    <x v="0"/>
    <x v="0"/>
    <x v="5"/>
    <x v="868"/>
  </r>
  <r>
    <x v="0"/>
    <n v="572"/>
    <x v="399"/>
    <x v="2"/>
    <s v="CM"/>
    <s v="S"/>
    <x v="324"/>
    <x v="27"/>
    <x v="36"/>
    <m/>
    <x v="34"/>
    <m/>
    <x v="11"/>
    <x v="0"/>
    <x v="33"/>
    <d v="2011-06-25T00:00:00"/>
    <x v="7"/>
    <x v="0"/>
    <m/>
    <m/>
    <x v="0"/>
    <x v="1"/>
    <m/>
    <x v="0"/>
    <x v="4"/>
    <x v="401"/>
    <x v="11"/>
    <x v="0"/>
    <x v="0"/>
    <x v="33"/>
    <x v="869"/>
  </r>
  <r>
    <x v="0"/>
    <n v="572"/>
    <x v="399"/>
    <x v="2"/>
    <s v="CM"/>
    <s v="S"/>
    <x v="324"/>
    <x v="27"/>
    <x v="224"/>
    <m/>
    <x v="156"/>
    <m/>
    <x v="18"/>
    <x v="0"/>
    <x v="140"/>
    <d v="2011-07-24T00:00:00"/>
    <x v="8"/>
    <x v="0"/>
    <m/>
    <s v="SICAF Perspective"/>
    <x v="0"/>
    <x v="0"/>
    <m/>
    <x v="0"/>
    <x v="4"/>
    <x v="401"/>
    <x v="18"/>
    <x v="0"/>
    <x v="0"/>
    <x v="140"/>
    <x v="870"/>
  </r>
  <r>
    <x v="0"/>
    <n v="572"/>
    <x v="399"/>
    <x v="2"/>
    <s v="CM"/>
    <s v="S"/>
    <x v="324"/>
    <x v="27"/>
    <x v="0"/>
    <m/>
    <x v="0"/>
    <m/>
    <x v="0"/>
    <x v="0"/>
    <x v="0"/>
    <d v="2011-11-06T00:00:00"/>
    <x v="0"/>
    <x v="0"/>
    <m/>
    <s v="Foco Portugal: Programa Onda Curta"/>
    <x v="0"/>
    <x v="0"/>
    <m/>
    <x v="0"/>
    <x v="4"/>
    <x v="401"/>
    <x v="0"/>
    <x v="0"/>
    <x v="0"/>
    <x v="0"/>
    <x v="871"/>
  </r>
  <r>
    <x v="0"/>
    <n v="572"/>
    <x v="399"/>
    <x v="2"/>
    <s v="CM"/>
    <s v="S"/>
    <x v="324"/>
    <x v="27"/>
    <x v="103"/>
    <m/>
    <x v="80"/>
    <m/>
    <x v="2"/>
    <x v="0"/>
    <x v="91"/>
    <d v="2012-12-10T00:00:00"/>
    <x v="12"/>
    <x v="0"/>
    <m/>
    <s v="Carnets de Voyage 1: Onda Curta RTP2"/>
    <x v="0"/>
    <x v="0"/>
    <m/>
    <x v="0"/>
    <x v="4"/>
    <x v="401"/>
    <x v="2"/>
    <x v="0"/>
    <x v="0"/>
    <x v="91"/>
    <x v="872"/>
  </r>
  <r>
    <x v="0"/>
    <n v="573"/>
    <x v="400"/>
    <x v="0"/>
    <s v="LM"/>
    <s v=""/>
    <x v="15"/>
    <x v="28"/>
    <x v="43"/>
    <m/>
    <x v="40"/>
    <m/>
    <x v="3"/>
    <x v="0"/>
    <x v="20"/>
    <d v="2011-11-26T00:00:00"/>
    <x v="13"/>
    <x v="0"/>
    <m/>
    <m/>
    <x v="0"/>
    <x v="1"/>
    <m/>
    <x v="0"/>
    <x v="5"/>
    <x v="402"/>
    <x v="3"/>
    <x v="0"/>
    <x v="1"/>
    <x v="20"/>
    <x v="873"/>
  </r>
  <r>
    <x v="0"/>
    <n v="574"/>
    <x v="401"/>
    <x v="4"/>
    <s v=""/>
    <s v=""/>
    <x v="299"/>
    <x v="2"/>
    <x v="120"/>
    <m/>
    <x v="83"/>
    <m/>
    <x v="3"/>
    <x v="0"/>
    <x v="16"/>
    <d v="2011-12-04T00:00:00"/>
    <x v="12"/>
    <x v="1"/>
    <s v="Cinéfilos: Animação"/>
    <m/>
    <x v="95"/>
    <x v="0"/>
    <m/>
    <x v="1"/>
    <x v="7"/>
    <x v="403"/>
    <x v="3"/>
    <x v="103"/>
    <x v="1"/>
    <x v="16"/>
    <x v="874"/>
  </r>
  <r>
    <x v="0"/>
    <n v="575"/>
    <x v="402"/>
    <x v="4"/>
    <s v=""/>
    <s v=""/>
    <x v="325"/>
    <x v="2"/>
    <x v="178"/>
    <m/>
    <x v="25"/>
    <m/>
    <x v="3"/>
    <x v="0"/>
    <x v="44"/>
    <d v="2011-07-03T00:00:00"/>
    <x v="17"/>
    <x v="1"/>
    <s v="Sessão Competitiva 3"/>
    <m/>
    <x v="0"/>
    <x v="0"/>
    <m/>
    <x v="0"/>
    <x v="7"/>
    <x v="404"/>
    <x v="3"/>
    <x v="0"/>
    <x v="1"/>
    <x v="44"/>
    <x v="875"/>
  </r>
  <r>
    <x v="0"/>
    <n v="576"/>
    <x v="403"/>
    <x v="0"/>
    <s v="CM"/>
    <s v="N"/>
    <x v="326"/>
    <x v="3"/>
    <x v="146"/>
    <m/>
    <x v="24"/>
    <m/>
    <x v="3"/>
    <x v="0"/>
    <x v="112"/>
    <d v="2011-05-15T00:00:00"/>
    <x v="6"/>
    <x v="0"/>
    <m/>
    <s v="Cinema Emergente"/>
    <x v="96"/>
    <x v="0"/>
    <m/>
    <x v="1"/>
    <x v="0"/>
    <x v="405"/>
    <x v="3"/>
    <x v="104"/>
    <x v="1"/>
    <x v="112"/>
    <x v="876"/>
  </r>
  <r>
    <x v="0"/>
    <n v="576"/>
    <x v="403"/>
    <x v="0"/>
    <s v="CM"/>
    <s v="N"/>
    <x v="326"/>
    <x v="3"/>
    <x v="273"/>
    <m/>
    <x v="115"/>
    <m/>
    <x v="36"/>
    <x v="0"/>
    <x v="184"/>
    <m/>
    <x v="14"/>
    <x v="0"/>
    <m/>
    <m/>
    <x v="0"/>
    <x v="1"/>
    <m/>
    <x v="0"/>
    <x v="0"/>
    <x v="405"/>
    <x v="36"/>
    <x v="0"/>
    <x v="0"/>
    <x v="184"/>
    <x v="877"/>
  </r>
  <r>
    <x v="0"/>
    <n v="576"/>
    <x v="403"/>
    <x v="0"/>
    <s v="CM"/>
    <s v="N"/>
    <x v="326"/>
    <x v="3"/>
    <x v="78"/>
    <m/>
    <x v="59"/>
    <m/>
    <x v="3"/>
    <x v="0"/>
    <x v="66"/>
    <d v="2011-10-30T00:00:00"/>
    <x v="14"/>
    <x v="1"/>
    <s v="Competição Nacional"/>
    <m/>
    <x v="0"/>
    <x v="0"/>
    <m/>
    <x v="0"/>
    <x v="0"/>
    <x v="405"/>
    <x v="3"/>
    <x v="0"/>
    <x v="1"/>
    <x v="66"/>
    <x v="878"/>
  </r>
  <r>
    <x v="0"/>
    <n v="576"/>
    <x v="403"/>
    <x v="0"/>
    <s v="CM"/>
    <s v="N"/>
    <x v="326"/>
    <x v="3"/>
    <x v="133"/>
    <m/>
    <x v="101"/>
    <m/>
    <x v="3"/>
    <x v="0"/>
    <x v="108"/>
    <d v="2011-12-11T00:00:00"/>
    <x v="12"/>
    <x v="1"/>
    <s v="Sessão Competitiva de Curtas Metragens 8"/>
    <m/>
    <x v="97"/>
    <x v="0"/>
    <m/>
    <x v="1"/>
    <x v="0"/>
    <x v="405"/>
    <x v="3"/>
    <x v="105"/>
    <x v="1"/>
    <x v="108"/>
    <x v="879"/>
  </r>
  <r>
    <x v="0"/>
    <n v="577"/>
    <x v="404"/>
    <x v="4"/>
    <s v=""/>
    <s v=""/>
    <x v="327"/>
    <x v="2"/>
    <x v="26"/>
    <m/>
    <x v="24"/>
    <m/>
    <x v="3"/>
    <x v="0"/>
    <x v="24"/>
    <d v="2011-03-27T00:00:00"/>
    <x v="2"/>
    <x v="1"/>
    <s v="Curtíssimas"/>
    <m/>
    <x v="0"/>
    <x v="0"/>
    <m/>
    <x v="0"/>
    <x v="7"/>
    <x v="406"/>
    <x v="3"/>
    <x v="0"/>
    <x v="1"/>
    <x v="24"/>
    <x v="880"/>
  </r>
  <r>
    <x v="0"/>
    <n v="578"/>
    <x v="405"/>
    <x v="3"/>
    <s v="CM"/>
    <s v="N"/>
    <x v="297"/>
    <x v="5"/>
    <x v="62"/>
    <m/>
    <x v="23"/>
    <m/>
    <x v="3"/>
    <x v="0"/>
    <x v="58"/>
    <d v="2011-03-06T00:00:00"/>
    <x v="19"/>
    <x v="0"/>
    <m/>
    <s v="Panorama do Cinema Português"/>
    <x v="98"/>
    <x v="0"/>
    <m/>
    <x v="1"/>
    <x v="6"/>
    <x v="407"/>
    <x v="3"/>
    <x v="106"/>
    <x v="1"/>
    <x v="58"/>
    <x v="881"/>
  </r>
  <r>
    <x v="0"/>
    <n v="578"/>
    <x v="405"/>
    <x v="3"/>
    <s v="CM"/>
    <s v="N"/>
    <x v="297"/>
    <x v="5"/>
    <x v="10"/>
    <m/>
    <x v="10"/>
    <m/>
    <x v="0"/>
    <x v="0"/>
    <x v="10"/>
    <d v="2011-09-25T00:00:00"/>
    <x v="9"/>
    <x v="1"/>
    <s v="Andorinha Curta Ficção"/>
    <m/>
    <x v="0"/>
    <x v="0"/>
    <m/>
    <x v="0"/>
    <x v="6"/>
    <x v="407"/>
    <x v="0"/>
    <x v="0"/>
    <x v="0"/>
    <x v="10"/>
    <x v="882"/>
  </r>
  <r>
    <x v="0"/>
    <n v="578"/>
    <x v="405"/>
    <x v="3"/>
    <s v="CM"/>
    <s v="N"/>
    <x v="297"/>
    <x v="5"/>
    <x v="14"/>
    <m/>
    <x v="14"/>
    <m/>
    <x v="3"/>
    <x v="0"/>
    <x v="13"/>
    <d v="2011-11-05T00:00:00"/>
    <x v="0"/>
    <x v="1"/>
    <s v="Competição Curtas Metragens"/>
    <m/>
    <x v="0"/>
    <x v="0"/>
    <m/>
    <x v="0"/>
    <x v="6"/>
    <x v="407"/>
    <x v="3"/>
    <x v="0"/>
    <x v="1"/>
    <x v="13"/>
    <x v="883"/>
  </r>
  <r>
    <x v="0"/>
    <n v="579"/>
    <x v="406"/>
    <x v="4"/>
    <s v=""/>
    <s v=""/>
    <x v="47"/>
    <x v="2"/>
    <x v="25"/>
    <m/>
    <x v="24"/>
    <m/>
    <x v="3"/>
    <x v="0"/>
    <x v="23"/>
    <d v="2011-10-30T00:00:00"/>
    <x v="14"/>
    <x v="1"/>
    <s v="Competição Portuguesa - Curtas"/>
    <m/>
    <x v="0"/>
    <x v="0"/>
    <m/>
    <x v="0"/>
    <x v="7"/>
    <x v="408"/>
    <x v="3"/>
    <x v="0"/>
    <x v="1"/>
    <x v="23"/>
    <x v="884"/>
  </r>
  <r>
    <x v="0"/>
    <n v="581"/>
    <x v="407"/>
    <x v="4"/>
    <s v=""/>
    <s v=""/>
    <x v="328"/>
    <x v="2"/>
    <x v="63"/>
    <m/>
    <x v="24"/>
    <m/>
    <x v="3"/>
    <x v="0"/>
    <x v="59"/>
    <d v="2011-05-01T00:00:00"/>
    <x v="4"/>
    <x v="1"/>
    <s v="Competição Longas Metragens"/>
    <m/>
    <x v="99"/>
    <x v="0"/>
    <m/>
    <x v="1"/>
    <x v="7"/>
    <x v="409"/>
    <x v="3"/>
    <x v="107"/>
    <x v="1"/>
    <x v="59"/>
    <x v="885"/>
  </r>
  <r>
    <x v="0"/>
    <n v="581"/>
    <x v="407"/>
    <x v="4"/>
    <s v=""/>
    <s v=""/>
    <x v="328"/>
    <x v="2"/>
    <x v="274"/>
    <m/>
    <x v="24"/>
    <m/>
    <x v="3"/>
    <x v="0"/>
    <x v="142"/>
    <d v="2011-07-24T00:00:00"/>
    <x v="8"/>
    <x v="0"/>
    <m/>
    <m/>
    <x v="0"/>
    <x v="1"/>
    <m/>
    <x v="0"/>
    <x v="7"/>
    <x v="409"/>
    <x v="3"/>
    <x v="0"/>
    <x v="1"/>
    <x v="142"/>
    <x v="886"/>
  </r>
  <r>
    <x v="0"/>
    <n v="581"/>
    <x v="407"/>
    <x v="4"/>
    <s v=""/>
    <s v=""/>
    <x v="328"/>
    <x v="2"/>
    <x v="275"/>
    <m/>
    <x v="24"/>
    <m/>
    <x v="3"/>
    <x v="0"/>
    <x v="119"/>
    <d v="2011-10-02T00:00:00"/>
    <x v="10"/>
    <x v="0"/>
    <m/>
    <m/>
    <x v="0"/>
    <x v="1"/>
    <m/>
    <x v="0"/>
    <x v="7"/>
    <x v="409"/>
    <x v="3"/>
    <x v="0"/>
    <x v="1"/>
    <x v="119"/>
    <x v="887"/>
  </r>
  <r>
    <x v="0"/>
    <n v="581"/>
    <x v="407"/>
    <x v="4"/>
    <s v=""/>
    <s v=""/>
    <x v="328"/>
    <x v="2"/>
    <x v="72"/>
    <m/>
    <x v="22"/>
    <m/>
    <x v="3"/>
    <x v="0"/>
    <x v="14"/>
    <d v="2011-11-26T00:00:00"/>
    <x v="13"/>
    <x v="0"/>
    <m/>
    <m/>
    <x v="0"/>
    <x v="1"/>
    <m/>
    <x v="0"/>
    <x v="7"/>
    <x v="409"/>
    <x v="3"/>
    <x v="0"/>
    <x v="1"/>
    <x v="14"/>
    <x v="888"/>
  </r>
  <r>
    <x v="0"/>
    <n v="584"/>
    <x v="408"/>
    <x v="4"/>
    <s v=""/>
    <s v=""/>
    <x v="240"/>
    <x v="2"/>
    <x v="227"/>
    <m/>
    <x v="22"/>
    <m/>
    <x v="3"/>
    <x v="0"/>
    <x v="130"/>
    <d v="2011-03-06T00:00:00"/>
    <x v="2"/>
    <x v="0"/>
    <m/>
    <m/>
    <x v="0"/>
    <x v="1"/>
    <m/>
    <x v="0"/>
    <x v="7"/>
    <x v="410"/>
    <x v="3"/>
    <x v="0"/>
    <x v="1"/>
    <x v="130"/>
    <x v="889"/>
  </r>
  <r>
    <x v="0"/>
    <n v="585"/>
    <x v="409"/>
    <x v="4"/>
    <s v=""/>
    <s v=""/>
    <x v="329"/>
    <x v="2"/>
    <x v="132"/>
    <m/>
    <x v="36"/>
    <m/>
    <x v="3"/>
    <x v="0"/>
    <x v="20"/>
    <m/>
    <x v="13"/>
    <x v="0"/>
    <m/>
    <m/>
    <x v="0"/>
    <x v="1"/>
    <m/>
    <x v="0"/>
    <x v="7"/>
    <x v="411"/>
    <x v="3"/>
    <x v="0"/>
    <x v="1"/>
    <x v="20"/>
    <x v="890"/>
  </r>
  <r>
    <x v="0"/>
    <n v="586"/>
    <x v="410"/>
    <x v="4"/>
    <s v=""/>
    <s v=""/>
    <x v="35"/>
    <x v="2"/>
    <x v="156"/>
    <m/>
    <x v="49"/>
    <m/>
    <x v="3"/>
    <x v="0"/>
    <x v="185"/>
    <m/>
    <x v="1"/>
    <x v="0"/>
    <m/>
    <m/>
    <x v="0"/>
    <x v="1"/>
    <m/>
    <x v="0"/>
    <x v="7"/>
    <x v="412"/>
    <x v="3"/>
    <x v="0"/>
    <x v="1"/>
    <x v="185"/>
    <x v="891"/>
  </r>
  <r>
    <x v="0"/>
    <n v="587"/>
    <x v="411"/>
    <x v="3"/>
    <s v="CM"/>
    <s v="N"/>
    <x v="330"/>
    <x v="2"/>
    <x v="49"/>
    <m/>
    <x v="16"/>
    <m/>
    <x v="1"/>
    <x v="0"/>
    <x v="43"/>
    <d v="2011-05-26T00:00:00"/>
    <x v="6"/>
    <x v="0"/>
    <m/>
    <s v="Hypercinema"/>
    <x v="0"/>
    <x v="1"/>
    <m/>
    <x v="0"/>
    <x v="6"/>
    <x v="413"/>
    <x v="1"/>
    <x v="0"/>
    <x v="0"/>
    <x v="43"/>
    <x v="892"/>
  </r>
  <r>
    <x v="0"/>
    <n v="587"/>
    <x v="411"/>
    <x v="3"/>
    <s v="CM"/>
    <s v="N"/>
    <x v="330"/>
    <x v="2"/>
    <x v="276"/>
    <m/>
    <x v="192"/>
    <m/>
    <x v="56"/>
    <x v="0"/>
    <x v="159"/>
    <d v="2011-06-20T00:00:00"/>
    <x v="7"/>
    <x v="1"/>
    <s v="International Short Film Competition 4                                                                                                                       "/>
    <m/>
    <x v="0"/>
    <x v="0"/>
    <m/>
    <x v="0"/>
    <x v="6"/>
    <x v="413"/>
    <x v="56"/>
    <x v="0"/>
    <x v="0"/>
    <x v="159"/>
    <x v="893"/>
  </r>
  <r>
    <x v="0"/>
    <n v="587"/>
    <x v="411"/>
    <x v="3"/>
    <s v="CM"/>
    <s v="N"/>
    <x v="330"/>
    <x v="2"/>
    <x v="277"/>
    <m/>
    <x v="193"/>
    <m/>
    <x v="57"/>
    <x v="0"/>
    <x v="7"/>
    <d v="2011-06-25T00:00:00"/>
    <x v="7"/>
    <x v="1"/>
    <s v="International Competition Shorts IV                                                                                                                         "/>
    <m/>
    <x v="0"/>
    <x v="0"/>
    <m/>
    <x v="0"/>
    <x v="6"/>
    <x v="413"/>
    <x v="57"/>
    <x v="0"/>
    <x v="0"/>
    <x v="7"/>
    <x v="894"/>
  </r>
  <r>
    <x v="0"/>
    <n v="587"/>
    <x v="411"/>
    <x v="3"/>
    <s v="CM"/>
    <s v="N"/>
    <x v="330"/>
    <x v="2"/>
    <x v="50"/>
    <m/>
    <x v="20"/>
    <m/>
    <x v="5"/>
    <x v="0"/>
    <x v="44"/>
    <d v="2011-07-03T00:00:00"/>
    <x v="17"/>
    <x v="0"/>
    <m/>
    <s v="Hypercinema"/>
    <x v="0"/>
    <x v="1"/>
    <m/>
    <x v="0"/>
    <x v="6"/>
    <x v="413"/>
    <x v="5"/>
    <x v="0"/>
    <x v="0"/>
    <x v="44"/>
    <x v="895"/>
  </r>
  <r>
    <x v="0"/>
    <n v="587"/>
    <x v="411"/>
    <x v="3"/>
    <s v="CM"/>
    <s v="N"/>
    <x v="330"/>
    <x v="2"/>
    <x v="68"/>
    <m/>
    <x v="53"/>
    <m/>
    <x v="3"/>
    <x v="0"/>
    <x v="64"/>
    <d v="2011-07-17T00:00:00"/>
    <x v="8"/>
    <x v="1"/>
    <s v="Competição Experimental"/>
    <m/>
    <x v="0"/>
    <x v="0"/>
    <m/>
    <x v="0"/>
    <x v="6"/>
    <x v="413"/>
    <x v="3"/>
    <x v="0"/>
    <x v="1"/>
    <x v="64"/>
    <x v="896"/>
  </r>
  <r>
    <x v="0"/>
    <n v="587"/>
    <x v="411"/>
    <x v="3"/>
    <s v="CM"/>
    <s v="N"/>
    <x v="330"/>
    <x v="2"/>
    <x v="139"/>
    <m/>
    <x v="106"/>
    <m/>
    <x v="15"/>
    <x v="0"/>
    <x v="109"/>
    <d v="2011-07-30T00:00:00"/>
    <x v="8"/>
    <x v="1"/>
    <s v="Nuovi Segni 2"/>
    <m/>
    <x v="0"/>
    <x v="0"/>
    <m/>
    <x v="0"/>
    <x v="6"/>
    <x v="413"/>
    <x v="15"/>
    <x v="0"/>
    <x v="0"/>
    <x v="109"/>
    <x v="897"/>
  </r>
  <r>
    <x v="0"/>
    <n v="587"/>
    <x v="411"/>
    <x v="3"/>
    <s v="CM"/>
    <s v="N"/>
    <x v="330"/>
    <x v="2"/>
    <x v="278"/>
    <m/>
    <x v="194"/>
    <m/>
    <x v="50"/>
    <x v="0"/>
    <x v="46"/>
    <d v="2011-09-17T00:00:00"/>
    <x v="9"/>
    <x v="1"/>
    <s v="Short Films "/>
    <m/>
    <x v="0"/>
    <x v="0"/>
    <m/>
    <x v="0"/>
    <x v="6"/>
    <x v="413"/>
    <x v="50"/>
    <x v="0"/>
    <x v="0"/>
    <x v="46"/>
    <x v="898"/>
  </r>
  <r>
    <x v="0"/>
    <n v="587"/>
    <x v="411"/>
    <x v="3"/>
    <s v="CM"/>
    <s v="N"/>
    <x v="330"/>
    <x v="2"/>
    <x v="279"/>
    <m/>
    <x v="195"/>
    <m/>
    <x v="58"/>
    <x v="0"/>
    <x v="186"/>
    <d v="2011-11-19T00:00:00"/>
    <x v="13"/>
    <x v="1"/>
    <s v="OVNI"/>
    <m/>
    <x v="100"/>
    <x v="0"/>
    <m/>
    <x v="1"/>
    <x v="6"/>
    <x v="413"/>
    <x v="58"/>
    <x v="108"/>
    <x v="0"/>
    <x v="186"/>
    <x v="899"/>
  </r>
  <r>
    <x v="0"/>
    <n v="587"/>
    <x v="411"/>
    <x v="3"/>
    <s v="CM"/>
    <s v="N"/>
    <x v="330"/>
    <x v="2"/>
    <x v="280"/>
    <m/>
    <x v="196"/>
    <m/>
    <x v="2"/>
    <x v="0"/>
    <x v="93"/>
    <d v="2011-12-04T00:00:00"/>
    <x v="11"/>
    <x v="1"/>
    <s v="Compétition Internationale Courts Mètrages"/>
    <m/>
    <x v="0"/>
    <x v="0"/>
    <m/>
    <x v="0"/>
    <x v="6"/>
    <x v="413"/>
    <x v="2"/>
    <x v="0"/>
    <x v="0"/>
    <x v="93"/>
    <x v="900"/>
  </r>
  <r>
    <x v="0"/>
    <n v="587"/>
    <x v="411"/>
    <x v="3"/>
    <s v="CM"/>
    <s v="N"/>
    <x v="330"/>
    <x v="2"/>
    <x v="133"/>
    <m/>
    <x v="101"/>
    <m/>
    <x v="3"/>
    <x v="0"/>
    <x v="108"/>
    <d v="2011-12-11T00:00:00"/>
    <x v="12"/>
    <x v="0"/>
    <m/>
    <s v="Sessão Especial 2"/>
    <x v="0"/>
    <x v="0"/>
    <m/>
    <x v="0"/>
    <x v="6"/>
    <x v="413"/>
    <x v="3"/>
    <x v="0"/>
    <x v="1"/>
    <x v="108"/>
    <x v="901"/>
  </r>
  <r>
    <x v="0"/>
    <n v="588"/>
    <x v="412"/>
    <x v="4"/>
    <s v=""/>
    <s v=""/>
    <x v="331"/>
    <x v="2"/>
    <x v="46"/>
    <m/>
    <x v="24"/>
    <m/>
    <x v="3"/>
    <x v="0"/>
    <x v="41"/>
    <d v="2011-11-18T00:00:00"/>
    <x v="13"/>
    <x v="1"/>
    <s v="Prémio de Cinema para Filmes sobre Arte"/>
    <m/>
    <x v="0"/>
    <x v="0"/>
    <m/>
    <x v="0"/>
    <x v="7"/>
    <x v="414"/>
    <x v="3"/>
    <x v="0"/>
    <x v="1"/>
    <x v="41"/>
    <x v="902"/>
  </r>
  <r>
    <x v="0"/>
    <n v="589"/>
    <x v="413"/>
    <x v="4"/>
    <s v=""/>
    <s v=""/>
    <x v="332"/>
    <x v="2"/>
    <x v="222"/>
    <m/>
    <x v="24"/>
    <m/>
    <x v="3"/>
    <x v="0"/>
    <x v="161"/>
    <m/>
    <x v="7"/>
    <x v="1"/>
    <s v="Categoria Prémio Sony Escolas HD"/>
    <m/>
    <x v="0"/>
    <x v="2"/>
    <m/>
    <x v="0"/>
    <x v="7"/>
    <x v="415"/>
    <x v="3"/>
    <x v="0"/>
    <x v="1"/>
    <x v="161"/>
    <x v="903"/>
  </r>
  <r>
    <x v="0"/>
    <n v="590"/>
    <x v="414"/>
    <x v="4"/>
    <s v=""/>
    <s v=""/>
    <x v="35"/>
    <x v="2"/>
    <x v="81"/>
    <m/>
    <x v="61"/>
    <m/>
    <x v="2"/>
    <x v="0"/>
    <x v="71"/>
    <d v="2011-02-12T00:00:00"/>
    <x v="1"/>
    <x v="0"/>
    <m/>
    <s v="Décibels 1"/>
    <x v="0"/>
    <x v="0"/>
    <m/>
    <x v="0"/>
    <x v="7"/>
    <x v="416"/>
    <x v="2"/>
    <x v="0"/>
    <x v="0"/>
    <x v="71"/>
    <x v="904"/>
  </r>
  <r>
    <x v="0"/>
    <n v="591"/>
    <x v="415"/>
    <x v="4"/>
    <s v=""/>
    <s v=""/>
    <x v="333"/>
    <x v="2"/>
    <x v="59"/>
    <m/>
    <x v="48"/>
    <m/>
    <x v="3"/>
    <x v="0"/>
    <x v="54"/>
    <d v="2011-09-15T00:00:00"/>
    <x v="9"/>
    <x v="0"/>
    <m/>
    <m/>
    <x v="0"/>
    <x v="1"/>
    <m/>
    <x v="0"/>
    <x v="7"/>
    <x v="417"/>
    <x v="3"/>
    <x v="0"/>
    <x v="1"/>
    <x v="54"/>
    <x v="905"/>
  </r>
  <r>
    <x v="0"/>
    <n v="592"/>
    <x v="416"/>
    <x v="1"/>
    <s v="LM"/>
    <s v="S"/>
    <x v="162"/>
    <x v="5"/>
    <x v="208"/>
    <m/>
    <x v="5"/>
    <m/>
    <x v="3"/>
    <x v="0"/>
    <x v="152"/>
    <d v="2011-05-13T00:00:00"/>
    <x v="6"/>
    <x v="0"/>
    <m/>
    <m/>
    <x v="0"/>
    <x v="1"/>
    <m/>
    <x v="0"/>
    <x v="1"/>
    <x v="418"/>
    <x v="3"/>
    <x v="0"/>
    <x v="1"/>
    <x v="152"/>
    <x v="906"/>
  </r>
  <r>
    <x v="0"/>
    <n v="592"/>
    <x v="416"/>
    <x v="1"/>
    <s v="LM"/>
    <s v="S"/>
    <x v="162"/>
    <x v="5"/>
    <x v="66"/>
    <m/>
    <x v="52"/>
    <m/>
    <x v="3"/>
    <x v="0"/>
    <x v="62"/>
    <d v="2011-06-12T00:00:00"/>
    <x v="7"/>
    <x v="0"/>
    <m/>
    <s v="Cinema Português"/>
    <x v="0"/>
    <x v="0"/>
    <m/>
    <x v="0"/>
    <x v="1"/>
    <x v="418"/>
    <x v="3"/>
    <x v="0"/>
    <x v="1"/>
    <x v="62"/>
    <x v="907"/>
  </r>
  <r>
    <x v="0"/>
    <n v="592"/>
    <x v="416"/>
    <x v="1"/>
    <s v="LM"/>
    <s v="S"/>
    <x v="162"/>
    <x v="5"/>
    <x v="207"/>
    <m/>
    <x v="24"/>
    <m/>
    <x v="3"/>
    <x v="0"/>
    <x v="109"/>
    <d v="2011-08-14T00:00:00"/>
    <x v="25"/>
    <x v="0"/>
    <m/>
    <m/>
    <x v="0"/>
    <x v="1"/>
    <m/>
    <x v="0"/>
    <x v="1"/>
    <x v="418"/>
    <x v="3"/>
    <x v="0"/>
    <x v="1"/>
    <x v="109"/>
    <x v="908"/>
  </r>
  <r>
    <x v="0"/>
    <n v="592"/>
    <x v="416"/>
    <x v="1"/>
    <s v="LM"/>
    <s v="S"/>
    <x v="162"/>
    <x v="5"/>
    <x v="281"/>
    <m/>
    <x v="23"/>
    <m/>
    <x v="3"/>
    <x v="0"/>
    <x v="165"/>
    <d v="2011-10-08T00:00:00"/>
    <x v="14"/>
    <x v="0"/>
    <m/>
    <m/>
    <x v="0"/>
    <x v="1"/>
    <m/>
    <x v="0"/>
    <x v="1"/>
    <x v="418"/>
    <x v="3"/>
    <x v="0"/>
    <x v="1"/>
    <x v="165"/>
    <x v="909"/>
  </r>
  <r>
    <x v="0"/>
    <n v="593"/>
    <x v="417"/>
    <x v="4"/>
    <s v=""/>
    <s v=""/>
    <x v="334"/>
    <x v="2"/>
    <x v="132"/>
    <m/>
    <x v="36"/>
    <m/>
    <x v="3"/>
    <x v="0"/>
    <x v="20"/>
    <m/>
    <x v="13"/>
    <x v="0"/>
    <m/>
    <m/>
    <x v="0"/>
    <x v="1"/>
    <m/>
    <x v="0"/>
    <x v="7"/>
    <x v="419"/>
    <x v="3"/>
    <x v="0"/>
    <x v="1"/>
    <x v="20"/>
    <x v="910"/>
  </r>
  <r>
    <x v="0"/>
    <n v="594"/>
    <x v="418"/>
    <x v="4"/>
    <s v=""/>
    <s v=""/>
    <x v="47"/>
    <x v="2"/>
    <x v="99"/>
    <m/>
    <x v="78"/>
    <m/>
    <x v="20"/>
    <x v="0"/>
    <x v="69"/>
    <d v="2011-11-13T00:00:00"/>
    <x v="13"/>
    <x v="0"/>
    <m/>
    <s v="Focus on Edgar Pêra - Programme 4"/>
    <x v="0"/>
    <x v="0"/>
    <m/>
    <x v="0"/>
    <x v="7"/>
    <x v="420"/>
    <x v="20"/>
    <x v="0"/>
    <x v="0"/>
    <x v="69"/>
    <x v="911"/>
  </r>
  <r>
    <x v="0"/>
    <n v="596"/>
    <x v="419"/>
    <x v="0"/>
    <s v="CM"/>
    <s v="S"/>
    <x v="335"/>
    <x v="2"/>
    <x v="146"/>
    <m/>
    <x v="24"/>
    <m/>
    <x v="3"/>
    <x v="0"/>
    <x v="112"/>
    <d v="2011-05-15T00:00:00"/>
    <x v="6"/>
    <x v="0"/>
    <m/>
    <s v="Observatório"/>
    <x v="0"/>
    <x v="0"/>
    <m/>
    <x v="0"/>
    <x v="0"/>
    <x v="421"/>
    <x v="3"/>
    <x v="0"/>
    <x v="1"/>
    <x v="112"/>
    <x v="912"/>
  </r>
  <r>
    <x v="0"/>
    <n v="596"/>
    <x v="419"/>
    <x v="0"/>
    <s v="CM"/>
    <s v="S"/>
    <x v="335"/>
    <x v="2"/>
    <x v="273"/>
    <m/>
    <x v="115"/>
    <m/>
    <x v="36"/>
    <x v="0"/>
    <x v="184"/>
    <m/>
    <x v="14"/>
    <x v="0"/>
    <m/>
    <m/>
    <x v="0"/>
    <x v="1"/>
    <m/>
    <x v="0"/>
    <x v="0"/>
    <x v="421"/>
    <x v="36"/>
    <x v="0"/>
    <x v="0"/>
    <x v="184"/>
    <x v="913"/>
  </r>
  <r>
    <x v="0"/>
    <n v="596"/>
    <x v="419"/>
    <x v="0"/>
    <s v="CM"/>
    <s v="S"/>
    <x v="335"/>
    <x v="2"/>
    <x v="0"/>
    <m/>
    <x v="0"/>
    <m/>
    <x v="0"/>
    <x v="0"/>
    <x v="0"/>
    <d v="2011-11-06T00:00:00"/>
    <x v="0"/>
    <x v="0"/>
    <m/>
    <s v="Panorama Internacional"/>
    <x v="0"/>
    <x v="0"/>
    <m/>
    <x v="0"/>
    <x v="0"/>
    <x v="421"/>
    <x v="0"/>
    <x v="0"/>
    <x v="0"/>
    <x v="0"/>
    <x v="914"/>
  </r>
  <r>
    <x v="0"/>
    <n v="596"/>
    <x v="419"/>
    <x v="0"/>
    <s v="CM"/>
    <s v="S"/>
    <x v="335"/>
    <x v="2"/>
    <x v="95"/>
    <m/>
    <x v="74"/>
    <m/>
    <x v="1"/>
    <x v="0"/>
    <x v="86"/>
    <d v="2011-11-18T00:00:00"/>
    <x v="13"/>
    <x v="1"/>
    <s v="Certamen Europeo de Cortometrages"/>
    <m/>
    <x v="0"/>
    <x v="0"/>
    <m/>
    <x v="0"/>
    <x v="0"/>
    <x v="421"/>
    <x v="1"/>
    <x v="0"/>
    <x v="0"/>
    <x v="86"/>
    <x v="915"/>
  </r>
  <r>
    <x v="0"/>
    <n v="596"/>
    <x v="419"/>
    <x v="0"/>
    <s v="CM"/>
    <s v="S"/>
    <x v="335"/>
    <x v="2"/>
    <x v="133"/>
    <m/>
    <x v="101"/>
    <m/>
    <x v="3"/>
    <x v="0"/>
    <x v="108"/>
    <d v="2011-12-11T00:00:00"/>
    <x v="12"/>
    <x v="1"/>
    <s v="Sessão Competitiva de Curtas Metragens 2"/>
    <m/>
    <x v="6"/>
    <x v="0"/>
    <m/>
    <x v="1"/>
    <x v="0"/>
    <x v="421"/>
    <x v="3"/>
    <x v="109"/>
    <x v="1"/>
    <x v="108"/>
    <x v="916"/>
  </r>
  <r>
    <x v="0"/>
    <n v="598"/>
    <x v="420"/>
    <x v="2"/>
    <s v="CM"/>
    <s v="S"/>
    <x v="336"/>
    <x v="3"/>
    <x v="146"/>
    <m/>
    <x v="24"/>
    <m/>
    <x v="3"/>
    <x v="0"/>
    <x v="112"/>
    <d v="2011-05-15T00:00:00"/>
    <x v="6"/>
    <x v="0"/>
    <m/>
    <s v="Cinema Emergente"/>
    <x v="0"/>
    <x v="0"/>
    <m/>
    <x v="0"/>
    <x v="4"/>
    <x v="422"/>
    <x v="3"/>
    <x v="0"/>
    <x v="1"/>
    <x v="112"/>
    <x v="917"/>
  </r>
  <r>
    <x v="0"/>
    <n v="598"/>
    <x v="420"/>
    <x v="2"/>
    <s v="CM"/>
    <s v="S"/>
    <x v="336"/>
    <x v="3"/>
    <x v="68"/>
    <m/>
    <x v="53"/>
    <m/>
    <x v="3"/>
    <x v="0"/>
    <x v="64"/>
    <d v="2011-07-17T00:00:00"/>
    <x v="8"/>
    <x v="0"/>
    <m/>
    <s v="Panorama Nacional"/>
    <x v="0"/>
    <x v="0"/>
    <m/>
    <x v="0"/>
    <x v="4"/>
    <x v="422"/>
    <x v="3"/>
    <x v="0"/>
    <x v="1"/>
    <x v="64"/>
    <x v="918"/>
  </r>
  <r>
    <x v="0"/>
    <n v="598"/>
    <x v="420"/>
    <x v="2"/>
    <s v="CM"/>
    <s v="S"/>
    <x v="336"/>
    <x v="3"/>
    <x v="94"/>
    <m/>
    <x v="73"/>
    <m/>
    <x v="3"/>
    <x v="0"/>
    <x v="85"/>
    <d v="2011-10-30T00:00:00"/>
    <x v="14"/>
    <x v="0"/>
    <m/>
    <s v="Panorama da Curta Metragem Portuguesa"/>
    <x v="0"/>
    <x v="0"/>
    <m/>
    <x v="0"/>
    <x v="4"/>
    <x v="422"/>
    <x v="3"/>
    <x v="0"/>
    <x v="1"/>
    <x v="85"/>
    <x v="919"/>
  </r>
  <r>
    <x v="0"/>
    <n v="598"/>
    <x v="420"/>
    <x v="2"/>
    <s v="CM"/>
    <s v="S"/>
    <x v="336"/>
    <x v="3"/>
    <x v="27"/>
    <m/>
    <x v="25"/>
    <m/>
    <x v="3"/>
    <x v="0"/>
    <x v="25"/>
    <d v="2011-11-13T00:00:00"/>
    <x v="13"/>
    <x v="1"/>
    <s v="Competição Nacional: Prémio António Gaio"/>
    <m/>
    <x v="7"/>
    <x v="0"/>
    <m/>
    <x v="1"/>
    <x v="4"/>
    <x v="422"/>
    <x v="3"/>
    <x v="110"/>
    <x v="1"/>
    <x v="25"/>
    <x v="920"/>
  </r>
  <r>
    <x v="0"/>
    <n v="598"/>
    <x v="420"/>
    <x v="2"/>
    <s v="CM"/>
    <s v="S"/>
    <x v="336"/>
    <x v="3"/>
    <x v="22"/>
    <m/>
    <x v="22"/>
    <m/>
    <x v="3"/>
    <x v="0"/>
    <x v="20"/>
    <d v="2011-11-17T00:00:00"/>
    <x v="13"/>
    <x v="1"/>
    <s v="Sessão Competitiva 1"/>
    <m/>
    <x v="101"/>
    <x v="0"/>
    <m/>
    <x v="1"/>
    <x v="4"/>
    <x v="422"/>
    <x v="3"/>
    <x v="111"/>
    <x v="1"/>
    <x v="20"/>
    <x v="921"/>
  </r>
  <r>
    <x v="0"/>
    <n v="598"/>
    <x v="420"/>
    <x v="2"/>
    <s v="CM"/>
    <s v="S"/>
    <x v="336"/>
    <x v="3"/>
    <x v="245"/>
    <m/>
    <x v="172"/>
    <m/>
    <x v="49"/>
    <x v="0"/>
    <x v="170"/>
    <d v="2011-11-20T00:00:00"/>
    <x v="13"/>
    <x v="0"/>
    <m/>
    <s v="Panorama II"/>
    <x v="0"/>
    <x v="0"/>
    <m/>
    <x v="0"/>
    <x v="4"/>
    <x v="422"/>
    <x v="49"/>
    <x v="0"/>
    <x v="0"/>
    <x v="170"/>
    <x v="922"/>
  </r>
  <r>
    <x v="0"/>
    <n v="600"/>
    <x v="421"/>
    <x v="4"/>
    <s v=""/>
    <s v=""/>
    <x v="304"/>
    <x v="2"/>
    <x v="62"/>
    <m/>
    <x v="23"/>
    <m/>
    <x v="3"/>
    <x v="0"/>
    <x v="58"/>
    <d v="2011-03-06T00:00:00"/>
    <x v="19"/>
    <x v="0"/>
    <m/>
    <s v="Panorama do Cinema Português"/>
    <x v="0"/>
    <x v="0"/>
    <m/>
    <x v="0"/>
    <x v="7"/>
    <x v="423"/>
    <x v="3"/>
    <x v="0"/>
    <x v="1"/>
    <x v="58"/>
    <x v="923"/>
  </r>
  <r>
    <x v="0"/>
    <n v="602"/>
    <x v="422"/>
    <x v="0"/>
    <s v="CM"/>
    <s v="N"/>
    <x v="186"/>
    <x v="2"/>
    <x v="68"/>
    <m/>
    <x v="53"/>
    <m/>
    <x v="3"/>
    <x v="0"/>
    <x v="64"/>
    <d v="2011-07-17T00:00:00"/>
    <x v="8"/>
    <x v="1"/>
    <s v="Competição Nacional"/>
    <m/>
    <x v="0"/>
    <x v="0"/>
    <m/>
    <x v="0"/>
    <x v="0"/>
    <x v="424"/>
    <x v="3"/>
    <x v="0"/>
    <x v="1"/>
    <x v="64"/>
    <x v="924"/>
  </r>
  <r>
    <x v="0"/>
    <n v="602"/>
    <x v="422"/>
    <x v="0"/>
    <s v="CM"/>
    <s v="N"/>
    <x v="186"/>
    <x v="2"/>
    <x v="88"/>
    <m/>
    <x v="67"/>
    <m/>
    <x v="3"/>
    <x v="0"/>
    <x v="79"/>
    <d v="2011-10-15T00:00:00"/>
    <x v="14"/>
    <x v="1"/>
    <s v="Competição Lusófona"/>
    <m/>
    <x v="0"/>
    <x v="0"/>
    <m/>
    <x v="0"/>
    <x v="0"/>
    <x v="424"/>
    <x v="3"/>
    <x v="0"/>
    <x v="1"/>
    <x v="79"/>
    <x v="925"/>
  </r>
  <r>
    <x v="0"/>
    <n v="602"/>
    <x v="422"/>
    <x v="0"/>
    <s v="CM"/>
    <s v="N"/>
    <x v="186"/>
    <x v="2"/>
    <x v="78"/>
    <m/>
    <x v="59"/>
    <m/>
    <x v="3"/>
    <x v="0"/>
    <x v="66"/>
    <d v="2011-10-30T00:00:00"/>
    <x v="14"/>
    <x v="1"/>
    <s v="Competição Nacional"/>
    <m/>
    <x v="9"/>
    <x v="0"/>
    <m/>
    <x v="1"/>
    <x v="0"/>
    <x v="424"/>
    <x v="3"/>
    <x v="112"/>
    <x v="1"/>
    <x v="66"/>
    <x v="926"/>
  </r>
  <r>
    <x v="0"/>
    <n v="602"/>
    <x v="422"/>
    <x v="0"/>
    <s v="CM"/>
    <s v="N"/>
    <x v="186"/>
    <x v="2"/>
    <x v="203"/>
    <m/>
    <x v="65"/>
    <m/>
    <x v="9"/>
    <x v="0"/>
    <x v="66"/>
    <m/>
    <x v="14"/>
    <x v="0"/>
    <m/>
    <m/>
    <x v="0"/>
    <x v="1"/>
    <m/>
    <x v="0"/>
    <x v="0"/>
    <x v="424"/>
    <x v="9"/>
    <x v="0"/>
    <x v="0"/>
    <x v="66"/>
    <x v="927"/>
  </r>
  <r>
    <x v="0"/>
    <n v="602"/>
    <x v="422"/>
    <x v="0"/>
    <s v="CM"/>
    <s v="N"/>
    <x v="186"/>
    <x v="2"/>
    <x v="14"/>
    <m/>
    <x v="14"/>
    <m/>
    <x v="3"/>
    <x v="0"/>
    <x v="13"/>
    <d v="2011-11-05T00:00:00"/>
    <x v="0"/>
    <x v="1"/>
    <s v="Competição Curtas Metragens"/>
    <m/>
    <x v="0"/>
    <x v="0"/>
    <m/>
    <x v="0"/>
    <x v="0"/>
    <x v="424"/>
    <x v="3"/>
    <x v="0"/>
    <x v="1"/>
    <x v="13"/>
    <x v="928"/>
  </r>
  <r>
    <x v="0"/>
    <n v="602"/>
    <x v="422"/>
    <x v="0"/>
    <s v="CM"/>
    <s v="N"/>
    <x v="186"/>
    <x v="2"/>
    <x v="99"/>
    <m/>
    <x v="78"/>
    <m/>
    <x v="20"/>
    <x v="0"/>
    <x v="69"/>
    <d v="2011-11-13T00:00:00"/>
    <x v="13"/>
    <x v="1"/>
    <s v="International Shorts -- Programme 7"/>
    <m/>
    <x v="0"/>
    <x v="0"/>
    <m/>
    <x v="0"/>
    <x v="0"/>
    <x v="424"/>
    <x v="20"/>
    <x v="0"/>
    <x v="0"/>
    <x v="69"/>
    <x v="929"/>
  </r>
  <r>
    <x v="0"/>
    <n v="602"/>
    <x v="422"/>
    <x v="0"/>
    <s v="CM"/>
    <s v="N"/>
    <x v="186"/>
    <x v="2"/>
    <x v="95"/>
    <m/>
    <x v="74"/>
    <m/>
    <x v="1"/>
    <x v="0"/>
    <x v="86"/>
    <d v="2011-11-18T00:00:00"/>
    <x v="13"/>
    <x v="1"/>
    <s v="Certamen Europeo de Cortometrages"/>
    <m/>
    <x v="0"/>
    <x v="0"/>
    <m/>
    <x v="0"/>
    <x v="0"/>
    <x v="424"/>
    <x v="1"/>
    <x v="0"/>
    <x v="0"/>
    <x v="86"/>
    <x v="930"/>
  </r>
  <r>
    <x v="0"/>
    <n v="605"/>
    <x v="423"/>
    <x v="4"/>
    <s v=""/>
    <s v=""/>
    <x v="337"/>
    <x v="2"/>
    <x v="90"/>
    <m/>
    <x v="69"/>
    <m/>
    <x v="8"/>
    <x v="0"/>
    <x v="81"/>
    <d v="2011-02-06T00:00:00"/>
    <x v="18"/>
    <x v="0"/>
    <m/>
    <s v="Spectrum Shorts - Memory and Loss e Short Film Marathon 2011 Part Two"/>
    <x v="0"/>
    <x v="0"/>
    <m/>
    <x v="0"/>
    <x v="7"/>
    <x v="425"/>
    <x v="8"/>
    <x v="0"/>
    <x v="0"/>
    <x v="81"/>
    <x v="931"/>
  </r>
  <r>
    <x v="0"/>
    <n v="605"/>
    <x v="423"/>
    <x v="4"/>
    <s v=""/>
    <s v=""/>
    <x v="337"/>
    <x v="2"/>
    <x v="146"/>
    <m/>
    <x v="24"/>
    <m/>
    <x v="3"/>
    <x v="0"/>
    <x v="112"/>
    <d v="2011-05-15T00:00:00"/>
    <x v="6"/>
    <x v="0"/>
    <m/>
    <s v="Cinema Emergente"/>
    <x v="102"/>
    <x v="0"/>
    <m/>
    <x v="1"/>
    <x v="7"/>
    <x v="425"/>
    <x v="3"/>
    <x v="113"/>
    <x v="1"/>
    <x v="112"/>
    <x v="932"/>
  </r>
  <r>
    <x v="0"/>
    <n v="605"/>
    <x v="423"/>
    <x v="4"/>
    <s v=""/>
    <s v=""/>
    <x v="337"/>
    <x v="2"/>
    <x v="68"/>
    <m/>
    <x v="53"/>
    <m/>
    <x v="3"/>
    <x v="0"/>
    <x v="64"/>
    <d v="2011-07-17T00:00:00"/>
    <x v="8"/>
    <x v="0"/>
    <m/>
    <s v="Panorama Nacional"/>
    <x v="0"/>
    <x v="0"/>
    <m/>
    <x v="0"/>
    <x v="7"/>
    <x v="425"/>
    <x v="3"/>
    <x v="0"/>
    <x v="1"/>
    <x v="64"/>
    <x v="933"/>
  </r>
  <r>
    <x v="0"/>
    <n v="605"/>
    <x v="423"/>
    <x v="4"/>
    <s v=""/>
    <s v=""/>
    <x v="337"/>
    <x v="2"/>
    <x v="133"/>
    <m/>
    <x v="101"/>
    <m/>
    <x v="3"/>
    <x v="0"/>
    <x v="108"/>
    <d v="2011-12-11T00:00:00"/>
    <x v="12"/>
    <x v="1"/>
    <s v="Sessão Competitiva de Curtas Metragens 2"/>
    <m/>
    <x v="0"/>
    <x v="0"/>
    <m/>
    <x v="0"/>
    <x v="7"/>
    <x v="425"/>
    <x v="3"/>
    <x v="0"/>
    <x v="1"/>
    <x v="108"/>
    <x v="934"/>
  </r>
  <r>
    <x v="0"/>
    <n v="605"/>
    <x v="423"/>
    <x v="4"/>
    <s v=""/>
    <s v=""/>
    <x v="337"/>
    <x v="2"/>
    <x v="18"/>
    <m/>
    <x v="18"/>
    <m/>
    <x v="3"/>
    <x v="0"/>
    <x v="17"/>
    <d v="2011-12-14T00:00:00"/>
    <x v="12"/>
    <x v="0"/>
    <m/>
    <m/>
    <x v="0"/>
    <x v="1"/>
    <m/>
    <x v="0"/>
    <x v="7"/>
    <x v="425"/>
    <x v="3"/>
    <x v="0"/>
    <x v="1"/>
    <x v="17"/>
    <x v="935"/>
  </r>
  <r>
    <x v="0"/>
    <n v="609"/>
    <x v="424"/>
    <x v="0"/>
    <s v="CM"/>
    <s v=""/>
    <x v="0"/>
    <x v="20"/>
    <x v="30"/>
    <m/>
    <x v="28"/>
    <m/>
    <x v="8"/>
    <x v="0"/>
    <x v="28"/>
    <d v="2011-03-20T00:00:00"/>
    <x v="2"/>
    <x v="0"/>
    <m/>
    <s v="A Portuguesa 1 - Journeys"/>
    <x v="0"/>
    <x v="0"/>
    <m/>
    <x v="0"/>
    <x v="0"/>
    <x v="426"/>
    <x v="8"/>
    <x v="0"/>
    <x v="0"/>
    <x v="28"/>
    <x v="936"/>
  </r>
  <r>
    <x v="0"/>
    <n v="609"/>
    <x v="424"/>
    <x v="0"/>
    <s v="CM"/>
    <s v=""/>
    <x v="0"/>
    <x v="20"/>
    <x v="0"/>
    <m/>
    <x v="0"/>
    <m/>
    <x v="0"/>
    <x v="0"/>
    <x v="0"/>
    <d v="2011-11-06T00:00:00"/>
    <x v="0"/>
    <x v="0"/>
    <m/>
    <s v="Foco Portugal: In Focus Miguel Gomes"/>
    <x v="0"/>
    <x v="0"/>
    <m/>
    <x v="0"/>
    <x v="0"/>
    <x v="426"/>
    <x v="0"/>
    <x v="0"/>
    <x v="0"/>
    <x v="0"/>
    <x v="937"/>
  </r>
  <r>
    <x v="0"/>
    <n v="610"/>
    <x v="425"/>
    <x v="4"/>
    <s v=""/>
    <s v=""/>
    <x v="338"/>
    <x v="2"/>
    <x v="26"/>
    <m/>
    <x v="24"/>
    <m/>
    <x v="3"/>
    <x v="0"/>
    <x v="24"/>
    <d v="2011-03-27T00:00:00"/>
    <x v="2"/>
    <x v="1"/>
    <s v="Curtíssimas"/>
    <m/>
    <x v="0"/>
    <x v="0"/>
    <m/>
    <x v="0"/>
    <x v="7"/>
    <x v="427"/>
    <x v="3"/>
    <x v="0"/>
    <x v="1"/>
    <x v="24"/>
    <x v="938"/>
  </r>
  <r>
    <x v="0"/>
    <n v="611"/>
    <x v="426"/>
    <x v="4"/>
    <s v=""/>
    <s v=""/>
    <x v="339"/>
    <x v="2"/>
    <x v="189"/>
    <m/>
    <x v="138"/>
    <m/>
    <x v="42"/>
    <x v="0"/>
    <x v="139"/>
    <d v="2011-10-30T00:00:00"/>
    <x v="14"/>
    <x v="0"/>
    <m/>
    <m/>
    <x v="0"/>
    <x v="0"/>
    <m/>
    <x v="0"/>
    <x v="7"/>
    <x v="428"/>
    <x v="42"/>
    <x v="0"/>
    <x v="0"/>
    <x v="139"/>
    <x v="939"/>
  </r>
  <r>
    <x v="0"/>
    <n v="611"/>
    <x v="426"/>
    <x v="4"/>
    <s v=""/>
    <s v=""/>
    <x v="339"/>
    <x v="2"/>
    <x v="190"/>
    <m/>
    <x v="139"/>
    <m/>
    <x v="10"/>
    <x v="0"/>
    <x v="70"/>
    <d v="2011-11-13T00:00:00"/>
    <x v="13"/>
    <x v="1"/>
    <s v="International Competition"/>
    <m/>
    <x v="0"/>
    <x v="0"/>
    <m/>
    <x v="0"/>
    <x v="7"/>
    <x v="428"/>
    <x v="10"/>
    <x v="0"/>
    <x v="0"/>
    <x v="70"/>
    <x v="940"/>
  </r>
  <r>
    <x v="0"/>
    <n v="612"/>
    <x v="427"/>
    <x v="1"/>
    <s v="CM"/>
    <s v="N"/>
    <x v="340"/>
    <x v="29"/>
    <x v="91"/>
    <m/>
    <x v="70"/>
    <m/>
    <x v="18"/>
    <x v="0"/>
    <x v="82"/>
    <d v="2011-05-06T00:00:00"/>
    <x v="4"/>
    <x v="0"/>
    <m/>
    <s v="Focus On: Portuguese Cinema 1- António Reis &amp; Margarida Cordeiro"/>
    <x v="0"/>
    <x v="0"/>
    <m/>
    <x v="0"/>
    <x v="2"/>
    <x v="429"/>
    <x v="18"/>
    <x v="0"/>
    <x v="0"/>
    <x v="82"/>
    <x v="941"/>
  </r>
  <r>
    <x v="0"/>
    <n v="612"/>
    <x v="427"/>
    <x v="1"/>
    <s v="CM"/>
    <s v="N"/>
    <x v="340"/>
    <x v="29"/>
    <x v="12"/>
    <m/>
    <x v="12"/>
    <m/>
    <x v="2"/>
    <x v="0"/>
    <x v="11"/>
    <d v="2011-09-27T00:00:00"/>
    <x v="9"/>
    <x v="0"/>
    <m/>
    <s v="Etas et Lieux"/>
    <x v="0"/>
    <x v="1"/>
    <m/>
    <x v="0"/>
    <x v="2"/>
    <x v="429"/>
    <x v="2"/>
    <x v="0"/>
    <x v="0"/>
    <x v="11"/>
    <x v="942"/>
  </r>
  <r>
    <x v="0"/>
    <n v="612"/>
    <x v="427"/>
    <x v="1"/>
    <s v="CM"/>
    <s v="N"/>
    <x v="340"/>
    <x v="29"/>
    <x v="38"/>
    <m/>
    <x v="36"/>
    <m/>
    <x v="3"/>
    <x v="0"/>
    <x v="34"/>
    <d v="2011-11-19T00:00:00"/>
    <x v="13"/>
    <x v="0"/>
    <m/>
    <m/>
    <x v="0"/>
    <x v="1"/>
    <m/>
    <x v="0"/>
    <x v="2"/>
    <x v="429"/>
    <x v="3"/>
    <x v="0"/>
    <x v="1"/>
    <x v="34"/>
    <x v="943"/>
  </r>
  <r>
    <x v="0"/>
    <n v="614"/>
    <x v="428"/>
    <x v="2"/>
    <s v="CM"/>
    <s v="S"/>
    <x v="341"/>
    <x v="15"/>
    <x v="55"/>
    <m/>
    <x v="45"/>
    <m/>
    <x v="3"/>
    <x v="0"/>
    <x v="27"/>
    <d v="2011-03-30T00:00:00"/>
    <x v="2"/>
    <x v="0"/>
    <m/>
    <s v="8º Programa: As Escolhas de Nuno Amorim"/>
    <x v="0"/>
    <x v="1"/>
    <m/>
    <x v="0"/>
    <x v="4"/>
    <x v="430"/>
    <x v="3"/>
    <x v="0"/>
    <x v="1"/>
    <x v="27"/>
    <x v="944"/>
  </r>
  <r>
    <x v="0"/>
    <n v="614"/>
    <x v="428"/>
    <x v="2"/>
    <s v="CM"/>
    <s v="S"/>
    <x v="341"/>
    <x v="15"/>
    <x v="257"/>
    <m/>
    <x v="178"/>
    <m/>
    <x v="37"/>
    <x v="0"/>
    <x v="5"/>
    <d v="2011-05-25T00:00:00"/>
    <x v="4"/>
    <x v="0"/>
    <m/>
    <m/>
    <x v="0"/>
    <x v="0"/>
    <m/>
    <x v="0"/>
    <x v="4"/>
    <x v="430"/>
    <x v="37"/>
    <x v="0"/>
    <x v="0"/>
    <x v="5"/>
    <x v="945"/>
  </r>
  <r>
    <x v="0"/>
    <n v="615"/>
    <x v="429"/>
    <x v="4"/>
    <s v=""/>
    <s v=""/>
    <x v="338"/>
    <x v="2"/>
    <x v="26"/>
    <m/>
    <x v="24"/>
    <m/>
    <x v="3"/>
    <x v="0"/>
    <x v="24"/>
    <d v="2011-03-27T00:00:00"/>
    <x v="2"/>
    <x v="0"/>
    <m/>
    <s v="Retrospectiva &quot;20 Anos da ANIMANOSTRA&quot;"/>
    <x v="0"/>
    <x v="0"/>
    <m/>
    <x v="0"/>
    <x v="7"/>
    <x v="431"/>
    <x v="3"/>
    <x v="0"/>
    <x v="1"/>
    <x v="24"/>
    <x v="946"/>
  </r>
  <r>
    <x v="0"/>
    <n v="616"/>
    <x v="430"/>
    <x v="4"/>
    <s v=""/>
    <s v=""/>
    <x v="342"/>
    <x v="2"/>
    <x v="64"/>
    <m/>
    <x v="23"/>
    <m/>
    <x v="3"/>
    <x v="0"/>
    <x v="60"/>
    <d v="2011-05-28T00:00:00"/>
    <x v="6"/>
    <x v="1"/>
    <m/>
    <m/>
    <x v="103"/>
    <x v="1"/>
    <m/>
    <x v="1"/>
    <x v="7"/>
    <x v="432"/>
    <x v="3"/>
    <x v="114"/>
    <x v="1"/>
    <x v="60"/>
    <x v="947"/>
  </r>
  <r>
    <x v="0"/>
    <n v="618"/>
    <x v="431"/>
    <x v="1"/>
    <s v="CM"/>
    <s v="N"/>
    <x v="343"/>
    <x v="5"/>
    <x v="70"/>
    <m/>
    <x v="38"/>
    <m/>
    <x v="3"/>
    <x v="0"/>
    <x v="19"/>
    <d v="2011-09-11T00:00:00"/>
    <x v="9"/>
    <x v="1"/>
    <s v="3ª sessão Competitiva"/>
    <m/>
    <x v="104"/>
    <x v="0"/>
    <m/>
    <x v="1"/>
    <x v="2"/>
    <x v="433"/>
    <x v="3"/>
    <x v="115"/>
    <x v="1"/>
    <x v="19"/>
    <x v="948"/>
  </r>
  <r>
    <x v="0"/>
    <n v="620"/>
    <x v="432"/>
    <x v="4"/>
    <s v=""/>
    <s v=""/>
    <x v="344"/>
    <x v="2"/>
    <x v="207"/>
    <m/>
    <x v="24"/>
    <m/>
    <x v="3"/>
    <x v="0"/>
    <x v="109"/>
    <d v="2011-08-14T00:00:00"/>
    <x v="25"/>
    <x v="0"/>
    <m/>
    <m/>
    <x v="0"/>
    <x v="1"/>
    <m/>
    <x v="0"/>
    <x v="7"/>
    <x v="434"/>
    <x v="3"/>
    <x v="0"/>
    <x v="1"/>
    <x v="109"/>
    <x v="949"/>
  </r>
  <r>
    <x v="0"/>
    <n v="621"/>
    <x v="433"/>
    <x v="4"/>
    <s v=""/>
    <s v=""/>
    <x v="103"/>
    <x v="2"/>
    <x v="282"/>
    <m/>
    <x v="24"/>
    <m/>
    <x v="3"/>
    <x v="0"/>
    <x v="187"/>
    <m/>
    <x v="9"/>
    <x v="0"/>
    <m/>
    <m/>
    <x v="0"/>
    <x v="1"/>
    <m/>
    <x v="0"/>
    <x v="7"/>
    <x v="435"/>
    <x v="3"/>
    <x v="0"/>
    <x v="1"/>
    <x v="187"/>
    <x v="950"/>
  </r>
  <r>
    <x v="0"/>
    <n v="621"/>
    <x v="433"/>
    <x v="4"/>
    <s v=""/>
    <s v=""/>
    <x v="103"/>
    <x v="2"/>
    <x v="25"/>
    <m/>
    <x v="24"/>
    <m/>
    <x v="3"/>
    <x v="0"/>
    <x v="23"/>
    <d v="2011-10-30T00:00:00"/>
    <x v="14"/>
    <x v="0"/>
    <m/>
    <s v="Selecção Portuguesa - Sessões Especiais - Fora de Competição"/>
    <x v="0"/>
    <x v="0"/>
    <m/>
    <x v="0"/>
    <x v="7"/>
    <x v="435"/>
    <x v="3"/>
    <x v="0"/>
    <x v="1"/>
    <x v="23"/>
    <x v="951"/>
  </r>
  <r>
    <x v="0"/>
    <n v="622"/>
    <x v="434"/>
    <x v="4"/>
    <s v=""/>
    <s v=""/>
    <x v="345"/>
    <x v="2"/>
    <x v="180"/>
    <m/>
    <x v="134"/>
    <m/>
    <x v="41"/>
    <x v="0"/>
    <x v="21"/>
    <d v="2011-09-14T00:00:00"/>
    <x v="9"/>
    <x v="0"/>
    <m/>
    <m/>
    <x v="0"/>
    <x v="1"/>
    <m/>
    <x v="0"/>
    <x v="7"/>
    <x v="436"/>
    <x v="41"/>
    <x v="0"/>
    <x v="0"/>
    <x v="21"/>
    <x v="952"/>
  </r>
  <r>
    <x v="0"/>
    <n v="623"/>
    <x v="435"/>
    <x v="1"/>
    <s v="LM"/>
    <s v="S"/>
    <x v="140"/>
    <x v="5"/>
    <x v="8"/>
    <m/>
    <x v="8"/>
    <m/>
    <x v="3"/>
    <x v="0"/>
    <x v="29"/>
    <m/>
    <x v="2"/>
    <x v="0"/>
    <m/>
    <m/>
    <x v="0"/>
    <x v="1"/>
    <m/>
    <x v="0"/>
    <x v="1"/>
    <x v="437"/>
    <x v="3"/>
    <x v="0"/>
    <x v="1"/>
    <x v="29"/>
    <x v="953"/>
  </r>
  <r>
    <x v="0"/>
    <n v="623"/>
    <x v="435"/>
    <x v="1"/>
    <s v="LM"/>
    <s v="S"/>
    <x v="140"/>
    <x v="5"/>
    <x v="156"/>
    <m/>
    <x v="49"/>
    <m/>
    <x v="3"/>
    <x v="0"/>
    <x v="125"/>
    <m/>
    <x v="2"/>
    <x v="0"/>
    <m/>
    <m/>
    <x v="0"/>
    <x v="1"/>
    <m/>
    <x v="0"/>
    <x v="1"/>
    <x v="437"/>
    <x v="3"/>
    <x v="0"/>
    <x v="1"/>
    <x v="125"/>
    <x v="954"/>
  </r>
  <r>
    <x v="0"/>
    <n v="623"/>
    <x v="435"/>
    <x v="1"/>
    <s v="LM"/>
    <s v="S"/>
    <x v="140"/>
    <x v="5"/>
    <x v="283"/>
    <m/>
    <x v="24"/>
    <m/>
    <x v="3"/>
    <x v="0"/>
    <x v="90"/>
    <d v="2011-07-23T00:00:00"/>
    <x v="17"/>
    <x v="0"/>
    <m/>
    <m/>
    <x v="0"/>
    <x v="1"/>
    <m/>
    <x v="0"/>
    <x v="1"/>
    <x v="437"/>
    <x v="3"/>
    <x v="0"/>
    <x v="1"/>
    <x v="90"/>
    <x v="955"/>
  </r>
  <r>
    <x v="0"/>
    <n v="623"/>
    <x v="435"/>
    <x v="1"/>
    <s v="LM"/>
    <s v="S"/>
    <x v="140"/>
    <x v="5"/>
    <x v="284"/>
    <m/>
    <x v="46"/>
    <m/>
    <x v="3"/>
    <x v="0"/>
    <x v="90"/>
    <m/>
    <x v="7"/>
    <x v="0"/>
    <m/>
    <m/>
    <x v="0"/>
    <x v="1"/>
    <m/>
    <x v="0"/>
    <x v="1"/>
    <x v="437"/>
    <x v="3"/>
    <x v="0"/>
    <x v="1"/>
    <x v="90"/>
    <x v="956"/>
  </r>
  <r>
    <x v="0"/>
    <n v="623"/>
    <x v="435"/>
    <x v="1"/>
    <s v="LM"/>
    <s v="S"/>
    <x v="140"/>
    <x v="5"/>
    <x v="101"/>
    <m/>
    <x v="79"/>
    <m/>
    <x v="3"/>
    <x v="0"/>
    <x v="89"/>
    <d v="2011-11-17T00:00:00"/>
    <x v="21"/>
    <x v="0"/>
    <m/>
    <m/>
    <x v="0"/>
    <x v="1"/>
    <m/>
    <x v="0"/>
    <x v="1"/>
    <x v="437"/>
    <x v="3"/>
    <x v="0"/>
    <x v="1"/>
    <x v="89"/>
    <x v="957"/>
  </r>
  <r>
    <x v="0"/>
    <n v="623"/>
    <x v="435"/>
    <x v="1"/>
    <s v="LM"/>
    <s v="S"/>
    <x v="140"/>
    <x v="5"/>
    <x v="285"/>
    <m/>
    <x v="13"/>
    <m/>
    <x v="3"/>
    <x v="0"/>
    <x v="160"/>
    <d v="2011-07-25T00:00:00"/>
    <x v="8"/>
    <x v="0"/>
    <m/>
    <m/>
    <x v="0"/>
    <x v="1"/>
    <m/>
    <x v="0"/>
    <x v="1"/>
    <x v="437"/>
    <x v="3"/>
    <x v="0"/>
    <x v="1"/>
    <x v="160"/>
    <x v="958"/>
  </r>
  <r>
    <x v="0"/>
    <n v="623"/>
    <x v="435"/>
    <x v="1"/>
    <s v="LM"/>
    <s v="S"/>
    <x v="140"/>
    <x v="5"/>
    <x v="58"/>
    <m/>
    <x v="47"/>
    <m/>
    <x v="3"/>
    <x v="0"/>
    <x v="53"/>
    <d v="2011-09-04T00:00:00"/>
    <x v="9"/>
    <x v="0"/>
    <m/>
    <m/>
    <x v="0"/>
    <x v="1"/>
    <m/>
    <x v="0"/>
    <x v="1"/>
    <x v="437"/>
    <x v="3"/>
    <x v="0"/>
    <x v="1"/>
    <x v="53"/>
    <x v="959"/>
  </r>
  <r>
    <x v="0"/>
    <n v="623"/>
    <x v="435"/>
    <x v="1"/>
    <s v="LM"/>
    <s v="S"/>
    <x v="140"/>
    <x v="5"/>
    <x v="10"/>
    <m/>
    <x v="10"/>
    <m/>
    <x v="0"/>
    <x v="0"/>
    <x v="10"/>
    <d v="2011-09-25T00:00:00"/>
    <x v="9"/>
    <x v="1"/>
    <s v="Andorinha Longa Documentário"/>
    <m/>
    <x v="105"/>
    <x v="0"/>
    <m/>
    <x v="1"/>
    <x v="1"/>
    <x v="437"/>
    <x v="0"/>
    <x v="116"/>
    <x v="0"/>
    <x v="10"/>
    <x v="960"/>
  </r>
  <r>
    <x v="0"/>
    <n v="623"/>
    <x v="435"/>
    <x v="1"/>
    <s v="LM"/>
    <s v="S"/>
    <x v="140"/>
    <x v="5"/>
    <x v="286"/>
    <m/>
    <x v="197"/>
    <m/>
    <x v="1"/>
    <x v="0"/>
    <x v="139"/>
    <d v="2011-10-29T00:00:00"/>
    <x v="14"/>
    <x v="0"/>
    <m/>
    <s v="Spanish Cinema "/>
    <x v="0"/>
    <x v="0"/>
    <m/>
    <x v="0"/>
    <x v="1"/>
    <x v="437"/>
    <x v="1"/>
    <x v="0"/>
    <x v="0"/>
    <x v="139"/>
    <x v="961"/>
  </r>
  <r>
    <x v="0"/>
    <n v="623"/>
    <x v="435"/>
    <x v="1"/>
    <s v="LM"/>
    <s v="S"/>
    <x v="140"/>
    <x v="5"/>
    <x v="287"/>
    <m/>
    <x v="65"/>
    <m/>
    <x v="9"/>
    <x v="0"/>
    <x v="188"/>
    <m/>
    <x v="13"/>
    <x v="0"/>
    <m/>
    <m/>
    <x v="0"/>
    <x v="1"/>
    <m/>
    <x v="0"/>
    <x v="1"/>
    <x v="437"/>
    <x v="9"/>
    <x v="0"/>
    <x v="0"/>
    <x v="188"/>
    <x v="962"/>
  </r>
  <r>
    <x v="0"/>
    <n v="623"/>
    <x v="435"/>
    <x v="1"/>
    <s v="LM"/>
    <s v="S"/>
    <x v="140"/>
    <x v="5"/>
    <x v="22"/>
    <m/>
    <x v="22"/>
    <m/>
    <x v="3"/>
    <x v="0"/>
    <x v="20"/>
    <d v="2011-11-17T00:00:00"/>
    <x v="13"/>
    <x v="1"/>
    <s v="Sessão Competitiva 7"/>
    <m/>
    <x v="106"/>
    <x v="0"/>
    <m/>
    <x v="1"/>
    <x v="1"/>
    <x v="437"/>
    <x v="3"/>
    <x v="117"/>
    <x v="1"/>
    <x v="20"/>
    <x v="963"/>
  </r>
  <r>
    <x v="0"/>
    <n v="624"/>
    <x v="436"/>
    <x v="4"/>
    <s v=""/>
    <s v=""/>
    <x v="346"/>
    <x v="2"/>
    <x v="26"/>
    <m/>
    <x v="24"/>
    <m/>
    <x v="3"/>
    <x v="0"/>
    <x v="24"/>
    <d v="2011-03-27T00:00:00"/>
    <x v="2"/>
    <x v="1"/>
    <s v="Curtas de Estudantes"/>
    <m/>
    <x v="107"/>
    <x v="0"/>
    <m/>
    <x v="1"/>
    <x v="7"/>
    <x v="438"/>
    <x v="3"/>
    <x v="118"/>
    <x v="1"/>
    <x v="24"/>
    <x v="964"/>
  </r>
  <r>
    <x v="0"/>
    <n v="626"/>
    <x v="437"/>
    <x v="0"/>
    <s v="LM"/>
    <s v="S"/>
    <x v="70"/>
    <x v="2"/>
    <x v="257"/>
    <m/>
    <x v="178"/>
    <m/>
    <x v="37"/>
    <x v="0"/>
    <x v="5"/>
    <d v="2011-05-25T00:00:00"/>
    <x v="4"/>
    <x v="0"/>
    <m/>
    <m/>
    <x v="0"/>
    <x v="0"/>
    <m/>
    <x v="0"/>
    <x v="5"/>
    <x v="439"/>
    <x v="37"/>
    <x v="0"/>
    <x v="0"/>
    <x v="5"/>
    <x v="965"/>
  </r>
  <r>
    <x v="0"/>
    <n v="626"/>
    <x v="437"/>
    <x v="0"/>
    <s v="LM"/>
    <s v="S"/>
    <x v="70"/>
    <x v="2"/>
    <x v="145"/>
    <m/>
    <x v="111"/>
    <m/>
    <x v="33"/>
    <x v="0"/>
    <x v="117"/>
    <d v="2011-07-26T00:00:00"/>
    <x v="8"/>
    <x v="0"/>
    <m/>
    <m/>
    <x v="0"/>
    <x v="1"/>
    <m/>
    <x v="0"/>
    <x v="5"/>
    <x v="439"/>
    <x v="33"/>
    <x v="0"/>
    <x v="0"/>
    <x v="117"/>
    <x v="966"/>
  </r>
  <r>
    <x v="0"/>
    <n v="626"/>
    <x v="437"/>
    <x v="0"/>
    <s v="LM"/>
    <s v="S"/>
    <x v="70"/>
    <x v="2"/>
    <x v="228"/>
    <m/>
    <x v="159"/>
    <m/>
    <x v="46"/>
    <x v="0"/>
    <x v="39"/>
    <d v="2011-11-20T00:00:00"/>
    <x v="0"/>
    <x v="0"/>
    <m/>
    <m/>
    <x v="0"/>
    <x v="0"/>
    <m/>
    <x v="0"/>
    <x v="5"/>
    <x v="439"/>
    <x v="46"/>
    <x v="0"/>
    <x v="0"/>
    <x v="39"/>
    <x v="967"/>
  </r>
  <r>
    <x v="0"/>
    <n v="628"/>
    <x v="438"/>
    <x v="0"/>
    <s v="CM"/>
    <s v="N"/>
    <x v="347"/>
    <x v="5"/>
    <x v="67"/>
    <m/>
    <x v="23"/>
    <m/>
    <x v="3"/>
    <x v="0"/>
    <x v="63"/>
    <d v="2011-06-12T00:00:00"/>
    <x v="7"/>
    <x v="1"/>
    <s v="Sessão Competitiva 7"/>
    <m/>
    <x v="0"/>
    <x v="0"/>
    <m/>
    <x v="0"/>
    <x v="0"/>
    <x v="440"/>
    <x v="3"/>
    <x v="0"/>
    <x v="1"/>
    <x v="63"/>
    <x v="968"/>
  </r>
  <r>
    <x v="0"/>
    <n v="628"/>
    <x v="438"/>
    <x v="0"/>
    <s v="CM"/>
    <s v="N"/>
    <x v="347"/>
    <x v="5"/>
    <x v="78"/>
    <m/>
    <x v="59"/>
    <m/>
    <x v="3"/>
    <x v="0"/>
    <x v="66"/>
    <d v="2011-10-30T00:00:00"/>
    <x v="14"/>
    <x v="1"/>
    <s v="Competição Nacional"/>
    <m/>
    <x v="0"/>
    <x v="0"/>
    <m/>
    <x v="0"/>
    <x v="0"/>
    <x v="440"/>
    <x v="3"/>
    <x v="0"/>
    <x v="1"/>
    <x v="66"/>
    <x v="969"/>
  </r>
  <r>
    <x v="0"/>
    <n v="629"/>
    <x v="439"/>
    <x v="0"/>
    <s v="LM"/>
    <s v="S"/>
    <x v="348"/>
    <x v="15"/>
    <x v="12"/>
    <m/>
    <x v="12"/>
    <m/>
    <x v="2"/>
    <x v="0"/>
    <x v="11"/>
    <d v="2011-09-27T00:00:00"/>
    <x v="9"/>
    <x v="0"/>
    <m/>
    <s v="Etas et Lieux"/>
    <x v="0"/>
    <x v="1"/>
    <m/>
    <x v="0"/>
    <x v="5"/>
    <x v="441"/>
    <x v="2"/>
    <x v="0"/>
    <x v="0"/>
    <x v="11"/>
    <x v="970"/>
  </r>
  <r>
    <x v="0"/>
    <n v="629"/>
    <x v="439"/>
    <x v="0"/>
    <s v="LM"/>
    <s v="S"/>
    <x v="348"/>
    <x v="15"/>
    <x v="168"/>
    <m/>
    <x v="128"/>
    <m/>
    <x v="1"/>
    <x v="0"/>
    <x v="92"/>
    <d v="2011-11-25T00:00:00"/>
    <x v="13"/>
    <x v="0"/>
    <m/>
    <m/>
    <x v="0"/>
    <x v="1"/>
    <m/>
    <x v="0"/>
    <x v="5"/>
    <x v="441"/>
    <x v="1"/>
    <x v="0"/>
    <x v="0"/>
    <x v="92"/>
    <x v="971"/>
  </r>
  <r>
    <x v="0"/>
    <n v="630"/>
    <x v="440"/>
    <x v="4"/>
    <s v=""/>
    <s v=""/>
    <x v="349"/>
    <x v="2"/>
    <x v="63"/>
    <m/>
    <x v="24"/>
    <m/>
    <x v="3"/>
    <x v="0"/>
    <x v="59"/>
    <d v="2011-05-01T00:00:00"/>
    <x v="4"/>
    <x v="0"/>
    <m/>
    <s v="Cinema para a Inclusão"/>
    <x v="0"/>
    <x v="0"/>
    <m/>
    <x v="0"/>
    <x v="7"/>
    <x v="442"/>
    <x v="3"/>
    <x v="0"/>
    <x v="1"/>
    <x v="59"/>
    <x v="972"/>
  </r>
  <r>
    <x v="0"/>
    <n v="632"/>
    <x v="441"/>
    <x v="4"/>
    <s v=""/>
    <s v=""/>
    <x v="350"/>
    <x v="2"/>
    <x v="120"/>
    <m/>
    <x v="83"/>
    <m/>
    <x v="3"/>
    <x v="0"/>
    <x v="16"/>
    <d v="2011-12-04T00:00:00"/>
    <x v="12"/>
    <x v="1"/>
    <s v="Cinéfilos: Ficção"/>
    <m/>
    <x v="0"/>
    <x v="0"/>
    <m/>
    <x v="0"/>
    <x v="7"/>
    <x v="443"/>
    <x v="3"/>
    <x v="0"/>
    <x v="1"/>
    <x v="16"/>
    <x v="973"/>
  </r>
  <r>
    <x v="0"/>
    <n v="633"/>
    <x v="442"/>
    <x v="0"/>
    <s v="CM"/>
    <s v=""/>
    <x v="0"/>
    <x v="12"/>
    <x v="0"/>
    <m/>
    <x v="0"/>
    <m/>
    <x v="0"/>
    <x v="0"/>
    <x v="0"/>
    <d v="2011-11-06T00:00:00"/>
    <x v="0"/>
    <x v="0"/>
    <m/>
    <s v="Foco Portugal: In Focus Miguel Gomes"/>
    <x v="0"/>
    <x v="0"/>
    <m/>
    <x v="0"/>
    <x v="0"/>
    <x v="444"/>
    <x v="0"/>
    <x v="0"/>
    <x v="0"/>
    <x v="0"/>
    <x v="974"/>
  </r>
  <r>
    <x v="0"/>
    <n v="634"/>
    <x v="443"/>
    <x v="4"/>
    <s v=""/>
    <s v=""/>
    <x v="351"/>
    <x v="2"/>
    <x v="68"/>
    <m/>
    <x v="53"/>
    <m/>
    <x v="3"/>
    <x v="0"/>
    <x v="64"/>
    <d v="2011-07-17T00:00:00"/>
    <x v="8"/>
    <x v="1"/>
    <s v="Vídeos Musicais"/>
    <m/>
    <x v="0"/>
    <x v="0"/>
    <m/>
    <x v="0"/>
    <x v="7"/>
    <x v="445"/>
    <x v="3"/>
    <x v="0"/>
    <x v="1"/>
    <x v="64"/>
    <x v="975"/>
  </r>
  <r>
    <x v="0"/>
    <n v="635"/>
    <x v="444"/>
    <x v="0"/>
    <s v="CM"/>
    <s v="N"/>
    <x v="352"/>
    <x v="2"/>
    <x v="68"/>
    <m/>
    <x v="53"/>
    <m/>
    <x v="3"/>
    <x v="0"/>
    <x v="64"/>
    <d v="2011-07-17T00:00:00"/>
    <x v="8"/>
    <x v="1"/>
    <s v="Take One!"/>
    <m/>
    <x v="0"/>
    <x v="0"/>
    <m/>
    <x v="0"/>
    <x v="0"/>
    <x v="446"/>
    <x v="3"/>
    <x v="0"/>
    <x v="1"/>
    <x v="64"/>
    <x v="976"/>
  </r>
  <r>
    <x v="0"/>
    <n v="635"/>
    <x v="444"/>
    <x v="0"/>
    <s v="CM"/>
    <s v="N"/>
    <x v="352"/>
    <x v="2"/>
    <x v="80"/>
    <m/>
    <x v="60"/>
    <m/>
    <x v="3"/>
    <x v="0"/>
    <x v="70"/>
    <d v="2011-11-13T00:00:00"/>
    <x v="13"/>
    <x v="0"/>
    <m/>
    <s v="Encontros das Escolas Europeias de Cinema"/>
    <x v="0"/>
    <x v="0"/>
    <m/>
    <x v="0"/>
    <x v="0"/>
    <x v="446"/>
    <x v="3"/>
    <x v="0"/>
    <x v="1"/>
    <x v="70"/>
    <x v="977"/>
  </r>
  <r>
    <x v="0"/>
    <n v="636"/>
    <x v="445"/>
    <x v="0"/>
    <s v="LM"/>
    <s v="S"/>
    <x v="194"/>
    <x v="2"/>
    <x v="82"/>
    <m/>
    <x v="62"/>
    <m/>
    <x v="3"/>
    <x v="0"/>
    <x v="72"/>
    <d v="2011-11-13T00:00:00"/>
    <x v="13"/>
    <x v="0"/>
    <m/>
    <m/>
    <x v="0"/>
    <x v="1"/>
    <m/>
    <x v="0"/>
    <x v="5"/>
    <x v="447"/>
    <x v="3"/>
    <x v="0"/>
    <x v="1"/>
    <x v="72"/>
    <x v="978"/>
  </r>
  <r>
    <x v="0"/>
    <n v="638"/>
    <x v="446"/>
    <x v="4"/>
    <s v=""/>
    <s v=""/>
    <x v="47"/>
    <x v="2"/>
    <x v="99"/>
    <m/>
    <x v="78"/>
    <m/>
    <x v="20"/>
    <x v="0"/>
    <x v="69"/>
    <d v="2011-11-13T00:00:00"/>
    <x v="13"/>
    <x v="0"/>
    <m/>
    <s v="Focus on Edgar Pêra - Programme 3"/>
    <x v="0"/>
    <x v="0"/>
    <m/>
    <x v="0"/>
    <x v="7"/>
    <x v="448"/>
    <x v="20"/>
    <x v="0"/>
    <x v="0"/>
    <x v="69"/>
    <x v="979"/>
  </r>
  <r>
    <x v="0"/>
    <n v="639"/>
    <x v="447"/>
    <x v="0"/>
    <s v="CM"/>
    <s v="S"/>
    <x v="353"/>
    <x v="1"/>
    <x v="39"/>
    <m/>
    <x v="23"/>
    <m/>
    <x v="3"/>
    <x v="0"/>
    <x v="163"/>
    <m/>
    <x v="9"/>
    <x v="0"/>
    <m/>
    <m/>
    <x v="0"/>
    <x v="1"/>
    <m/>
    <x v="0"/>
    <x v="0"/>
    <x v="449"/>
    <x v="3"/>
    <x v="0"/>
    <x v="1"/>
    <x v="163"/>
    <x v="980"/>
  </r>
  <r>
    <x v="0"/>
    <n v="640"/>
    <x v="448"/>
    <x v="0"/>
    <s v="LM"/>
    <s v="S"/>
    <x v="212"/>
    <x v="2"/>
    <x v="288"/>
    <m/>
    <x v="198"/>
    <m/>
    <x v="29"/>
    <x v="0"/>
    <x v="152"/>
    <d v="2011-05-15T00:00:00"/>
    <x v="6"/>
    <x v="0"/>
    <m/>
    <m/>
    <x v="0"/>
    <x v="1"/>
    <m/>
    <x v="0"/>
    <x v="5"/>
    <x v="450"/>
    <x v="29"/>
    <x v="0"/>
    <x v="0"/>
    <x v="152"/>
    <x v="981"/>
  </r>
  <r>
    <x v="0"/>
    <n v="640"/>
    <x v="448"/>
    <x v="0"/>
    <s v="LM"/>
    <s v="S"/>
    <x v="212"/>
    <x v="2"/>
    <x v="289"/>
    <m/>
    <x v="199"/>
    <m/>
    <x v="33"/>
    <x v="0"/>
    <x v="189"/>
    <d v="2011-10-09T00:00:00"/>
    <x v="14"/>
    <x v="0"/>
    <m/>
    <m/>
    <x v="0"/>
    <x v="1"/>
    <m/>
    <x v="0"/>
    <x v="5"/>
    <x v="450"/>
    <x v="33"/>
    <x v="0"/>
    <x v="0"/>
    <x v="189"/>
    <x v="982"/>
  </r>
  <r>
    <x v="0"/>
    <n v="642"/>
    <x v="449"/>
    <x v="1"/>
    <s v="LM"/>
    <s v="S"/>
    <x v="162"/>
    <x v="3"/>
    <x v="25"/>
    <m/>
    <x v="24"/>
    <m/>
    <x v="3"/>
    <x v="0"/>
    <x v="23"/>
    <d v="2011-10-30T00:00:00"/>
    <x v="14"/>
    <x v="0"/>
    <m/>
    <s v="Selecção Portuguesa - Sessões Especiais - Fora de Competição"/>
    <x v="0"/>
    <x v="0"/>
    <m/>
    <x v="0"/>
    <x v="1"/>
    <x v="451"/>
    <x v="3"/>
    <x v="0"/>
    <x v="1"/>
    <x v="23"/>
    <x v="983"/>
  </r>
  <r>
    <x v="0"/>
    <n v="642"/>
    <x v="449"/>
    <x v="1"/>
    <s v="LM"/>
    <s v="S"/>
    <x v="162"/>
    <x v="3"/>
    <x v="22"/>
    <m/>
    <x v="22"/>
    <m/>
    <x v="3"/>
    <x v="0"/>
    <x v="20"/>
    <d v="2011-11-17T00:00:00"/>
    <x v="13"/>
    <x v="1"/>
    <s v="Sessão Competitiva 13"/>
    <m/>
    <x v="0"/>
    <x v="0"/>
    <m/>
    <x v="0"/>
    <x v="1"/>
    <x v="451"/>
    <x v="3"/>
    <x v="0"/>
    <x v="1"/>
    <x v="20"/>
    <x v="984"/>
  </r>
  <r>
    <x v="0"/>
    <n v="642"/>
    <x v="449"/>
    <x v="1"/>
    <s v="LM"/>
    <s v="S"/>
    <x v="162"/>
    <x v="3"/>
    <x v="21"/>
    <m/>
    <x v="21"/>
    <m/>
    <x v="3"/>
    <x v="0"/>
    <x v="15"/>
    <d v="2011-12-03T00:00:00"/>
    <x v="12"/>
    <x v="1"/>
    <s v="Documentários (média e longa metragem)"/>
    <m/>
    <x v="0"/>
    <x v="0"/>
    <m/>
    <x v="0"/>
    <x v="1"/>
    <x v="451"/>
    <x v="3"/>
    <x v="0"/>
    <x v="1"/>
    <x v="15"/>
    <x v="985"/>
  </r>
  <r>
    <x v="0"/>
    <n v="644"/>
    <x v="450"/>
    <x v="4"/>
    <s v=""/>
    <s v=""/>
    <x v="354"/>
    <x v="2"/>
    <x v="251"/>
    <m/>
    <x v="24"/>
    <m/>
    <x v="3"/>
    <x v="0"/>
    <x v="170"/>
    <d v="2011-11-20T00:00:00"/>
    <x v="13"/>
    <x v="0"/>
    <m/>
    <m/>
    <x v="0"/>
    <x v="1"/>
    <m/>
    <x v="0"/>
    <x v="7"/>
    <x v="452"/>
    <x v="3"/>
    <x v="0"/>
    <x v="1"/>
    <x v="170"/>
    <x v="986"/>
  </r>
  <r>
    <x v="0"/>
    <n v="647"/>
    <x v="451"/>
    <x v="4"/>
    <s v=""/>
    <s v=""/>
    <x v="355"/>
    <x v="2"/>
    <x v="253"/>
    <m/>
    <x v="91"/>
    <m/>
    <x v="28"/>
    <x v="0"/>
    <x v="172"/>
    <d v="2011-10-16T00:00:00"/>
    <x v="14"/>
    <x v="1"/>
    <s v="Cortometraje Latino Americano"/>
    <m/>
    <x v="0"/>
    <x v="0"/>
    <m/>
    <x v="0"/>
    <x v="7"/>
    <x v="453"/>
    <x v="28"/>
    <x v="0"/>
    <x v="0"/>
    <x v="172"/>
    <x v="987"/>
  </r>
  <r>
    <x v="0"/>
    <n v="648"/>
    <x v="452"/>
    <x v="4"/>
    <s v=""/>
    <s v=""/>
    <x v="297"/>
    <x v="2"/>
    <x v="34"/>
    <m/>
    <x v="32"/>
    <m/>
    <x v="3"/>
    <x v="0"/>
    <x v="31"/>
    <d v="2011-05-15T00:00:00"/>
    <x v="6"/>
    <x v="1"/>
    <m/>
    <m/>
    <x v="0"/>
    <x v="0"/>
    <m/>
    <x v="0"/>
    <x v="7"/>
    <x v="454"/>
    <x v="3"/>
    <x v="0"/>
    <x v="1"/>
    <x v="31"/>
    <x v="988"/>
  </r>
  <r>
    <x v="0"/>
    <n v="654"/>
    <x v="453"/>
    <x v="4"/>
    <s v=""/>
    <s v=""/>
    <x v="356"/>
    <x v="2"/>
    <x v="22"/>
    <m/>
    <x v="22"/>
    <m/>
    <x v="3"/>
    <x v="0"/>
    <x v="20"/>
    <d v="2011-11-17T00:00:00"/>
    <x v="13"/>
    <x v="1"/>
    <s v="Sessão Competitiva 17"/>
    <s v="Caminhos Juniores"/>
    <x v="0"/>
    <x v="0"/>
    <m/>
    <x v="0"/>
    <x v="7"/>
    <x v="455"/>
    <x v="3"/>
    <x v="0"/>
    <x v="1"/>
    <x v="20"/>
    <x v="989"/>
  </r>
  <r>
    <x v="0"/>
    <n v="656"/>
    <x v="454"/>
    <x v="1"/>
    <s v="LM"/>
    <s v="N"/>
    <x v="357"/>
    <x v="5"/>
    <x v="182"/>
    <m/>
    <x v="17"/>
    <m/>
    <x v="2"/>
    <x v="0"/>
    <x v="29"/>
    <d v="2011-04-05T00:00:00"/>
    <x v="3"/>
    <x v="1"/>
    <s v="Compétition internationale Premiers Films"/>
    <m/>
    <x v="0"/>
    <x v="0"/>
    <m/>
    <x v="0"/>
    <x v="1"/>
    <x v="456"/>
    <x v="2"/>
    <x v="0"/>
    <x v="0"/>
    <x v="29"/>
    <x v="990"/>
  </r>
  <r>
    <x v="0"/>
    <n v="656"/>
    <x v="454"/>
    <x v="1"/>
    <s v="LM"/>
    <s v="N"/>
    <x v="357"/>
    <x v="5"/>
    <x v="106"/>
    <m/>
    <x v="82"/>
    <m/>
    <x v="21"/>
    <x v="0"/>
    <x v="19"/>
    <d v="2011-09-18T00:00:00"/>
    <x v="9"/>
    <x v="0"/>
    <m/>
    <s v="Janela Aberta"/>
    <x v="0"/>
    <x v="0"/>
    <m/>
    <x v="0"/>
    <x v="1"/>
    <x v="456"/>
    <x v="21"/>
    <x v="0"/>
    <x v="0"/>
    <x v="19"/>
    <x v="991"/>
  </r>
  <r>
    <x v="0"/>
    <n v="656"/>
    <x v="454"/>
    <x v="1"/>
    <s v="LM"/>
    <s v="N"/>
    <x v="357"/>
    <x v="5"/>
    <x v="290"/>
    <m/>
    <x v="165"/>
    <m/>
    <x v="4"/>
    <x v="0"/>
    <x v="106"/>
    <d v="2011-09-21T00:00:00"/>
    <x v="9"/>
    <x v="0"/>
    <m/>
    <s v="Diálogo África Europa /Diálogo Interno, el movimiento del ser. Foco África"/>
    <x v="0"/>
    <x v="0"/>
    <m/>
    <x v="0"/>
    <x v="1"/>
    <x v="456"/>
    <x v="4"/>
    <x v="0"/>
    <x v="0"/>
    <x v="106"/>
    <x v="992"/>
  </r>
  <r>
    <x v="0"/>
    <n v="656"/>
    <x v="454"/>
    <x v="1"/>
    <s v="LM"/>
    <s v="N"/>
    <x v="357"/>
    <x v="5"/>
    <x v="281"/>
    <m/>
    <x v="23"/>
    <m/>
    <x v="3"/>
    <x v="0"/>
    <x v="165"/>
    <d v="2011-10-08T00:00:00"/>
    <x v="14"/>
    <x v="0"/>
    <m/>
    <m/>
    <x v="0"/>
    <x v="1"/>
    <m/>
    <x v="0"/>
    <x v="1"/>
    <x v="456"/>
    <x v="3"/>
    <x v="0"/>
    <x v="1"/>
    <x v="165"/>
    <x v="993"/>
  </r>
  <r>
    <x v="0"/>
    <n v="656"/>
    <x v="454"/>
    <x v="1"/>
    <s v="LM"/>
    <s v="N"/>
    <x v="357"/>
    <x v="5"/>
    <x v="291"/>
    <m/>
    <x v="200"/>
    <m/>
    <x v="3"/>
    <x v="0"/>
    <x v="156"/>
    <m/>
    <x v="14"/>
    <x v="0"/>
    <m/>
    <m/>
    <x v="0"/>
    <x v="1"/>
    <m/>
    <x v="0"/>
    <x v="1"/>
    <x v="456"/>
    <x v="3"/>
    <x v="0"/>
    <x v="1"/>
    <x v="156"/>
    <x v="994"/>
  </r>
  <r>
    <x v="0"/>
    <n v="656"/>
    <x v="454"/>
    <x v="1"/>
    <s v="LM"/>
    <s v="N"/>
    <x v="357"/>
    <x v="5"/>
    <x v="292"/>
    <m/>
    <x v="15"/>
    <m/>
    <x v="3"/>
    <x v="0"/>
    <x v="156"/>
    <m/>
    <x v="14"/>
    <x v="0"/>
    <m/>
    <m/>
    <x v="0"/>
    <x v="1"/>
    <m/>
    <x v="0"/>
    <x v="1"/>
    <x v="456"/>
    <x v="3"/>
    <x v="0"/>
    <x v="1"/>
    <x v="156"/>
    <x v="995"/>
  </r>
  <r>
    <x v="0"/>
    <n v="656"/>
    <x v="454"/>
    <x v="1"/>
    <s v="LM"/>
    <s v="N"/>
    <x v="357"/>
    <x v="5"/>
    <x v="293"/>
    <m/>
    <x v="201"/>
    <m/>
    <x v="1"/>
    <x v="0"/>
    <x v="0"/>
    <d v="2011-11-05T00:00:00"/>
    <x v="0"/>
    <x v="0"/>
    <m/>
    <m/>
    <x v="0"/>
    <x v="0"/>
    <m/>
    <x v="0"/>
    <x v="1"/>
    <x v="456"/>
    <x v="1"/>
    <x v="0"/>
    <x v="0"/>
    <x v="0"/>
    <x v="996"/>
  </r>
  <r>
    <x v="0"/>
    <n v="656"/>
    <x v="454"/>
    <x v="1"/>
    <s v="LM"/>
    <s v="N"/>
    <x v="357"/>
    <x v="5"/>
    <x v="13"/>
    <m/>
    <x v="13"/>
    <m/>
    <x v="3"/>
    <x v="0"/>
    <x v="120"/>
    <m/>
    <x v="13"/>
    <x v="0"/>
    <m/>
    <m/>
    <x v="0"/>
    <x v="1"/>
    <m/>
    <x v="0"/>
    <x v="1"/>
    <x v="456"/>
    <x v="3"/>
    <x v="0"/>
    <x v="1"/>
    <x v="120"/>
    <x v="997"/>
  </r>
  <r>
    <x v="0"/>
    <n v="657"/>
    <x v="455"/>
    <x v="0"/>
    <s v="CM"/>
    <s v="N"/>
    <x v="358"/>
    <x v="5"/>
    <x v="146"/>
    <m/>
    <x v="24"/>
    <m/>
    <x v="3"/>
    <x v="0"/>
    <x v="112"/>
    <d v="2011-05-15T00:00:00"/>
    <x v="6"/>
    <x v="0"/>
    <m/>
    <s v="Cinema Emergente"/>
    <x v="102"/>
    <x v="0"/>
    <m/>
    <x v="1"/>
    <x v="0"/>
    <x v="457"/>
    <x v="3"/>
    <x v="113"/>
    <x v="1"/>
    <x v="112"/>
    <x v="998"/>
  </r>
  <r>
    <x v="0"/>
    <n v="657"/>
    <x v="455"/>
    <x v="0"/>
    <s v="CM"/>
    <s v="N"/>
    <x v="358"/>
    <x v="5"/>
    <x v="147"/>
    <m/>
    <x v="112"/>
    <m/>
    <x v="34"/>
    <x v="0"/>
    <x v="48"/>
    <d v="2011-08-13T00:00:00"/>
    <x v="16"/>
    <x v="1"/>
    <s v="Pardi di Domani: Concorso Internazionale "/>
    <m/>
    <x v="108"/>
    <x v="0"/>
    <m/>
    <x v="1"/>
    <x v="0"/>
    <x v="457"/>
    <x v="34"/>
    <x v="119"/>
    <x v="0"/>
    <x v="48"/>
    <x v="999"/>
  </r>
  <r>
    <x v="0"/>
    <n v="657"/>
    <x v="455"/>
    <x v="0"/>
    <s v="CM"/>
    <s v="N"/>
    <x v="358"/>
    <x v="5"/>
    <x v="273"/>
    <m/>
    <x v="115"/>
    <m/>
    <x v="36"/>
    <x v="0"/>
    <x v="184"/>
    <m/>
    <x v="14"/>
    <x v="0"/>
    <m/>
    <m/>
    <x v="0"/>
    <x v="1"/>
    <m/>
    <x v="0"/>
    <x v="0"/>
    <x v="457"/>
    <x v="36"/>
    <x v="0"/>
    <x v="0"/>
    <x v="184"/>
    <x v="1000"/>
  </r>
  <r>
    <x v="0"/>
    <n v="657"/>
    <x v="455"/>
    <x v="0"/>
    <s v="CM"/>
    <s v="N"/>
    <x v="358"/>
    <x v="5"/>
    <x v="149"/>
    <m/>
    <x v="114"/>
    <m/>
    <x v="35"/>
    <x v="0"/>
    <x v="23"/>
    <d v="2011-11-02T00:00:00"/>
    <x v="0"/>
    <x v="0"/>
    <m/>
    <s v="Kurzfilmprogramm 1: Die Ränder der Welt"/>
    <x v="0"/>
    <x v="0"/>
    <m/>
    <x v="0"/>
    <x v="0"/>
    <x v="457"/>
    <x v="35"/>
    <x v="0"/>
    <x v="0"/>
    <x v="23"/>
    <x v="1001"/>
  </r>
  <r>
    <x v="0"/>
    <n v="657"/>
    <x v="455"/>
    <x v="0"/>
    <s v="CM"/>
    <s v="N"/>
    <x v="358"/>
    <x v="5"/>
    <x v="96"/>
    <m/>
    <x v="75"/>
    <m/>
    <x v="15"/>
    <x v="0"/>
    <x v="87"/>
    <m/>
    <x v="12"/>
    <x v="0"/>
    <m/>
    <m/>
    <x v="0"/>
    <x v="1"/>
    <m/>
    <x v="0"/>
    <x v="0"/>
    <x v="457"/>
    <x v="15"/>
    <x v="0"/>
    <x v="0"/>
    <x v="87"/>
    <x v="1002"/>
  </r>
  <r>
    <x v="0"/>
    <n v="658"/>
    <x v="456"/>
    <x v="1"/>
    <s v="LM"/>
    <s v=""/>
    <x v="30"/>
    <x v="3"/>
    <x v="25"/>
    <m/>
    <x v="24"/>
    <m/>
    <x v="3"/>
    <x v="0"/>
    <x v="23"/>
    <d v="2011-10-30T00:00:00"/>
    <x v="14"/>
    <x v="0"/>
    <m/>
    <s v="Selecção Portuguesa - Sessões Especiais - Fora de Competição"/>
    <x v="0"/>
    <x v="0"/>
    <m/>
    <x v="0"/>
    <x v="1"/>
    <x v="458"/>
    <x v="3"/>
    <x v="0"/>
    <x v="1"/>
    <x v="23"/>
    <x v="1003"/>
  </r>
  <r>
    <x v="0"/>
    <n v="659"/>
    <x v="457"/>
    <x v="4"/>
    <s v=""/>
    <s v=""/>
    <x v="35"/>
    <x v="2"/>
    <x v="156"/>
    <m/>
    <x v="49"/>
    <m/>
    <x v="3"/>
    <x v="0"/>
    <x v="185"/>
    <m/>
    <x v="1"/>
    <x v="0"/>
    <m/>
    <m/>
    <x v="0"/>
    <x v="1"/>
    <m/>
    <x v="0"/>
    <x v="7"/>
    <x v="459"/>
    <x v="3"/>
    <x v="0"/>
    <x v="1"/>
    <x v="185"/>
    <x v="1004"/>
  </r>
  <r>
    <x v="0"/>
    <n v="663"/>
    <x v="458"/>
    <x v="1"/>
    <s v="LM"/>
    <s v="S"/>
    <x v="359"/>
    <x v="3"/>
    <x v="146"/>
    <m/>
    <x v="24"/>
    <m/>
    <x v="3"/>
    <x v="0"/>
    <x v="112"/>
    <d v="2011-05-15T00:00:00"/>
    <x v="6"/>
    <x v="0"/>
    <m/>
    <s v="Cinema Emergente"/>
    <x v="109"/>
    <x v="0"/>
    <m/>
    <x v="1"/>
    <x v="1"/>
    <x v="460"/>
    <x v="3"/>
    <x v="120"/>
    <x v="1"/>
    <x v="112"/>
    <x v="1005"/>
  </r>
  <r>
    <x v="0"/>
    <n v="663"/>
    <x v="458"/>
    <x v="1"/>
    <s v="LM"/>
    <s v="S"/>
    <x v="359"/>
    <x v="3"/>
    <x v="149"/>
    <m/>
    <x v="114"/>
    <m/>
    <x v="35"/>
    <x v="0"/>
    <x v="23"/>
    <d v="2011-11-02T00:00:00"/>
    <x v="0"/>
    <x v="0"/>
    <m/>
    <s v="Short Films"/>
    <x v="0"/>
    <x v="0"/>
    <m/>
    <x v="0"/>
    <x v="1"/>
    <x v="460"/>
    <x v="35"/>
    <x v="0"/>
    <x v="0"/>
    <x v="23"/>
    <x v="1006"/>
  </r>
  <r>
    <x v="0"/>
    <n v="663"/>
    <x v="458"/>
    <x v="1"/>
    <s v="LM"/>
    <s v="S"/>
    <x v="359"/>
    <x v="3"/>
    <x v="294"/>
    <m/>
    <x v="58"/>
    <m/>
    <x v="17"/>
    <x v="0"/>
    <x v="36"/>
    <d v="2011-11-30T00:00:00"/>
    <x v="13"/>
    <x v="0"/>
    <m/>
    <m/>
    <x v="0"/>
    <x v="1"/>
    <m/>
    <x v="0"/>
    <x v="1"/>
    <x v="460"/>
    <x v="17"/>
    <x v="0"/>
    <x v="0"/>
    <x v="36"/>
    <x v="1007"/>
  </r>
  <r>
    <x v="0"/>
    <n v="663"/>
    <x v="458"/>
    <x v="1"/>
    <s v="LM"/>
    <s v="S"/>
    <x v="359"/>
    <x v="3"/>
    <x v="16"/>
    <m/>
    <x v="16"/>
    <m/>
    <x v="1"/>
    <x v="0"/>
    <x v="15"/>
    <d v="2011-12-17T00:00:00"/>
    <x v="12"/>
    <x v="0"/>
    <m/>
    <m/>
    <x v="0"/>
    <x v="1"/>
    <m/>
    <x v="0"/>
    <x v="1"/>
    <x v="460"/>
    <x v="1"/>
    <x v="0"/>
    <x v="0"/>
    <x v="15"/>
    <x v="1008"/>
  </r>
  <r>
    <x v="0"/>
    <n v="663"/>
    <x v="458"/>
    <x v="1"/>
    <s v="LM"/>
    <s v="S"/>
    <x v="359"/>
    <x v="3"/>
    <x v="133"/>
    <m/>
    <x v="101"/>
    <m/>
    <x v="3"/>
    <x v="0"/>
    <x v="108"/>
    <d v="2011-12-11T00:00:00"/>
    <x v="12"/>
    <x v="1"/>
    <s v="Documentários"/>
    <m/>
    <x v="0"/>
    <x v="0"/>
    <m/>
    <x v="0"/>
    <x v="1"/>
    <x v="460"/>
    <x v="3"/>
    <x v="0"/>
    <x v="1"/>
    <x v="108"/>
    <x v="1009"/>
  </r>
  <r>
    <x v="0"/>
    <n v="664"/>
    <x v="459"/>
    <x v="0"/>
    <s v="CM"/>
    <s v="N"/>
    <x v="360"/>
    <x v="2"/>
    <x v="48"/>
    <m/>
    <x v="24"/>
    <m/>
    <x v="3"/>
    <x v="0"/>
    <x v="21"/>
    <d v="2011-09-11T00:00:00"/>
    <x v="9"/>
    <x v="1"/>
    <s v="Prémio Motelx . Melhor Curta de Terror Portuguesa"/>
    <m/>
    <x v="0"/>
    <x v="0"/>
    <m/>
    <x v="0"/>
    <x v="0"/>
    <x v="461"/>
    <x v="3"/>
    <x v="0"/>
    <x v="1"/>
    <x v="21"/>
    <x v="1010"/>
  </r>
  <r>
    <x v="0"/>
    <n v="666"/>
    <x v="460"/>
    <x v="4"/>
    <s v=""/>
    <s v=""/>
    <x v="361"/>
    <x v="2"/>
    <x v="3"/>
    <m/>
    <x v="3"/>
    <m/>
    <x v="2"/>
    <x v="0"/>
    <x v="3"/>
    <d v="2011-04-03T00:00:00"/>
    <x v="3"/>
    <x v="0"/>
    <m/>
    <s v="Au Sud de l'Europe - Portugal"/>
    <x v="0"/>
    <x v="0"/>
    <m/>
    <x v="0"/>
    <x v="7"/>
    <x v="462"/>
    <x v="2"/>
    <x v="0"/>
    <x v="0"/>
    <x v="3"/>
    <x v="1011"/>
  </r>
  <r>
    <x v="0"/>
    <n v="667"/>
    <x v="461"/>
    <x v="1"/>
    <s v="LM"/>
    <s v="S"/>
    <x v="362"/>
    <x v="1"/>
    <x v="208"/>
    <m/>
    <x v="5"/>
    <m/>
    <x v="3"/>
    <x v="0"/>
    <x v="152"/>
    <d v="2011-05-13T00:00:00"/>
    <x v="6"/>
    <x v="0"/>
    <m/>
    <m/>
    <x v="0"/>
    <x v="1"/>
    <m/>
    <x v="0"/>
    <x v="1"/>
    <x v="463"/>
    <x v="3"/>
    <x v="0"/>
    <x v="1"/>
    <x v="152"/>
    <x v="1012"/>
  </r>
  <r>
    <x v="0"/>
    <n v="667"/>
    <x v="461"/>
    <x v="1"/>
    <s v="LM"/>
    <s v="S"/>
    <x v="362"/>
    <x v="1"/>
    <x v="145"/>
    <m/>
    <x v="111"/>
    <m/>
    <x v="33"/>
    <x v="0"/>
    <x v="117"/>
    <d v="2011-07-26T00:00:00"/>
    <x v="8"/>
    <x v="0"/>
    <m/>
    <m/>
    <x v="0"/>
    <x v="1"/>
    <m/>
    <x v="0"/>
    <x v="1"/>
    <x v="463"/>
    <x v="33"/>
    <x v="0"/>
    <x v="0"/>
    <x v="117"/>
    <x v="1013"/>
  </r>
  <r>
    <x v="0"/>
    <n v="670"/>
    <x v="462"/>
    <x v="0"/>
    <s v="CM"/>
    <s v="S"/>
    <x v="363"/>
    <x v="5"/>
    <x v="83"/>
    <m/>
    <x v="63"/>
    <m/>
    <x v="2"/>
    <x v="0"/>
    <x v="73"/>
    <d v="2011-01-30T00:00:00"/>
    <x v="15"/>
    <x v="1"/>
    <s v="Courts Métrages Européens"/>
    <m/>
    <x v="0"/>
    <x v="0"/>
    <m/>
    <x v="0"/>
    <x v="0"/>
    <x v="464"/>
    <x v="2"/>
    <x v="0"/>
    <x v="0"/>
    <x v="73"/>
    <x v="1014"/>
  </r>
  <r>
    <x v="0"/>
    <n v="670"/>
    <x v="462"/>
    <x v="0"/>
    <s v="CM"/>
    <s v="S"/>
    <x v="363"/>
    <x v="5"/>
    <x v="90"/>
    <m/>
    <x v="69"/>
    <m/>
    <x v="8"/>
    <x v="0"/>
    <x v="81"/>
    <d v="2011-02-06T00:00:00"/>
    <x v="18"/>
    <x v="0"/>
    <m/>
    <s v="Spectrum Shorts - Short Stories: Oh Stranger"/>
    <x v="0"/>
    <x v="0"/>
    <m/>
    <x v="0"/>
    <x v="0"/>
    <x v="464"/>
    <x v="8"/>
    <x v="0"/>
    <x v="0"/>
    <x v="81"/>
    <x v="1015"/>
  </r>
  <r>
    <x v="0"/>
    <n v="670"/>
    <x v="462"/>
    <x v="0"/>
    <s v="CM"/>
    <s v="S"/>
    <x v="363"/>
    <x v="5"/>
    <x v="278"/>
    <m/>
    <x v="194"/>
    <m/>
    <x v="50"/>
    <x v="0"/>
    <x v="46"/>
    <d v="2011-09-17T00:00:00"/>
    <x v="9"/>
    <x v="1"/>
    <s v="Short Films"/>
    <m/>
    <x v="0"/>
    <x v="0"/>
    <m/>
    <x v="0"/>
    <x v="0"/>
    <x v="464"/>
    <x v="50"/>
    <x v="0"/>
    <x v="0"/>
    <x v="46"/>
    <x v="1016"/>
  </r>
  <r>
    <x v="0"/>
    <n v="670"/>
    <x v="462"/>
    <x v="0"/>
    <s v="CM"/>
    <s v="S"/>
    <x v="363"/>
    <x v="5"/>
    <x v="78"/>
    <m/>
    <x v="59"/>
    <m/>
    <x v="3"/>
    <x v="0"/>
    <x v="66"/>
    <d v="2011-10-30T00:00:00"/>
    <x v="14"/>
    <x v="1"/>
    <s v="Competição Nacional"/>
    <m/>
    <x v="0"/>
    <x v="0"/>
    <m/>
    <x v="0"/>
    <x v="0"/>
    <x v="464"/>
    <x v="3"/>
    <x v="0"/>
    <x v="1"/>
    <x v="66"/>
    <x v="1017"/>
  </r>
  <r>
    <x v="0"/>
    <n v="671"/>
    <x v="463"/>
    <x v="1"/>
    <s v="LM"/>
    <s v=""/>
    <x v="25"/>
    <x v="9"/>
    <x v="295"/>
    <m/>
    <x v="202"/>
    <m/>
    <x v="31"/>
    <x v="0"/>
    <x v="190"/>
    <d v="2011-03-04T00:00:00"/>
    <x v="19"/>
    <x v="0"/>
    <m/>
    <m/>
    <x v="0"/>
    <x v="1"/>
    <m/>
    <x v="0"/>
    <x v="1"/>
    <x v="465"/>
    <x v="31"/>
    <x v="0"/>
    <x v="0"/>
    <x v="190"/>
    <x v="1018"/>
  </r>
  <r>
    <x v="0"/>
    <n v="671"/>
    <x v="463"/>
    <x v="1"/>
    <s v="LM"/>
    <s v=""/>
    <x v="25"/>
    <x v="9"/>
    <x v="145"/>
    <m/>
    <x v="111"/>
    <m/>
    <x v="33"/>
    <x v="0"/>
    <x v="117"/>
    <d v="2011-07-26T00:00:00"/>
    <x v="8"/>
    <x v="0"/>
    <m/>
    <m/>
    <x v="0"/>
    <x v="1"/>
    <m/>
    <x v="0"/>
    <x v="1"/>
    <x v="465"/>
    <x v="33"/>
    <x v="0"/>
    <x v="0"/>
    <x v="117"/>
    <x v="1019"/>
  </r>
  <r>
    <x v="0"/>
    <n v="671"/>
    <x v="463"/>
    <x v="1"/>
    <s v="LM"/>
    <s v=""/>
    <x v="25"/>
    <x v="9"/>
    <x v="207"/>
    <m/>
    <x v="24"/>
    <m/>
    <x v="3"/>
    <x v="0"/>
    <x v="109"/>
    <d v="2011-08-14T00:00:00"/>
    <x v="25"/>
    <x v="0"/>
    <m/>
    <m/>
    <x v="0"/>
    <x v="1"/>
    <m/>
    <x v="0"/>
    <x v="1"/>
    <x v="465"/>
    <x v="3"/>
    <x v="0"/>
    <x v="1"/>
    <x v="109"/>
    <x v="1020"/>
  </r>
  <r>
    <x v="0"/>
    <n v="671"/>
    <x v="463"/>
    <x v="1"/>
    <s v="LM"/>
    <s v=""/>
    <x v="25"/>
    <x v="9"/>
    <x v="296"/>
    <m/>
    <x v="175"/>
    <m/>
    <x v="3"/>
    <x v="0"/>
    <x v="111"/>
    <m/>
    <x v="16"/>
    <x v="0"/>
    <m/>
    <s v="Sessão Especial do Cineclube de Tomar"/>
    <x v="0"/>
    <x v="1"/>
    <m/>
    <x v="0"/>
    <x v="1"/>
    <x v="465"/>
    <x v="3"/>
    <x v="0"/>
    <x v="1"/>
    <x v="111"/>
    <x v="1021"/>
  </r>
  <r>
    <x v="0"/>
    <n v="671"/>
    <x v="463"/>
    <x v="1"/>
    <s v="LM"/>
    <s v=""/>
    <x v="25"/>
    <x v="9"/>
    <x v="118"/>
    <m/>
    <x v="24"/>
    <m/>
    <x v="3"/>
    <x v="0"/>
    <x v="99"/>
    <d v="2011-12-03T00:00:00"/>
    <x v="11"/>
    <x v="0"/>
    <m/>
    <m/>
    <x v="0"/>
    <x v="1"/>
    <m/>
    <x v="0"/>
    <x v="1"/>
    <x v="465"/>
    <x v="3"/>
    <x v="0"/>
    <x v="1"/>
    <x v="99"/>
    <x v="1022"/>
  </r>
  <r>
    <x v="0"/>
    <n v="674"/>
    <x v="464"/>
    <x v="4"/>
    <s v=""/>
    <s v=""/>
    <x v="364"/>
    <x v="2"/>
    <x v="34"/>
    <m/>
    <x v="32"/>
    <m/>
    <x v="3"/>
    <x v="0"/>
    <x v="31"/>
    <d v="2011-05-15T00:00:00"/>
    <x v="6"/>
    <x v="0"/>
    <m/>
    <s v="Mostra de Curtas-metragens de Animação, Selecção FIKE"/>
    <x v="0"/>
    <x v="0"/>
    <m/>
    <x v="0"/>
    <x v="7"/>
    <x v="466"/>
    <x v="3"/>
    <x v="0"/>
    <x v="1"/>
    <x v="31"/>
    <x v="1023"/>
  </r>
  <r>
    <x v="0"/>
    <n v="674"/>
    <x v="464"/>
    <x v="4"/>
    <s v=""/>
    <s v=""/>
    <x v="364"/>
    <x v="2"/>
    <x v="297"/>
    <m/>
    <x v="203"/>
    <m/>
    <x v="3"/>
    <x v="0"/>
    <x v="191"/>
    <m/>
    <x v="12"/>
    <x v="0"/>
    <m/>
    <m/>
    <x v="0"/>
    <x v="1"/>
    <m/>
    <x v="0"/>
    <x v="7"/>
    <x v="466"/>
    <x v="3"/>
    <x v="0"/>
    <x v="1"/>
    <x v="191"/>
    <x v="1024"/>
  </r>
  <r>
    <x v="0"/>
    <n v="677"/>
    <x v="465"/>
    <x v="4"/>
    <s v=""/>
    <s v=""/>
    <x v="365"/>
    <x v="2"/>
    <x v="21"/>
    <m/>
    <x v="21"/>
    <m/>
    <x v="3"/>
    <x v="0"/>
    <x v="15"/>
    <d v="2011-12-03T00:00:00"/>
    <x v="12"/>
    <x v="0"/>
    <m/>
    <m/>
    <x v="0"/>
    <x v="0"/>
    <m/>
    <x v="0"/>
    <x v="7"/>
    <x v="467"/>
    <x v="3"/>
    <x v="0"/>
    <x v="1"/>
    <x v="15"/>
    <x v="1025"/>
  </r>
  <r>
    <x v="0"/>
    <n v="678"/>
    <x v="466"/>
    <x v="4"/>
    <s v=""/>
    <s v=""/>
    <x v="366"/>
    <x v="2"/>
    <x v="46"/>
    <m/>
    <x v="24"/>
    <m/>
    <x v="3"/>
    <x v="0"/>
    <x v="41"/>
    <d v="2011-11-18T00:00:00"/>
    <x v="13"/>
    <x v="1"/>
    <s v="Prémio de Cinema para Filmes sobre Arte"/>
    <m/>
    <x v="0"/>
    <x v="0"/>
    <m/>
    <x v="0"/>
    <x v="7"/>
    <x v="468"/>
    <x v="3"/>
    <x v="0"/>
    <x v="1"/>
    <x v="41"/>
    <x v="1026"/>
  </r>
  <r>
    <x v="0"/>
    <n v="681"/>
    <x v="467"/>
    <x v="0"/>
    <s v="CM"/>
    <s v=""/>
    <x v="89"/>
    <x v="5"/>
    <x v="62"/>
    <m/>
    <x v="23"/>
    <m/>
    <x v="3"/>
    <x v="0"/>
    <x v="58"/>
    <d v="2011-03-06T00:00:00"/>
    <x v="19"/>
    <x v="0"/>
    <m/>
    <s v="João Menezes 10 Anos"/>
    <x v="0"/>
    <x v="0"/>
    <m/>
    <x v="0"/>
    <x v="0"/>
    <x v="469"/>
    <x v="3"/>
    <x v="0"/>
    <x v="1"/>
    <x v="58"/>
    <x v="1027"/>
  </r>
  <r>
    <x v="0"/>
    <n v="684"/>
    <x v="468"/>
    <x v="4"/>
    <s v=""/>
    <s v=""/>
    <x v="367"/>
    <x v="2"/>
    <x v="70"/>
    <m/>
    <x v="38"/>
    <m/>
    <x v="3"/>
    <x v="0"/>
    <x v="19"/>
    <d v="2011-09-11T00:00:00"/>
    <x v="9"/>
    <x v="1"/>
    <s v="2ª Sessão Competitiva"/>
    <m/>
    <x v="0"/>
    <x v="0"/>
    <m/>
    <x v="0"/>
    <x v="7"/>
    <x v="470"/>
    <x v="3"/>
    <x v="0"/>
    <x v="1"/>
    <x v="19"/>
    <x v="1028"/>
  </r>
  <r>
    <x v="0"/>
    <n v="685"/>
    <x v="469"/>
    <x v="3"/>
    <s v="CM"/>
    <s v="N"/>
    <x v="368"/>
    <x v="2"/>
    <x v="62"/>
    <m/>
    <x v="23"/>
    <m/>
    <x v="3"/>
    <x v="0"/>
    <x v="58"/>
    <d v="2011-03-06T00:00:00"/>
    <x v="19"/>
    <x v="0"/>
    <m/>
    <s v="Panorama do Cinema Português"/>
    <x v="0"/>
    <x v="0"/>
    <m/>
    <x v="0"/>
    <x v="6"/>
    <x v="471"/>
    <x v="3"/>
    <x v="0"/>
    <x v="1"/>
    <x v="58"/>
    <x v="1029"/>
  </r>
  <r>
    <x v="0"/>
    <n v="687"/>
    <x v="470"/>
    <x v="3"/>
    <s v="CM"/>
    <s v="N"/>
    <x v="46"/>
    <x v="3"/>
    <x v="97"/>
    <m/>
    <x v="76"/>
    <m/>
    <x v="3"/>
    <x v="0"/>
    <x v="86"/>
    <d v="2011-11-19T00:00:00"/>
    <x v="13"/>
    <x v="1"/>
    <s v="Première Madeira"/>
    <m/>
    <x v="0"/>
    <x v="0"/>
    <m/>
    <x v="0"/>
    <x v="6"/>
    <x v="472"/>
    <x v="3"/>
    <x v="0"/>
    <x v="1"/>
    <x v="86"/>
    <x v="1030"/>
  </r>
  <r>
    <x v="0"/>
    <n v="688"/>
    <x v="471"/>
    <x v="4"/>
    <s v=""/>
    <s v=""/>
    <x v="369"/>
    <x v="2"/>
    <x v="102"/>
    <m/>
    <x v="24"/>
    <m/>
    <x v="3"/>
    <x v="0"/>
    <x v="90"/>
    <d v="2011-07-20T00:00:00"/>
    <x v="17"/>
    <x v="0"/>
    <m/>
    <m/>
    <x v="0"/>
    <x v="1"/>
    <m/>
    <x v="0"/>
    <x v="7"/>
    <x v="473"/>
    <x v="3"/>
    <x v="0"/>
    <x v="1"/>
    <x v="90"/>
    <x v="1031"/>
  </r>
  <r>
    <x v="0"/>
    <n v="690"/>
    <x v="472"/>
    <x v="1"/>
    <s v="LM"/>
    <s v="S"/>
    <x v="370"/>
    <x v="5"/>
    <x v="268"/>
    <m/>
    <x v="0"/>
    <m/>
    <x v="0"/>
    <x v="0"/>
    <x v="32"/>
    <d v="2011-06-26T00:00:00"/>
    <x v="7"/>
    <x v="1"/>
    <s v="Mostra Competitiva de Documentários Longos"/>
    <m/>
    <x v="0"/>
    <x v="0"/>
    <m/>
    <x v="0"/>
    <x v="1"/>
    <x v="474"/>
    <x v="0"/>
    <x v="0"/>
    <x v="0"/>
    <x v="32"/>
    <x v="1032"/>
  </r>
  <r>
    <x v="0"/>
    <n v="690"/>
    <x v="472"/>
    <x v="1"/>
    <s v="LM"/>
    <s v="S"/>
    <x v="370"/>
    <x v="5"/>
    <x v="298"/>
    <m/>
    <x v="204"/>
    <m/>
    <x v="0"/>
    <x v="0"/>
    <x v="157"/>
    <d v="2011-08-13T00:00:00"/>
    <x v="16"/>
    <x v="0"/>
    <m/>
    <s v="Mostra Panorâmica"/>
    <x v="0"/>
    <x v="0"/>
    <m/>
    <x v="0"/>
    <x v="1"/>
    <x v="474"/>
    <x v="0"/>
    <x v="0"/>
    <x v="0"/>
    <x v="157"/>
    <x v="1033"/>
  </r>
  <r>
    <x v="0"/>
    <n v="690"/>
    <x v="472"/>
    <x v="1"/>
    <s v="LM"/>
    <s v="S"/>
    <x v="370"/>
    <x v="5"/>
    <x v="299"/>
    <m/>
    <x v="205"/>
    <m/>
    <x v="0"/>
    <x v="0"/>
    <x v="133"/>
    <d v="2011-09-17T00:00:00"/>
    <x v="9"/>
    <x v="1"/>
    <m/>
    <m/>
    <x v="0"/>
    <x v="0"/>
    <m/>
    <x v="0"/>
    <x v="1"/>
    <x v="474"/>
    <x v="0"/>
    <x v="0"/>
    <x v="0"/>
    <x v="133"/>
    <x v="1034"/>
  </r>
  <r>
    <x v="0"/>
    <n v="690"/>
    <x v="472"/>
    <x v="1"/>
    <s v="LM"/>
    <s v="S"/>
    <x v="370"/>
    <x v="5"/>
    <x v="46"/>
    <m/>
    <x v="24"/>
    <m/>
    <x v="3"/>
    <x v="0"/>
    <x v="41"/>
    <d v="2011-11-18T00:00:00"/>
    <x v="13"/>
    <x v="1"/>
    <s v="Prémio de Cinema para Filmes sobre Arte"/>
    <m/>
    <x v="110"/>
    <x v="0"/>
    <m/>
    <x v="1"/>
    <x v="1"/>
    <x v="474"/>
    <x v="3"/>
    <x v="121"/>
    <x v="1"/>
    <x v="41"/>
    <x v="1035"/>
  </r>
  <r>
    <x v="0"/>
    <n v="691"/>
    <x v="473"/>
    <x v="4"/>
    <s v=""/>
    <s v=""/>
    <x v="371"/>
    <x v="2"/>
    <x v="22"/>
    <m/>
    <x v="22"/>
    <m/>
    <x v="3"/>
    <x v="0"/>
    <x v="20"/>
    <d v="2011-11-17T00:00:00"/>
    <x v="13"/>
    <x v="1"/>
    <s v="Ensaios Visuais 1"/>
    <m/>
    <x v="0"/>
    <x v="0"/>
    <m/>
    <x v="0"/>
    <x v="7"/>
    <x v="475"/>
    <x v="3"/>
    <x v="0"/>
    <x v="1"/>
    <x v="20"/>
    <x v="1036"/>
  </r>
  <r>
    <x v="0"/>
    <n v="692"/>
    <x v="474"/>
    <x v="0"/>
    <s v="CM"/>
    <s v="N"/>
    <x v="372"/>
    <x v="2"/>
    <x v="67"/>
    <m/>
    <x v="23"/>
    <m/>
    <x v="3"/>
    <x v="0"/>
    <x v="63"/>
    <d v="2011-06-12T00:00:00"/>
    <x v="7"/>
    <x v="0"/>
    <m/>
    <s v="Sessão Não Competitiva 2"/>
    <x v="0"/>
    <x v="0"/>
    <m/>
    <x v="0"/>
    <x v="0"/>
    <x v="476"/>
    <x v="3"/>
    <x v="0"/>
    <x v="1"/>
    <x v="63"/>
    <x v="1037"/>
  </r>
  <r>
    <x v="0"/>
    <n v="692"/>
    <x v="474"/>
    <x v="0"/>
    <s v="CM"/>
    <s v="N"/>
    <x v="372"/>
    <x v="2"/>
    <x v="222"/>
    <m/>
    <x v="24"/>
    <m/>
    <x v="3"/>
    <x v="0"/>
    <x v="161"/>
    <m/>
    <x v="7"/>
    <x v="1"/>
    <s v="Entretenimento"/>
    <m/>
    <x v="0"/>
    <x v="2"/>
    <s v="Produtora: Marta Quelhas"/>
    <x v="0"/>
    <x v="0"/>
    <x v="476"/>
    <x v="3"/>
    <x v="0"/>
    <x v="1"/>
    <x v="161"/>
    <x v="1038"/>
  </r>
  <r>
    <x v="0"/>
    <n v="692"/>
    <x v="474"/>
    <x v="0"/>
    <s v="CM"/>
    <s v="N"/>
    <x v="372"/>
    <x v="2"/>
    <x v="70"/>
    <m/>
    <x v="38"/>
    <m/>
    <x v="3"/>
    <x v="0"/>
    <x v="19"/>
    <d v="2011-09-11T00:00:00"/>
    <x v="9"/>
    <x v="1"/>
    <s v="2ª Sessão Competitiva"/>
    <m/>
    <x v="0"/>
    <x v="0"/>
    <m/>
    <x v="0"/>
    <x v="0"/>
    <x v="476"/>
    <x v="3"/>
    <x v="0"/>
    <x v="1"/>
    <x v="19"/>
    <x v="1039"/>
  </r>
  <r>
    <x v="0"/>
    <n v="693"/>
    <x v="475"/>
    <x v="4"/>
    <s v=""/>
    <s v=""/>
    <x v="373"/>
    <x v="2"/>
    <x v="65"/>
    <m/>
    <x v="51"/>
    <m/>
    <x v="14"/>
    <x v="0"/>
    <x v="61"/>
    <d v="2011-06-03T00:00:00"/>
    <x v="7"/>
    <x v="0"/>
    <m/>
    <m/>
    <x v="0"/>
    <x v="0"/>
    <m/>
    <x v="0"/>
    <x v="7"/>
    <x v="477"/>
    <x v="14"/>
    <x v="0"/>
    <x v="0"/>
    <x v="61"/>
    <x v="1040"/>
  </r>
  <r>
    <x v="0"/>
    <n v="693"/>
    <x v="475"/>
    <x v="4"/>
    <s v=""/>
    <s v=""/>
    <x v="373"/>
    <x v="2"/>
    <x v="68"/>
    <m/>
    <x v="53"/>
    <m/>
    <x v="3"/>
    <x v="0"/>
    <x v="64"/>
    <d v="2011-07-17T00:00:00"/>
    <x v="8"/>
    <x v="1"/>
    <s v="Vídeos Musicais"/>
    <m/>
    <x v="0"/>
    <x v="0"/>
    <m/>
    <x v="0"/>
    <x v="7"/>
    <x v="477"/>
    <x v="3"/>
    <x v="0"/>
    <x v="1"/>
    <x v="64"/>
    <x v="1041"/>
  </r>
  <r>
    <x v="0"/>
    <n v="694"/>
    <x v="476"/>
    <x v="4"/>
    <s v=""/>
    <s v=""/>
    <x v="374"/>
    <x v="2"/>
    <x v="300"/>
    <m/>
    <x v="206"/>
    <m/>
    <x v="3"/>
    <x v="0"/>
    <x v="21"/>
    <d v="2011-11-09T00:00:00"/>
    <x v="27"/>
    <x v="0"/>
    <m/>
    <m/>
    <x v="0"/>
    <x v="1"/>
    <m/>
    <x v="0"/>
    <x v="7"/>
    <x v="478"/>
    <x v="3"/>
    <x v="0"/>
    <x v="1"/>
    <x v="21"/>
    <x v="1042"/>
  </r>
  <r>
    <x v="0"/>
    <n v="695"/>
    <x v="477"/>
    <x v="4"/>
    <s v=""/>
    <s v=""/>
    <x v="353"/>
    <x v="2"/>
    <x v="301"/>
    <m/>
    <x v="207"/>
    <m/>
    <x v="0"/>
    <x v="0"/>
    <x v="6"/>
    <d v="2011-05-14T00:00:00"/>
    <x v="6"/>
    <x v="0"/>
    <m/>
    <m/>
    <x v="0"/>
    <x v="0"/>
    <m/>
    <x v="0"/>
    <x v="7"/>
    <x v="479"/>
    <x v="0"/>
    <x v="0"/>
    <x v="0"/>
    <x v="6"/>
    <x v="1043"/>
  </r>
  <r>
    <x v="0"/>
    <n v="697"/>
    <x v="478"/>
    <x v="4"/>
    <s v=""/>
    <s v=""/>
    <x v="86"/>
    <x v="2"/>
    <x v="22"/>
    <m/>
    <x v="22"/>
    <m/>
    <x v="3"/>
    <x v="0"/>
    <x v="20"/>
    <d v="2011-11-17T00:00:00"/>
    <x v="13"/>
    <x v="1"/>
    <s v="Sessão Competitiva 6"/>
    <m/>
    <x v="0"/>
    <x v="0"/>
    <m/>
    <x v="0"/>
    <x v="7"/>
    <x v="480"/>
    <x v="3"/>
    <x v="0"/>
    <x v="1"/>
    <x v="20"/>
    <x v="1044"/>
  </r>
  <r>
    <x v="0"/>
    <n v="697"/>
    <x v="478"/>
    <x v="4"/>
    <s v=""/>
    <s v=""/>
    <x v="86"/>
    <x v="2"/>
    <x v="46"/>
    <m/>
    <x v="24"/>
    <m/>
    <x v="3"/>
    <x v="0"/>
    <x v="41"/>
    <d v="2011-11-18T00:00:00"/>
    <x v="13"/>
    <x v="1"/>
    <s v="Prémio de Cinema para Filmes sobre Arte"/>
    <m/>
    <x v="0"/>
    <x v="0"/>
    <m/>
    <x v="0"/>
    <x v="7"/>
    <x v="480"/>
    <x v="3"/>
    <x v="0"/>
    <x v="1"/>
    <x v="41"/>
    <x v="1045"/>
  </r>
  <r>
    <x v="0"/>
    <n v="698"/>
    <x v="479"/>
    <x v="0"/>
    <s v="CM"/>
    <s v=""/>
    <x v="375"/>
    <x v="3"/>
    <x v="97"/>
    <m/>
    <x v="76"/>
    <m/>
    <x v="3"/>
    <x v="0"/>
    <x v="86"/>
    <d v="2011-11-19T00:00:00"/>
    <x v="13"/>
    <x v="1"/>
    <s v="Première Madeira"/>
    <m/>
    <x v="0"/>
    <x v="0"/>
    <m/>
    <x v="0"/>
    <x v="0"/>
    <x v="481"/>
    <x v="3"/>
    <x v="0"/>
    <x v="1"/>
    <x v="86"/>
    <x v="1046"/>
  </r>
  <r>
    <x v="0"/>
    <n v="699"/>
    <x v="480"/>
    <x v="4"/>
    <s v="CM"/>
    <s v="N"/>
    <x v="376"/>
    <x v="2"/>
    <x v="222"/>
    <m/>
    <x v="24"/>
    <m/>
    <x v="3"/>
    <x v="0"/>
    <x v="161"/>
    <m/>
    <x v="7"/>
    <x v="1"/>
    <s v="Categoria Prémio Sony Escolas HD"/>
    <m/>
    <x v="0"/>
    <x v="2"/>
    <m/>
    <x v="0"/>
    <x v="8"/>
    <x v="482"/>
    <x v="3"/>
    <x v="0"/>
    <x v="1"/>
    <x v="161"/>
    <x v="1047"/>
  </r>
  <r>
    <x v="0"/>
    <n v="701"/>
    <x v="481"/>
    <x v="0"/>
    <s v="LM"/>
    <s v="S"/>
    <x v="289"/>
    <x v="2"/>
    <x v="85"/>
    <m/>
    <x v="64"/>
    <m/>
    <x v="18"/>
    <x v="0"/>
    <x v="77"/>
    <d v="2011-10-14T00:00:00"/>
    <x v="14"/>
    <x v="0"/>
    <m/>
    <s v="Extreme Portuguese Cinema: Six Auteurs in Focus"/>
    <x v="0"/>
    <x v="0"/>
    <m/>
    <x v="0"/>
    <x v="5"/>
    <x v="483"/>
    <x v="18"/>
    <x v="0"/>
    <x v="0"/>
    <x v="77"/>
    <x v="1048"/>
  </r>
  <r>
    <x v="0"/>
    <n v="703"/>
    <x v="482"/>
    <x v="0"/>
    <s v="LM"/>
    <s v="S"/>
    <x v="377"/>
    <x v="2"/>
    <x v="76"/>
    <m/>
    <x v="58"/>
    <m/>
    <x v="17"/>
    <x v="0"/>
    <x v="67"/>
    <d v="2011-11-30T00:00:00"/>
    <x v="13"/>
    <x v="0"/>
    <m/>
    <m/>
    <x v="0"/>
    <x v="0"/>
    <m/>
    <x v="0"/>
    <x v="5"/>
    <x v="484"/>
    <x v="17"/>
    <x v="0"/>
    <x v="0"/>
    <x v="67"/>
    <x v="1049"/>
  </r>
  <r>
    <x v="0"/>
    <n v="703"/>
    <x v="482"/>
    <x v="0"/>
    <s v="LM"/>
    <s v="S"/>
    <x v="377"/>
    <x v="2"/>
    <x v="37"/>
    <m/>
    <x v="35"/>
    <m/>
    <x v="2"/>
    <x v="0"/>
    <x v="15"/>
    <d v="2011-12-04T00:00:00"/>
    <x v="12"/>
    <x v="0"/>
    <m/>
    <s v="Panorama Fenêtre Ouverte Long  Métrage -1"/>
    <x v="0"/>
    <x v="0"/>
    <m/>
    <x v="0"/>
    <x v="5"/>
    <x v="484"/>
    <x v="2"/>
    <x v="0"/>
    <x v="0"/>
    <x v="15"/>
    <x v="1050"/>
  </r>
  <r>
    <x v="0"/>
    <n v="704"/>
    <x v="483"/>
    <x v="4"/>
    <s v=""/>
    <s v=""/>
    <x v="47"/>
    <x v="2"/>
    <x v="99"/>
    <m/>
    <x v="78"/>
    <m/>
    <x v="20"/>
    <x v="0"/>
    <x v="69"/>
    <d v="2011-11-13T00:00:00"/>
    <x v="13"/>
    <x v="0"/>
    <m/>
    <s v="Focus on Edgar Pêra - Programme 1"/>
    <x v="0"/>
    <x v="0"/>
    <m/>
    <x v="0"/>
    <x v="7"/>
    <x v="485"/>
    <x v="20"/>
    <x v="0"/>
    <x v="0"/>
    <x v="69"/>
    <x v="1051"/>
  </r>
  <r>
    <x v="0"/>
    <n v="706"/>
    <x v="484"/>
    <x v="4"/>
    <s v=""/>
    <s v=""/>
    <x v="200"/>
    <x v="2"/>
    <x v="80"/>
    <m/>
    <x v="60"/>
    <m/>
    <x v="3"/>
    <x v="0"/>
    <x v="70"/>
    <d v="2011-11-13T00:00:00"/>
    <x v="13"/>
    <x v="0"/>
    <m/>
    <s v="Sessões Especiais - Raúl Ruiz"/>
    <x v="0"/>
    <x v="0"/>
    <m/>
    <x v="0"/>
    <x v="7"/>
    <x v="486"/>
    <x v="3"/>
    <x v="0"/>
    <x v="1"/>
    <x v="70"/>
    <x v="1052"/>
  </r>
  <r>
    <x v="0"/>
    <n v="707"/>
    <x v="485"/>
    <x v="4"/>
    <s v=""/>
    <s v=""/>
    <x v="378"/>
    <x v="2"/>
    <x v="2"/>
    <m/>
    <x v="2"/>
    <m/>
    <x v="2"/>
    <x v="0"/>
    <x v="2"/>
    <d v="2011-03-29T00:00:00"/>
    <x v="2"/>
    <x v="0"/>
    <m/>
    <m/>
    <x v="0"/>
    <x v="1"/>
    <m/>
    <x v="0"/>
    <x v="7"/>
    <x v="487"/>
    <x v="2"/>
    <x v="0"/>
    <x v="0"/>
    <x v="2"/>
    <x v="1053"/>
  </r>
  <r>
    <x v="0"/>
    <n v="708"/>
    <x v="486"/>
    <x v="4"/>
    <s v=""/>
    <s v=""/>
    <x v="379"/>
    <x v="2"/>
    <x v="177"/>
    <m/>
    <x v="23"/>
    <m/>
    <x v="3"/>
    <x v="0"/>
    <x v="134"/>
    <m/>
    <x v="16"/>
    <x v="0"/>
    <m/>
    <m/>
    <x v="0"/>
    <x v="1"/>
    <m/>
    <x v="0"/>
    <x v="7"/>
    <x v="488"/>
    <x v="3"/>
    <x v="0"/>
    <x v="1"/>
    <x v="134"/>
    <x v="1054"/>
  </r>
  <r>
    <x v="0"/>
    <n v="709"/>
    <x v="487"/>
    <x v="0"/>
    <s v="LM"/>
    <s v="S"/>
    <x v="380"/>
    <x v="5"/>
    <x v="9"/>
    <m/>
    <x v="9"/>
    <m/>
    <x v="3"/>
    <x v="0"/>
    <x v="125"/>
    <m/>
    <x v="2"/>
    <x v="0"/>
    <m/>
    <m/>
    <x v="0"/>
    <x v="1"/>
    <m/>
    <x v="0"/>
    <x v="5"/>
    <x v="489"/>
    <x v="3"/>
    <x v="0"/>
    <x v="1"/>
    <x v="125"/>
    <x v="1055"/>
  </r>
  <r>
    <x v="0"/>
    <n v="709"/>
    <x v="487"/>
    <x v="0"/>
    <s v="LM"/>
    <s v="S"/>
    <x v="380"/>
    <x v="5"/>
    <x v="66"/>
    <m/>
    <x v="52"/>
    <m/>
    <x v="3"/>
    <x v="0"/>
    <x v="62"/>
    <d v="2011-06-12T00:00:00"/>
    <x v="7"/>
    <x v="0"/>
    <m/>
    <s v="Cinema Português"/>
    <x v="0"/>
    <x v="0"/>
    <m/>
    <x v="0"/>
    <x v="5"/>
    <x v="489"/>
    <x v="3"/>
    <x v="0"/>
    <x v="1"/>
    <x v="62"/>
    <x v="1056"/>
  </r>
  <r>
    <x v="0"/>
    <n v="709"/>
    <x v="487"/>
    <x v="0"/>
    <s v="LM"/>
    <s v="S"/>
    <x v="380"/>
    <x v="5"/>
    <x v="155"/>
    <m/>
    <x v="119"/>
    <m/>
    <x v="3"/>
    <x v="0"/>
    <x v="124"/>
    <d v="2011-12-29T00:00:00"/>
    <x v="12"/>
    <x v="0"/>
    <m/>
    <m/>
    <x v="0"/>
    <x v="1"/>
    <m/>
    <x v="0"/>
    <x v="5"/>
    <x v="489"/>
    <x v="3"/>
    <x v="0"/>
    <x v="1"/>
    <x v="124"/>
    <x v="1057"/>
  </r>
  <r>
    <x v="0"/>
    <n v="711"/>
    <x v="488"/>
    <x v="0"/>
    <s v="LM"/>
    <s v="N"/>
    <x v="381"/>
    <x v="30"/>
    <x v="158"/>
    <m/>
    <x v="121"/>
    <m/>
    <x v="3"/>
    <x v="0"/>
    <x v="119"/>
    <d v="2011-10-02T00:00:00"/>
    <x v="10"/>
    <x v="0"/>
    <m/>
    <s v="Filmes Concerto"/>
    <x v="0"/>
    <x v="0"/>
    <m/>
    <x v="0"/>
    <x v="5"/>
    <x v="490"/>
    <x v="3"/>
    <x v="0"/>
    <x v="1"/>
    <x v="119"/>
    <x v="1058"/>
  </r>
  <r>
    <x v="0"/>
    <n v="712"/>
    <x v="489"/>
    <x v="4"/>
    <s v=""/>
    <s v=""/>
    <x v="382"/>
    <x v="2"/>
    <x v="57"/>
    <m/>
    <x v="40"/>
    <m/>
    <x v="3"/>
    <x v="0"/>
    <x v="182"/>
    <m/>
    <x v="1"/>
    <x v="0"/>
    <m/>
    <m/>
    <x v="0"/>
    <x v="1"/>
    <m/>
    <x v="0"/>
    <x v="7"/>
    <x v="491"/>
    <x v="3"/>
    <x v="0"/>
    <x v="1"/>
    <x v="182"/>
    <x v="1059"/>
  </r>
  <r>
    <x v="0"/>
    <n v="712"/>
    <x v="489"/>
    <x v="4"/>
    <s v=""/>
    <s v=""/>
    <x v="382"/>
    <x v="2"/>
    <x v="156"/>
    <m/>
    <x v="49"/>
    <m/>
    <x v="3"/>
    <x v="0"/>
    <x v="192"/>
    <m/>
    <x v="2"/>
    <x v="0"/>
    <m/>
    <m/>
    <x v="0"/>
    <x v="1"/>
    <m/>
    <x v="0"/>
    <x v="7"/>
    <x v="491"/>
    <x v="3"/>
    <x v="0"/>
    <x v="1"/>
    <x v="192"/>
    <x v="1060"/>
  </r>
  <r>
    <x v="0"/>
    <n v="713"/>
    <x v="490"/>
    <x v="1"/>
    <s v="CM"/>
    <s v="N"/>
    <x v="383"/>
    <x v="2"/>
    <x v="78"/>
    <m/>
    <x v="59"/>
    <m/>
    <x v="3"/>
    <x v="0"/>
    <x v="66"/>
    <d v="2011-10-30T00:00:00"/>
    <x v="14"/>
    <x v="1"/>
    <s v="Competição Nacional"/>
    <m/>
    <x v="0"/>
    <x v="0"/>
    <m/>
    <x v="0"/>
    <x v="2"/>
    <x v="492"/>
    <x v="3"/>
    <x v="0"/>
    <x v="1"/>
    <x v="66"/>
    <x v="1061"/>
  </r>
  <r>
    <x v="0"/>
    <n v="714"/>
    <x v="491"/>
    <x v="0"/>
    <s v="CM"/>
    <s v="N"/>
    <x v="384"/>
    <x v="3"/>
    <x v="97"/>
    <m/>
    <x v="76"/>
    <m/>
    <x v="3"/>
    <x v="0"/>
    <x v="86"/>
    <d v="2011-11-19T00:00:00"/>
    <x v="13"/>
    <x v="1"/>
    <s v="Première Madeira"/>
    <m/>
    <x v="0"/>
    <x v="0"/>
    <m/>
    <x v="0"/>
    <x v="0"/>
    <x v="493"/>
    <x v="3"/>
    <x v="0"/>
    <x v="1"/>
    <x v="86"/>
    <x v="1062"/>
  </r>
  <r>
    <x v="0"/>
    <n v="715"/>
    <x v="492"/>
    <x v="0"/>
    <s v="CM"/>
    <s v="N"/>
    <x v="271"/>
    <x v="5"/>
    <x v="161"/>
    <m/>
    <x v="35"/>
    <m/>
    <x v="2"/>
    <x v="0"/>
    <x v="127"/>
    <d v="2011-10-29T00:00:00"/>
    <x v="14"/>
    <x v="0"/>
    <m/>
    <s v="Expérimental"/>
    <x v="0"/>
    <x v="0"/>
    <m/>
    <x v="0"/>
    <x v="0"/>
    <x v="494"/>
    <x v="2"/>
    <x v="0"/>
    <x v="0"/>
    <x v="127"/>
    <x v="1063"/>
  </r>
  <r>
    <x v="0"/>
    <n v="716"/>
    <x v="493"/>
    <x v="4"/>
    <s v=""/>
    <s v=""/>
    <x v="63"/>
    <x v="2"/>
    <x v="109"/>
    <m/>
    <x v="23"/>
    <m/>
    <x v="3"/>
    <x v="0"/>
    <x v="94"/>
    <d v="2011-11-20T00:00:00"/>
    <x v="0"/>
    <x v="0"/>
    <m/>
    <s v="Momento XX"/>
    <x v="0"/>
    <x v="1"/>
    <m/>
    <x v="0"/>
    <x v="7"/>
    <x v="495"/>
    <x v="3"/>
    <x v="0"/>
    <x v="1"/>
    <x v="94"/>
    <x v="1064"/>
  </r>
  <r>
    <x v="0"/>
    <n v="717"/>
    <x v="494"/>
    <x v="1"/>
    <s v="CM"/>
    <s v="N"/>
    <x v="385"/>
    <x v="2"/>
    <x v="25"/>
    <m/>
    <x v="24"/>
    <m/>
    <x v="3"/>
    <x v="0"/>
    <x v="23"/>
    <d v="2011-10-30T00:00:00"/>
    <x v="14"/>
    <x v="1"/>
    <s v="Competição Portuguesa - Curtas"/>
    <m/>
    <x v="0"/>
    <x v="0"/>
    <m/>
    <x v="0"/>
    <x v="2"/>
    <x v="496"/>
    <x v="3"/>
    <x v="0"/>
    <x v="1"/>
    <x v="23"/>
    <x v="1065"/>
  </r>
  <r>
    <x v="0"/>
    <n v="717"/>
    <x v="494"/>
    <x v="1"/>
    <s v="CM"/>
    <s v="N"/>
    <x v="385"/>
    <x v="2"/>
    <x v="14"/>
    <m/>
    <x v="14"/>
    <m/>
    <x v="3"/>
    <x v="0"/>
    <x v="13"/>
    <d v="2011-11-05T00:00:00"/>
    <x v="0"/>
    <x v="1"/>
    <s v="Competição Curtas Metragens"/>
    <m/>
    <x v="111"/>
    <x v="0"/>
    <m/>
    <x v="1"/>
    <x v="2"/>
    <x v="496"/>
    <x v="3"/>
    <x v="122"/>
    <x v="1"/>
    <x v="13"/>
    <x v="1066"/>
  </r>
  <r>
    <x v="0"/>
    <n v="718"/>
    <x v="495"/>
    <x v="1"/>
    <s v="CM"/>
    <s v="N"/>
    <x v="235"/>
    <x v="1"/>
    <x v="58"/>
    <m/>
    <x v="47"/>
    <m/>
    <x v="3"/>
    <x v="0"/>
    <x v="53"/>
    <d v="2011-09-04T00:00:00"/>
    <x v="9"/>
    <x v="0"/>
    <m/>
    <m/>
    <x v="0"/>
    <x v="1"/>
    <m/>
    <x v="0"/>
    <x v="2"/>
    <x v="497"/>
    <x v="3"/>
    <x v="0"/>
    <x v="1"/>
    <x v="53"/>
    <x v="1067"/>
  </r>
  <r>
    <x v="0"/>
    <n v="719"/>
    <x v="496"/>
    <x v="4"/>
    <s v=""/>
    <s v=""/>
    <x v="386"/>
    <x v="2"/>
    <x v="24"/>
    <m/>
    <x v="24"/>
    <m/>
    <x v="3"/>
    <x v="0"/>
    <x v="22"/>
    <d v="2011-09-24T00:00:00"/>
    <x v="9"/>
    <x v="0"/>
    <m/>
    <s v="Queer Art"/>
    <x v="0"/>
    <x v="0"/>
    <m/>
    <x v="0"/>
    <x v="7"/>
    <x v="498"/>
    <x v="3"/>
    <x v="0"/>
    <x v="1"/>
    <x v="22"/>
    <x v="1068"/>
  </r>
  <r>
    <x v="0"/>
    <n v="720"/>
    <x v="497"/>
    <x v="4"/>
    <s v=""/>
    <s v=""/>
    <x v="387"/>
    <x v="2"/>
    <x v="37"/>
    <m/>
    <x v="35"/>
    <m/>
    <x v="2"/>
    <x v="0"/>
    <x v="15"/>
    <d v="2011-12-04T00:00:00"/>
    <x v="12"/>
    <x v="0"/>
    <m/>
    <s v="Panorama Fenêtre Ouverte Documentaire 1"/>
    <x v="0"/>
    <x v="0"/>
    <m/>
    <x v="0"/>
    <x v="7"/>
    <x v="499"/>
    <x v="2"/>
    <x v="0"/>
    <x v="0"/>
    <x v="15"/>
    <x v="1069"/>
  </r>
  <r>
    <x v="0"/>
    <n v="721"/>
    <x v="498"/>
    <x v="0"/>
    <s v="CM"/>
    <s v="N"/>
    <x v="388"/>
    <x v="3"/>
    <x v="65"/>
    <m/>
    <x v="51"/>
    <m/>
    <x v="14"/>
    <x v="0"/>
    <x v="61"/>
    <d v="2011-06-03T00:00:00"/>
    <x v="7"/>
    <x v="0"/>
    <m/>
    <m/>
    <x v="0"/>
    <x v="0"/>
    <m/>
    <x v="0"/>
    <x v="0"/>
    <x v="500"/>
    <x v="14"/>
    <x v="0"/>
    <x v="0"/>
    <x v="61"/>
    <x v="1070"/>
  </r>
  <r>
    <x v="0"/>
    <n v="721"/>
    <x v="498"/>
    <x v="0"/>
    <s v="CM"/>
    <s v="N"/>
    <x v="388"/>
    <x v="3"/>
    <x v="302"/>
    <m/>
    <x v="208"/>
    <m/>
    <x v="1"/>
    <x v="0"/>
    <x v="62"/>
    <d v="2011-06-11T00:00:00"/>
    <x v="7"/>
    <x v="1"/>
    <s v="Concurso Iberoamericano de Cortometrajes"/>
    <m/>
    <x v="0"/>
    <x v="0"/>
    <m/>
    <x v="0"/>
    <x v="0"/>
    <x v="500"/>
    <x v="1"/>
    <x v="0"/>
    <x v="0"/>
    <x v="62"/>
    <x v="1071"/>
  </r>
  <r>
    <x v="0"/>
    <n v="721"/>
    <x v="498"/>
    <x v="0"/>
    <s v="CM"/>
    <s v="N"/>
    <x v="388"/>
    <x v="3"/>
    <x v="68"/>
    <m/>
    <x v="53"/>
    <m/>
    <x v="3"/>
    <x v="0"/>
    <x v="64"/>
    <d v="2011-07-17T00:00:00"/>
    <x v="8"/>
    <x v="1"/>
    <s v="Competição Nacional"/>
    <m/>
    <x v="0"/>
    <x v="0"/>
    <m/>
    <x v="0"/>
    <x v="0"/>
    <x v="500"/>
    <x v="3"/>
    <x v="0"/>
    <x v="1"/>
    <x v="64"/>
    <x v="1072"/>
  </r>
  <r>
    <x v="0"/>
    <n v="721"/>
    <x v="498"/>
    <x v="0"/>
    <s v="CM"/>
    <s v="N"/>
    <x v="388"/>
    <x v="3"/>
    <x v="68"/>
    <m/>
    <x v="53"/>
    <m/>
    <x v="3"/>
    <x v="0"/>
    <x v="64"/>
    <d v="2011-07-17T00:00:00"/>
    <x v="8"/>
    <x v="1"/>
    <s v="Curtinhas M9"/>
    <m/>
    <x v="7"/>
    <x v="0"/>
    <m/>
    <x v="1"/>
    <x v="0"/>
    <x v="500"/>
    <x v="3"/>
    <x v="123"/>
    <x v="1"/>
    <x v="64"/>
    <x v="1073"/>
  </r>
  <r>
    <x v="0"/>
    <n v="721"/>
    <x v="498"/>
    <x v="0"/>
    <s v="CM"/>
    <s v="N"/>
    <x v="388"/>
    <x v="3"/>
    <x v="94"/>
    <m/>
    <x v="73"/>
    <m/>
    <x v="3"/>
    <x v="0"/>
    <x v="85"/>
    <d v="2011-10-30T00:00:00"/>
    <x v="14"/>
    <x v="1"/>
    <s v="Sessão Competitiva nº 5"/>
    <s v="Curtas Metragens Portuguesas "/>
    <x v="112"/>
    <x v="0"/>
    <m/>
    <x v="1"/>
    <x v="0"/>
    <x v="500"/>
    <x v="3"/>
    <x v="124"/>
    <x v="1"/>
    <x v="85"/>
    <x v="1074"/>
  </r>
  <r>
    <x v="0"/>
    <n v="721"/>
    <x v="498"/>
    <x v="0"/>
    <s v="CM"/>
    <s v="N"/>
    <x v="388"/>
    <x v="3"/>
    <x v="303"/>
    <m/>
    <x v="209"/>
    <m/>
    <x v="51"/>
    <x v="0"/>
    <x v="0"/>
    <d v="2011-10-30T00:00:00"/>
    <x v="14"/>
    <x v="1"/>
    <s v="Fiction Program 1"/>
    <m/>
    <x v="0"/>
    <x v="0"/>
    <m/>
    <x v="0"/>
    <x v="0"/>
    <x v="500"/>
    <x v="51"/>
    <x v="0"/>
    <x v="0"/>
    <x v="0"/>
    <x v="1075"/>
  </r>
  <r>
    <x v="0"/>
    <n v="721"/>
    <x v="498"/>
    <x v="0"/>
    <s v="CM"/>
    <s v="N"/>
    <x v="388"/>
    <x v="3"/>
    <x v="304"/>
    <m/>
    <x v="210"/>
    <m/>
    <x v="2"/>
    <x v="0"/>
    <x v="40"/>
    <d v="2011-11-13T00:00:00"/>
    <x v="13"/>
    <x v="1"/>
    <s v="Compétition Cocotte Minute"/>
    <m/>
    <x v="113"/>
    <x v="0"/>
    <m/>
    <x v="1"/>
    <x v="0"/>
    <x v="500"/>
    <x v="2"/>
    <x v="125"/>
    <x v="0"/>
    <x v="40"/>
    <x v="1076"/>
  </r>
  <r>
    <x v="0"/>
    <n v="721"/>
    <x v="498"/>
    <x v="0"/>
    <s v="CM"/>
    <s v="N"/>
    <x v="388"/>
    <x v="3"/>
    <x v="22"/>
    <m/>
    <x v="22"/>
    <m/>
    <x v="3"/>
    <x v="0"/>
    <x v="20"/>
    <d v="2011-11-17T00:00:00"/>
    <x v="13"/>
    <x v="1"/>
    <s v="Sessão Ciompetitiva 7"/>
    <m/>
    <x v="0"/>
    <x v="0"/>
    <m/>
    <x v="0"/>
    <x v="0"/>
    <x v="500"/>
    <x v="3"/>
    <x v="0"/>
    <x v="1"/>
    <x v="20"/>
    <x v="1077"/>
  </r>
  <r>
    <x v="0"/>
    <n v="723"/>
    <x v="499"/>
    <x v="1"/>
    <s v="LM"/>
    <s v="N"/>
    <x v="188"/>
    <x v="5"/>
    <x v="305"/>
    <m/>
    <x v="15"/>
    <m/>
    <x v="3"/>
    <x v="0"/>
    <x v="188"/>
    <d v="2011-11-15T00:00:00"/>
    <x v="13"/>
    <x v="0"/>
    <m/>
    <m/>
    <x v="0"/>
    <x v="1"/>
    <m/>
    <x v="0"/>
    <x v="1"/>
    <x v="501"/>
    <x v="3"/>
    <x v="0"/>
    <x v="1"/>
    <x v="188"/>
    <x v="1078"/>
  </r>
  <r>
    <x v="0"/>
    <n v="723"/>
    <x v="499"/>
    <x v="1"/>
    <s v="LM"/>
    <s v="N"/>
    <x v="188"/>
    <x v="5"/>
    <x v="22"/>
    <m/>
    <x v="22"/>
    <m/>
    <x v="3"/>
    <x v="0"/>
    <x v="20"/>
    <d v="2011-11-17T00:00:00"/>
    <x v="13"/>
    <x v="1"/>
    <m/>
    <m/>
    <x v="0"/>
    <x v="0"/>
    <m/>
    <x v="0"/>
    <x v="1"/>
    <x v="501"/>
    <x v="3"/>
    <x v="0"/>
    <x v="1"/>
    <x v="20"/>
    <x v="1079"/>
  </r>
  <r>
    <x v="0"/>
    <n v="724"/>
    <x v="500"/>
    <x v="2"/>
    <s v="CM"/>
    <s v="S"/>
    <x v="389"/>
    <x v="2"/>
    <x v="146"/>
    <m/>
    <x v="24"/>
    <m/>
    <x v="3"/>
    <x v="0"/>
    <x v="112"/>
    <d v="2011-05-15T00:00:00"/>
    <x v="6"/>
    <x v="0"/>
    <m/>
    <s v="Cinema Emergente"/>
    <x v="0"/>
    <x v="0"/>
    <m/>
    <x v="0"/>
    <x v="4"/>
    <x v="502"/>
    <x v="3"/>
    <x v="0"/>
    <x v="1"/>
    <x v="112"/>
    <x v="1080"/>
  </r>
  <r>
    <x v="0"/>
    <n v="724"/>
    <x v="500"/>
    <x v="2"/>
    <s v="CM"/>
    <s v="S"/>
    <x v="389"/>
    <x v="2"/>
    <x v="34"/>
    <m/>
    <x v="32"/>
    <m/>
    <x v="3"/>
    <x v="0"/>
    <x v="31"/>
    <d v="2011-05-15T00:00:00"/>
    <x v="6"/>
    <x v="1"/>
    <m/>
    <m/>
    <x v="0"/>
    <x v="0"/>
    <m/>
    <x v="0"/>
    <x v="4"/>
    <x v="502"/>
    <x v="3"/>
    <x v="0"/>
    <x v="1"/>
    <x v="31"/>
    <x v="1081"/>
  </r>
  <r>
    <x v="0"/>
    <n v="724"/>
    <x v="500"/>
    <x v="2"/>
    <s v="CM"/>
    <s v="S"/>
    <x v="389"/>
    <x v="2"/>
    <x v="94"/>
    <m/>
    <x v="73"/>
    <m/>
    <x v="3"/>
    <x v="0"/>
    <x v="85"/>
    <d v="2011-10-30T00:00:00"/>
    <x v="14"/>
    <x v="1"/>
    <s v="Sessão Competitiva nº 2"/>
    <s v="Curtas Metragens Portuguesas "/>
    <x v="0"/>
    <x v="0"/>
    <m/>
    <x v="0"/>
    <x v="4"/>
    <x v="502"/>
    <x v="3"/>
    <x v="0"/>
    <x v="1"/>
    <x v="85"/>
    <x v="1082"/>
  </r>
  <r>
    <x v="0"/>
    <n v="724"/>
    <x v="500"/>
    <x v="2"/>
    <s v="CM"/>
    <s v="S"/>
    <x v="389"/>
    <x v="2"/>
    <x v="14"/>
    <m/>
    <x v="14"/>
    <m/>
    <x v="3"/>
    <x v="0"/>
    <x v="13"/>
    <d v="2011-11-05T00:00:00"/>
    <x v="0"/>
    <x v="1"/>
    <s v="Competição Curtas Metragens"/>
    <m/>
    <x v="0"/>
    <x v="0"/>
    <m/>
    <x v="0"/>
    <x v="4"/>
    <x v="502"/>
    <x v="3"/>
    <x v="0"/>
    <x v="1"/>
    <x v="13"/>
    <x v="1083"/>
  </r>
  <r>
    <x v="0"/>
    <n v="724"/>
    <x v="500"/>
    <x v="2"/>
    <s v="CM"/>
    <s v="S"/>
    <x v="389"/>
    <x v="2"/>
    <x v="22"/>
    <m/>
    <x v="22"/>
    <m/>
    <x v="3"/>
    <x v="0"/>
    <x v="20"/>
    <d v="2011-11-17T00:00:00"/>
    <x v="13"/>
    <x v="1"/>
    <s v="Sessão Competitiva 11"/>
    <m/>
    <x v="0"/>
    <x v="0"/>
    <m/>
    <x v="0"/>
    <x v="4"/>
    <x v="502"/>
    <x v="3"/>
    <x v="0"/>
    <x v="1"/>
    <x v="20"/>
    <x v="1084"/>
  </r>
  <r>
    <x v="0"/>
    <n v="725"/>
    <x v="501"/>
    <x v="1"/>
    <s v="CM"/>
    <s v="N"/>
    <x v="390"/>
    <x v="5"/>
    <x v="88"/>
    <m/>
    <x v="67"/>
    <m/>
    <x v="3"/>
    <x v="0"/>
    <x v="79"/>
    <d v="2011-10-15T00:00:00"/>
    <x v="14"/>
    <x v="1"/>
    <s v="Competição Lusófona"/>
    <m/>
    <x v="0"/>
    <x v="0"/>
    <m/>
    <x v="0"/>
    <x v="2"/>
    <x v="503"/>
    <x v="3"/>
    <x v="0"/>
    <x v="1"/>
    <x v="79"/>
    <x v="1085"/>
  </r>
  <r>
    <x v="0"/>
    <n v="726"/>
    <x v="502"/>
    <x v="4"/>
    <s v=""/>
    <s v=""/>
    <x v="244"/>
    <x v="2"/>
    <x v="55"/>
    <m/>
    <x v="45"/>
    <m/>
    <x v="3"/>
    <x v="0"/>
    <x v="27"/>
    <d v="2011-03-30T00:00:00"/>
    <x v="2"/>
    <x v="0"/>
    <m/>
    <s v="8º Programa: As Escolhas de Nuno Amorim"/>
    <x v="0"/>
    <x v="1"/>
    <m/>
    <x v="0"/>
    <x v="7"/>
    <x v="504"/>
    <x v="3"/>
    <x v="0"/>
    <x v="1"/>
    <x v="27"/>
    <x v="1086"/>
  </r>
  <r>
    <x v="0"/>
    <n v="727"/>
    <x v="503"/>
    <x v="0"/>
    <s v="CM"/>
    <s v="S"/>
    <x v="80"/>
    <x v="5"/>
    <x v="90"/>
    <m/>
    <x v="69"/>
    <m/>
    <x v="8"/>
    <x v="0"/>
    <x v="81"/>
    <d v="2011-02-06T00:00:00"/>
    <x v="18"/>
    <x v="1"/>
    <s v="Tiger Awards for Short Films"/>
    <m/>
    <x v="0"/>
    <x v="0"/>
    <m/>
    <x v="0"/>
    <x v="0"/>
    <x v="505"/>
    <x v="8"/>
    <x v="0"/>
    <x v="0"/>
    <x v="81"/>
    <x v="1087"/>
  </r>
  <r>
    <x v="0"/>
    <n v="727"/>
    <x v="503"/>
    <x v="0"/>
    <s v="CM"/>
    <s v="S"/>
    <x v="80"/>
    <x v="5"/>
    <x v="232"/>
    <m/>
    <x v="162"/>
    <m/>
    <x v="5"/>
    <x v="0"/>
    <x v="112"/>
    <d v="2011-05-10T00:00:00"/>
    <x v="6"/>
    <x v="1"/>
    <s v="International Competition"/>
    <m/>
    <x v="114"/>
    <x v="0"/>
    <m/>
    <x v="1"/>
    <x v="0"/>
    <x v="505"/>
    <x v="5"/>
    <x v="126"/>
    <x v="0"/>
    <x v="112"/>
    <x v="1088"/>
  </r>
  <r>
    <x v="0"/>
    <n v="727"/>
    <x v="503"/>
    <x v="0"/>
    <s v="CM"/>
    <s v="S"/>
    <x v="80"/>
    <x v="5"/>
    <x v="233"/>
    <m/>
    <x v="163"/>
    <m/>
    <x v="5"/>
    <x v="0"/>
    <x v="167"/>
    <d v="2011-06-13T00:00:00"/>
    <x v="7"/>
    <x v="0"/>
    <m/>
    <m/>
    <x v="0"/>
    <x v="0"/>
    <m/>
    <x v="0"/>
    <x v="0"/>
    <x v="505"/>
    <x v="5"/>
    <x v="0"/>
    <x v="0"/>
    <x v="167"/>
    <x v="1089"/>
  </r>
  <r>
    <x v="0"/>
    <n v="727"/>
    <x v="503"/>
    <x v="0"/>
    <s v="CM"/>
    <s v="S"/>
    <x v="80"/>
    <x v="5"/>
    <x v="306"/>
    <m/>
    <x v="117"/>
    <m/>
    <x v="9"/>
    <x v="0"/>
    <x v="193"/>
    <d v="2011-06-26T00:00:00"/>
    <x v="7"/>
    <x v="1"/>
    <s v="Shorts Program 4"/>
    <m/>
    <x v="0"/>
    <x v="0"/>
    <m/>
    <x v="0"/>
    <x v="0"/>
    <x v="505"/>
    <x v="9"/>
    <x v="0"/>
    <x v="0"/>
    <x v="193"/>
    <x v="1090"/>
  </r>
  <r>
    <x v="0"/>
    <n v="727"/>
    <x v="503"/>
    <x v="0"/>
    <s v="CM"/>
    <s v="S"/>
    <x v="80"/>
    <x v="5"/>
    <x v="307"/>
    <m/>
    <x v="24"/>
    <m/>
    <x v="3"/>
    <x v="0"/>
    <x v="194"/>
    <m/>
    <x v="9"/>
    <x v="0"/>
    <m/>
    <m/>
    <x v="0"/>
    <x v="1"/>
    <m/>
    <x v="0"/>
    <x v="0"/>
    <x v="505"/>
    <x v="3"/>
    <x v="0"/>
    <x v="1"/>
    <x v="194"/>
    <x v="1091"/>
  </r>
  <r>
    <x v="0"/>
    <n v="727"/>
    <x v="503"/>
    <x v="0"/>
    <s v="CM"/>
    <s v="S"/>
    <x v="80"/>
    <x v="5"/>
    <x v="141"/>
    <m/>
    <x v="107"/>
    <m/>
    <x v="31"/>
    <x v="0"/>
    <x v="114"/>
    <d v="2011-09-25T00:00:00"/>
    <x v="9"/>
    <x v="1"/>
    <s v="Experimental"/>
    <m/>
    <x v="115"/>
    <x v="0"/>
    <m/>
    <x v="1"/>
    <x v="0"/>
    <x v="505"/>
    <x v="31"/>
    <x v="127"/>
    <x v="0"/>
    <x v="114"/>
    <x v="1092"/>
  </r>
  <r>
    <x v="0"/>
    <n v="727"/>
    <x v="503"/>
    <x v="0"/>
    <s v="CM"/>
    <s v="S"/>
    <x v="80"/>
    <x v="5"/>
    <x v="308"/>
    <m/>
    <x v="211"/>
    <m/>
    <x v="59"/>
    <x v="0"/>
    <x v="184"/>
    <d v="2011-10-22T00:00:00"/>
    <x v="14"/>
    <x v="1"/>
    <m/>
    <m/>
    <x v="0"/>
    <x v="0"/>
    <m/>
    <x v="0"/>
    <x v="0"/>
    <x v="505"/>
    <x v="59"/>
    <x v="0"/>
    <x v="0"/>
    <x v="184"/>
    <x v="1093"/>
  </r>
  <r>
    <x v="0"/>
    <n v="727"/>
    <x v="503"/>
    <x v="0"/>
    <s v="CM"/>
    <s v="S"/>
    <x v="80"/>
    <x v="5"/>
    <x v="142"/>
    <m/>
    <x v="108"/>
    <m/>
    <x v="2"/>
    <x v="0"/>
    <x v="85"/>
    <d v="2011-10-23T00:00:00"/>
    <x v="14"/>
    <x v="1"/>
    <s v="Compétition Expérience"/>
    <m/>
    <x v="0"/>
    <x v="0"/>
    <m/>
    <x v="0"/>
    <x v="0"/>
    <x v="505"/>
    <x v="2"/>
    <x v="0"/>
    <x v="0"/>
    <x v="85"/>
    <x v="1094"/>
  </r>
  <r>
    <x v="0"/>
    <n v="727"/>
    <x v="503"/>
    <x v="0"/>
    <s v="CM"/>
    <s v="S"/>
    <x v="80"/>
    <x v="5"/>
    <x v="309"/>
    <m/>
    <x v="174"/>
    <m/>
    <x v="1"/>
    <x v="0"/>
    <x v="72"/>
    <d v="2011-11-19T00:00:00"/>
    <x v="13"/>
    <x v="1"/>
    <m/>
    <m/>
    <x v="0"/>
    <x v="0"/>
    <m/>
    <x v="0"/>
    <x v="0"/>
    <x v="505"/>
    <x v="1"/>
    <x v="0"/>
    <x v="0"/>
    <x v="72"/>
    <x v="1095"/>
  </r>
  <r>
    <x v="0"/>
    <n v="727"/>
    <x v="503"/>
    <x v="0"/>
    <s v="CM"/>
    <s v="S"/>
    <x v="80"/>
    <x v="5"/>
    <x v="86"/>
    <m/>
    <x v="65"/>
    <m/>
    <x v="9"/>
    <x v="0"/>
    <x v="15"/>
    <d v="2011-12-06T00:00:00"/>
    <x v="12"/>
    <x v="0"/>
    <m/>
    <s v="Sandro Aguilar Shorts"/>
    <x v="0"/>
    <x v="1"/>
    <m/>
    <x v="0"/>
    <x v="0"/>
    <x v="505"/>
    <x v="9"/>
    <x v="0"/>
    <x v="0"/>
    <x v="15"/>
    <x v="1096"/>
  </r>
  <r>
    <x v="0"/>
    <n v="728"/>
    <x v="504"/>
    <x v="4"/>
    <s v=""/>
    <s v=""/>
    <x v="391"/>
    <x v="2"/>
    <x v="97"/>
    <m/>
    <x v="76"/>
    <m/>
    <x v="3"/>
    <x v="0"/>
    <x v="86"/>
    <d v="2011-11-19T00:00:00"/>
    <x v="13"/>
    <x v="1"/>
    <s v="Naval VideoSub"/>
    <m/>
    <x v="116"/>
    <x v="0"/>
    <m/>
    <x v="1"/>
    <x v="7"/>
    <x v="506"/>
    <x v="3"/>
    <x v="128"/>
    <x v="1"/>
    <x v="86"/>
    <x v="1097"/>
  </r>
  <r>
    <x v="0"/>
    <n v="732"/>
    <x v="505"/>
    <x v="4"/>
    <s v=""/>
    <s v=""/>
    <x v="392"/>
    <x v="2"/>
    <x v="120"/>
    <m/>
    <x v="83"/>
    <m/>
    <x v="3"/>
    <x v="0"/>
    <x v="16"/>
    <d v="2011-12-04T00:00:00"/>
    <x v="12"/>
    <x v="1"/>
    <s v="Cinéfilos: Ficção"/>
    <m/>
    <x v="0"/>
    <x v="0"/>
    <m/>
    <x v="0"/>
    <x v="7"/>
    <x v="507"/>
    <x v="3"/>
    <x v="0"/>
    <x v="1"/>
    <x v="16"/>
    <x v="1098"/>
  </r>
  <r>
    <x v="0"/>
    <n v="733"/>
    <x v="506"/>
    <x v="2"/>
    <s v="CM"/>
    <s v="S"/>
    <x v="266"/>
    <x v="1"/>
    <x v="61"/>
    <m/>
    <x v="50"/>
    <m/>
    <x v="13"/>
    <x v="0"/>
    <x v="57"/>
    <d v="2011-02-25T00:00:00"/>
    <x v="1"/>
    <x v="0"/>
    <m/>
    <m/>
    <x v="0"/>
    <x v="1"/>
    <m/>
    <x v="0"/>
    <x v="4"/>
    <x v="508"/>
    <x v="13"/>
    <x v="0"/>
    <x v="0"/>
    <x v="57"/>
    <x v="1099"/>
  </r>
  <r>
    <x v="0"/>
    <n v="733"/>
    <x v="506"/>
    <x v="2"/>
    <s v="CM"/>
    <s v="S"/>
    <x v="266"/>
    <x v="1"/>
    <x v="34"/>
    <m/>
    <x v="32"/>
    <m/>
    <x v="3"/>
    <x v="0"/>
    <x v="31"/>
    <d v="2011-05-15T00:00:00"/>
    <x v="6"/>
    <x v="1"/>
    <m/>
    <m/>
    <x v="7"/>
    <x v="0"/>
    <m/>
    <x v="1"/>
    <x v="4"/>
    <x v="508"/>
    <x v="3"/>
    <x v="7"/>
    <x v="1"/>
    <x v="31"/>
    <x v="1100"/>
  </r>
  <r>
    <x v="0"/>
    <n v="733"/>
    <x v="506"/>
    <x v="2"/>
    <s v="CM"/>
    <s v="S"/>
    <x v="266"/>
    <x v="1"/>
    <x v="124"/>
    <m/>
    <x v="95"/>
    <m/>
    <x v="2"/>
    <x v="0"/>
    <x v="9"/>
    <d v="2011-07-09T00:00:00"/>
    <x v="8"/>
    <x v="0"/>
    <m/>
    <s v="L'Animation à l'Honneur - Programmation Casa da Animação 1ère Partie"/>
    <x v="0"/>
    <x v="1"/>
    <m/>
    <x v="0"/>
    <x v="4"/>
    <x v="508"/>
    <x v="2"/>
    <x v="0"/>
    <x v="0"/>
    <x v="9"/>
    <x v="1101"/>
  </r>
  <r>
    <x v="0"/>
    <n v="733"/>
    <x v="506"/>
    <x v="2"/>
    <s v="CM"/>
    <s v="S"/>
    <x v="266"/>
    <x v="1"/>
    <x v="0"/>
    <m/>
    <x v="0"/>
    <m/>
    <x v="0"/>
    <x v="0"/>
    <x v="0"/>
    <d v="2011-11-06T00:00:00"/>
    <x v="0"/>
    <x v="0"/>
    <m/>
    <s v="Foco Portugal: Programa Onda Curta"/>
    <x v="0"/>
    <x v="0"/>
    <m/>
    <x v="0"/>
    <x v="4"/>
    <x v="508"/>
    <x v="0"/>
    <x v="0"/>
    <x v="0"/>
    <x v="0"/>
    <x v="1102"/>
  </r>
  <r>
    <x v="0"/>
    <n v="734"/>
    <x v="507"/>
    <x v="4"/>
    <s v=""/>
    <s v=""/>
    <x v="33"/>
    <x v="2"/>
    <x v="26"/>
    <m/>
    <x v="24"/>
    <m/>
    <x v="3"/>
    <x v="0"/>
    <x v="24"/>
    <d v="2011-03-27T00:00:00"/>
    <x v="2"/>
    <x v="1"/>
    <s v="Curtíssimas"/>
    <m/>
    <x v="0"/>
    <x v="0"/>
    <m/>
    <x v="0"/>
    <x v="7"/>
    <x v="509"/>
    <x v="3"/>
    <x v="0"/>
    <x v="1"/>
    <x v="24"/>
    <x v="1103"/>
  </r>
  <r>
    <x v="0"/>
    <n v="734"/>
    <x v="507"/>
    <x v="4"/>
    <s v=""/>
    <s v=""/>
    <x v="33"/>
    <x v="2"/>
    <x v="240"/>
    <m/>
    <x v="169"/>
    <m/>
    <x v="43"/>
    <x v="0"/>
    <x v="169"/>
    <d v="2011-10-03T00:00:00"/>
    <x v="10"/>
    <x v="1"/>
    <s v="Category V"/>
    <m/>
    <x v="0"/>
    <x v="0"/>
    <m/>
    <x v="0"/>
    <x v="7"/>
    <x v="509"/>
    <x v="43"/>
    <x v="0"/>
    <x v="0"/>
    <x v="169"/>
    <x v="1104"/>
  </r>
  <r>
    <x v="0"/>
    <n v="735"/>
    <x v="508"/>
    <x v="1"/>
    <s v="CM"/>
    <s v="N"/>
    <x v="393"/>
    <x v="3"/>
    <x v="39"/>
    <m/>
    <x v="23"/>
    <m/>
    <x v="3"/>
    <x v="0"/>
    <x v="35"/>
    <m/>
    <x v="9"/>
    <x v="0"/>
    <m/>
    <m/>
    <x v="0"/>
    <x v="1"/>
    <m/>
    <x v="0"/>
    <x v="2"/>
    <x v="510"/>
    <x v="3"/>
    <x v="0"/>
    <x v="1"/>
    <x v="35"/>
    <x v="1105"/>
  </r>
  <r>
    <x v="0"/>
    <n v="736"/>
    <x v="509"/>
    <x v="4"/>
    <s v=""/>
    <s v=""/>
    <x v="394"/>
    <x v="2"/>
    <x v="23"/>
    <m/>
    <x v="23"/>
    <m/>
    <x v="3"/>
    <x v="0"/>
    <x v="21"/>
    <d v="2011-09-23T00:00:00"/>
    <x v="9"/>
    <x v="0"/>
    <m/>
    <m/>
    <x v="0"/>
    <x v="1"/>
    <m/>
    <x v="0"/>
    <x v="7"/>
    <x v="511"/>
    <x v="3"/>
    <x v="0"/>
    <x v="1"/>
    <x v="21"/>
    <x v="1106"/>
  </r>
  <r>
    <x v="0"/>
    <n v="736"/>
    <x v="509"/>
    <x v="4"/>
    <s v=""/>
    <s v=""/>
    <x v="394"/>
    <x v="2"/>
    <x v="89"/>
    <m/>
    <x v="68"/>
    <m/>
    <x v="1"/>
    <x v="0"/>
    <x v="80"/>
    <d v="2011-10-28T00:00:00"/>
    <x v="14"/>
    <x v="0"/>
    <m/>
    <s v="Foco Documental Portugués"/>
    <x v="0"/>
    <x v="1"/>
    <m/>
    <x v="0"/>
    <x v="7"/>
    <x v="511"/>
    <x v="1"/>
    <x v="0"/>
    <x v="0"/>
    <x v="80"/>
    <x v="1107"/>
  </r>
  <r>
    <x v="0"/>
    <n v="737"/>
    <x v="510"/>
    <x v="1"/>
    <s v="CM"/>
    <s v="N"/>
    <x v="395"/>
    <x v="2"/>
    <x v="25"/>
    <m/>
    <x v="24"/>
    <m/>
    <x v="3"/>
    <x v="0"/>
    <x v="23"/>
    <d v="2011-10-30T00:00:00"/>
    <x v="14"/>
    <x v="1"/>
    <s v="Competição Portuguesa - Curtas"/>
    <m/>
    <x v="0"/>
    <x v="0"/>
    <m/>
    <x v="0"/>
    <x v="2"/>
    <x v="512"/>
    <x v="3"/>
    <x v="0"/>
    <x v="1"/>
    <x v="23"/>
    <x v="1108"/>
  </r>
  <r>
    <x v="0"/>
    <n v="738"/>
    <x v="511"/>
    <x v="1"/>
    <s v="CM"/>
    <s v="N"/>
    <x v="396"/>
    <x v="2"/>
    <x v="68"/>
    <m/>
    <x v="53"/>
    <m/>
    <x v="3"/>
    <x v="0"/>
    <x v="64"/>
    <d v="2011-07-17T00:00:00"/>
    <x v="8"/>
    <x v="1"/>
    <s v="Take One!"/>
    <m/>
    <x v="7"/>
    <x v="0"/>
    <m/>
    <x v="1"/>
    <x v="2"/>
    <x v="513"/>
    <x v="3"/>
    <x v="75"/>
    <x v="1"/>
    <x v="64"/>
    <x v="1109"/>
  </r>
  <r>
    <x v="0"/>
    <n v="738"/>
    <x v="511"/>
    <x v="1"/>
    <s v="CM"/>
    <s v="N"/>
    <x v="396"/>
    <x v="2"/>
    <x v="94"/>
    <m/>
    <x v="73"/>
    <m/>
    <x v="3"/>
    <x v="0"/>
    <x v="85"/>
    <d v="2011-10-30T00:00:00"/>
    <x v="14"/>
    <x v="1"/>
    <s v="Competição Documentário nº 2"/>
    <s v="Curtas Metragens Portuguesas "/>
    <x v="0"/>
    <x v="0"/>
    <m/>
    <x v="0"/>
    <x v="2"/>
    <x v="513"/>
    <x v="3"/>
    <x v="0"/>
    <x v="1"/>
    <x v="85"/>
    <x v="1110"/>
  </r>
  <r>
    <x v="0"/>
    <n v="739"/>
    <x v="512"/>
    <x v="4"/>
    <s v=""/>
    <s v=""/>
    <x v="354"/>
    <x v="2"/>
    <x v="251"/>
    <m/>
    <x v="24"/>
    <m/>
    <x v="3"/>
    <x v="0"/>
    <x v="170"/>
    <d v="2011-11-20T00:00:00"/>
    <x v="13"/>
    <x v="0"/>
    <m/>
    <m/>
    <x v="0"/>
    <x v="1"/>
    <m/>
    <x v="0"/>
    <x v="7"/>
    <x v="514"/>
    <x v="3"/>
    <x v="0"/>
    <x v="1"/>
    <x v="170"/>
    <x v="1111"/>
  </r>
  <r>
    <x v="0"/>
    <n v="740"/>
    <x v="513"/>
    <x v="0"/>
    <s v="CM"/>
    <s v="N"/>
    <x v="397"/>
    <x v="2"/>
    <x v="48"/>
    <m/>
    <x v="24"/>
    <m/>
    <x v="3"/>
    <x v="0"/>
    <x v="21"/>
    <d v="2011-09-11T00:00:00"/>
    <x v="9"/>
    <x v="1"/>
    <s v="Prémio Motelx . Melhor Curta de Terror Portuguesa"/>
    <m/>
    <x v="0"/>
    <x v="0"/>
    <m/>
    <x v="0"/>
    <x v="0"/>
    <x v="515"/>
    <x v="3"/>
    <x v="0"/>
    <x v="1"/>
    <x v="21"/>
    <x v="1112"/>
  </r>
  <r>
    <x v="0"/>
    <n v="740"/>
    <x v="513"/>
    <x v="0"/>
    <s v="CM"/>
    <s v="N"/>
    <x v="397"/>
    <x v="2"/>
    <x v="22"/>
    <m/>
    <x v="22"/>
    <m/>
    <x v="3"/>
    <x v="0"/>
    <x v="20"/>
    <d v="2011-11-17T00:00:00"/>
    <x v="13"/>
    <x v="1"/>
    <s v="Sessão Competiticva 15"/>
    <m/>
    <x v="0"/>
    <x v="0"/>
    <m/>
    <x v="0"/>
    <x v="0"/>
    <x v="515"/>
    <x v="3"/>
    <x v="0"/>
    <x v="1"/>
    <x v="20"/>
    <x v="1113"/>
  </r>
  <r>
    <x v="0"/>
    <n v="741"/>
    <x v="514"/>
    <x v="0"/>
    <s v="LM"/>
    <s v="S"/>
    <x v="200"/>
    <x v="5"/>
    <x v="13"/>
    <m/>
    <x v="13"/>
    <m/>
    <x v="3"/>
    <x v="0"/>
    <x v="195"/>
    <d v="2011-02-18T00:00:00"/>
    <x v="1"/>
    <x v="0"/>
    <m/>
    <m/>
    <x v="0"/>
    <x v="1"/>
    <m/>
    <x v="0"/>
    <x v="5"/>
    <x v="516"/>
    <x v="3"/>
    <x v="0"/>
    <x v="1"/>
    <x v="195"/>
    <x v="1114"/>
  </r>
  <r>
    <x v="0"/>
    <n v="741"/>
    <x v="514"/>
    <x v="0"/>
    <s v="LM"/>
    <s v="S"/>
    <x v="200"/>
    <x v="5"/>
    <x v="248"/>
    <m/>
    <x v="24"/>
    <m/>
    <x v="3"/>
    <x v="0"/>
    <x v="58"/>
    <m/>
    <x v="1"/>
    <x v="0"/>
    <m/>
    <m/>
    <x v="117"/>
    <x v="2"/>
    <m/>
    <x v="1"/>
    <x v="5"/>
    <x v="516"/>
    <x v="3"/>
    <x v="129"/>
    <x v="1"/>
    <x v="58"/>
    <x v="1115"/>
  </r>
  <r>
    <x v="0"/>
    <n v="741"/>
    <x v="514"/>
    <x v="0"/>
    <s v="LM"/>
    <s v="S"/>
    <x v="200"/>
    <x v="5"/>
    <x v="8"/>
    <m/>
    <x v="8"/>
    <m/>
    <x v="3"/>
    <x v="0"/>
    <x v="196"/>
    <m/>
    <x v="1"/>
    <x v="0"/>
    <m/>
    <m/>
    <x v="0"/>
    <x v="1"/>
    <m/>
    <x v="0"/>
    <x v="5"/>
    <x v="516"/>
    <x v="3"/>
    <x v="0"/>
    <x v="1"/>
    <x v="196"/>
    <x v="1116"/>
  </r>
  <r>
    <x v="0"/>
    <n v="741"/>
    <x v="514"/>
    <x v="0"/>
    <s v="LM"/>
    <s v="S"/>
    <x v="200"/>
    <x v="5"/>
    <x v="4"/>
    <m/>
    <x v="4"/>
    <m/>
    <x v="2"/>
    <x v="0"/>
    <x v="4"/>
    <d v="2011-05-08T00:00:00"/>
    <x v="4"/>
    <x v="0"/>
    <m/>
    <m/>
    <x v="0"/>
    <x v="1"/>
    <m/>
    <x v="0"/>
    <x v="5"/>
    <x v="516"/>
    <x v="2"/>
    <x v="0"/>
    <x v="0"/>
    <x v="4"/>
    <x v="1117"/>
  </r>
  <r>
    <x v="0"/>
    <n v="741"/>
    <x v="514"/>
    <x v="0"/>
    <s v="LM"/>
    <s v="S"/>
    <x v="200"/>
    <x v="5"/>
    <x v="91"/>
    <m/>
    <x v="70"/>
    <m/>
    <x v="18"/>
    <x v="0"/>
    <x v="82"/>
    <d v="2011-05-06T00:00:00"/>
    <x v="4"/>
    <x v="0"/>
    <m/>
    <s v="Cinemascape: World Cinema"/>
    <x v="0"/>
    <x v="0"/>
    <m/>
    <x v="0"/>
    <x v="5"/>
    <x v="516"/>
    <x v="18"/>
    <x v="0"/>
    <x v="0"/>
    <x v="82"/>
    <x v="1118"/>
  </r>
  <r>
    <x v="0"/>
    <n v="741"/>
    <x v="514"/>
    <x v="0"/>
    <s v="LM"/>
    <s v="S"/>
    <x v="200"/>
    <x v="5"/>
    <x v="9"/>
    <m/>
    <x v="9"/>
    <m/>
    <x v="3"/>
    <x v="0"/>
    <x v="42"/>
    <m/>
    <x v="6"/>
    <x v="0"/>
    <m/>
    <m/>
    <x v="0"/>
    <x v="1"/>
    <m/>
    <x v="0"/>
    <x v="5"/>
    <x v="516"/>
    <x v="3"/>
    <x v="0"/>
    <x v="1"/>
    <x v="42"/>
    <x v="1119"/>
  </r>
  <r>
    <x v="0"/>
    <n v="741"/>
    <x v="514"/>
    <x v="0"/>
    <s v="LM"/>
    <s v="S"/>
    <x v="200"/>
    <x v="5"/>
    <x v="310"/>
    <m/>
    <x v="212"/>
    <m/>
    <x v="9"/>
    <x v="0"/>
    <x v="75"/>
    <d v="2011-06-12T00:00:00"/>
    <x v="22"/>
    <x v="0"/>
    <m/>
    <s v="Special Presentations, Spellbinding Stories Pathway"/>
    <x v="0"/>
    <x v="0"/>
    <m/>
    <x v="0"/>
    <x v="5"/>
    <x v="516"/>
    <x v="9"/>
    <x v="0"/>
    <x v="0"/>
    <x v="75"/>
    <x v="1120"/>
  </r>
  <r>
    <x v="0"/>
    <n v="741"/>
    <x v="514"/>
    <x v="0"/>
    <s v="LM"/>
    <s v="S"/>
    <x v="200"/>
    <x v="5"/>
    <x v="311"/>
    <m/>
    <x v="24"/>
    <m/>
    <x v="3"/>
    <x v="0"/>
    <x v="197"/>
    <m/>
    <x v="6"/>
    <x v="1"/>
    <m/>
    <m/>
    <x v="6"/>
    <x v="2"/>
    <m/>
    <x v="1"/>
    <x v="5"/>
    <x v="516"/>
    <x v="3"/>
    <x v="130"/>
    <x v="1"/>
    <x v="197"/>
    <x v="1121"/>
  </r>
  <r>
    <x v="0"/>
    <n v="741"/>
    <x v="514"/>
    <x v="0"/>
    <s v="LM"/>
    <s v="S"/>
    <x v="200"/>
    <x v="5"/>
    <x v="311"/>
    <m/>
    <x v="24"/>
    <m/>
    <x v="3"/>
    <x v="0"/>
    <x v="197"/>
    <m/>
    <x v="6"/>
    <x v="1"/>
    <m/>
    <m/>
    <x v="118"/>
    <x v="2"/>
    <m/>
    <x v="1"/>
    <x v="5"/>
    <x v="516"/>
    <x v="3"/>
    <x v="131"/>
    <x v="1"/>
    <x v="197"/>
    <x v="1122"/>
  </r>
  <r>
    <x v="0"/>
    <n v="741"/>
    <x v="514"/>
    <x v="0"/>
    <s v="LM"/>
    <s v="S"/>
    <x v="200"/>
    <x v="5"/>
    <x v="311"/>
    <m/>
    <x v="24"/>
    <m/>
    <x v="3"/>
    <x v="0"/>
    <x v="197"/>
    <m/>
    <x v="6"/>
    <x v="1"/>
    <m/>
    <m/>
    <x v="119"/>
    <x v="2"/>
    <m/>
    <x v="1"/>
    <x v="5"/>
    <x v="516"/>
    <x v="3"/>
    <x v="132"/>
    <x v="1"/>
    <x v="197"/>
    <x v="1123"/>
  </r>
  <r>
    <x v="0"/>
    <n v="741"/>
    <x v="514"/>
    <x v="0"/>
    <s v="LM"/>
    <s v="S"/>
    <x v="200"/>
    <x v="5"/>
    <x v="306"/>
    <m/>
    <x v="117"/>
    <m/>
    <x v="9"/>
    <x v="0"/>
    <x v="193"/>
    <d v="2011-06-26T00:00:00"/>
    <x v="7"/>
    <x v="0"/>
    <m/>
    <s v="International Showcase"/>
    <x v="0"/>
    <x v="0"/>
    <m/>
    <x v="0"/>
    <x v="5"/>
    <x v="516"/>
    <x v="9"/>
    <x v="0"/>
    <x v="0"/>
    <x v="193"/>
    <x v="1124"/>
  </r>
  <r>
    <x v="0"/>
    <n v="741"/>
    <x v="514"/>
    <x v="0"/>
    <s v="LM"/>
    <s v="S"/>
    <x v="200"/>
    <x v="5"/>
    <x v="312"/>
    <m/>
    <x v="213"/>
    <m/>
    <x v="8"/>
    <x v="0"/>
    <x v="154"/>
    <m/>
    <x v="16"/>
    <x v="0"/>
    <m/>
    <s v="Tributo"/>
    <x v="0"/>
    <x v="1"/>
    <m/>
    <x v="0"/>
    <x v="5"/>
    <x v="516"/>
    <x v="8"/>
    <x v="0"/>
    <x v="0"/>
    <x v="154"/>
    <x v="1125"/>
  </r>
  <r>
    <x v="0"/>
    <n v="741"/>
    <x v="514"/>
    <x v="0"/>
    <s v="LM"/>
    <s v="S"/>
    <x v="200"/>
    <x v="5"/>
    <x v="10"/>
    <m/>
    <x v="10"/>
    <m/>
    <x v="0"/>
    <x v="0"/>
    <x v="10"/>
    <d v="2011-09-25T00:00:00"/>
    <x v="9"/>
    <x v="1"/>
    <s v="Andorinha Longa Ficção"/>
    <m/>
    <x v="120"/>
    <x v="0"/>
    <m/>
    <x v="1"/>
    <x v="5"/>
    <x v="516"/>
    <x v="0"/>
    <x v="133"/>
    <x v="0"/>
    <x v="10"/>
    <x v="1126"/>
  </r>
  <r>
    <x v="0"/>
    <n v="741"/>
    <x v="514"/>
    <x v="0"/>
    <s v="LM"/>
    <s v="S"/>
    <x v="200"/>
    <x v="5"/>
    <x v="42"/>
    <m/>
    <x v="39"/>
    <m/>
    <x v="3"/>
    <x v="0"/>
    <x v="10"/>
    <d v="2011-09-20T00:00:00"/>
    <x v="9"/>
    <x v="0"/>
    <m/>
    <m/>
    <x v="0"/>
    <x v="1"/>
    <m/>
    <x v="0"/>
    <x v="5"/>
    <x v="516"/>
    <x v="3"/>
    <x v="0"/>
    <x v="1"/>
    <x v="10"/>
    <x v="1127"/>
  </r>
  <r>
    <x v="0"/>
    <n v="741"/>
    <x v="514"/>
    <x v="0"/>
    <s v="LM"/>
    <s v="S"/>
    <x v="200"/>
    <x v="5"/>
    <x v="12"/>
    <m/>
    <x v="12"/>
    <m/>
    <x v="2"/>
    <x v="0"/>
    <x v="11"/>
    <d v="2011-09-27T00:00:00"/>
    <x v="9"/>
    <x v="0"/>
    <m/>
    <s v="Désir d'Eternité"/>
    <x v="0"/>
    <x v="1"/>
    <m/>
    <x v="0"/>
    <x v="5"/>
    <x v="516"/>
    <x v="2"/>
    <x v="0"/>
    <x v="0"/>
    <x v="11"/>
    <x v="1128"/>
  </r>
  <r>
    <x v="0"/>
    <n v="741"/>
    <x v="514"/>
    <x v="0"/>
    <s v="LM"/>
    <s v="S"/>
    <x v="200"/>
    <x v="5"/>
    <x v="76"/>
    <m/>
    <x v="58"/>
    <m/>
    <x v="17"/>
    <x v="0"/>
    <x v="67"/>
    <d v="2011-11-30T00:00:00"/>
    <x v="13"/>
    <x v="0"/>
    <m/>
    <m/>
    <x v="0"/>
    <x v="0"/>
    <m/>
    <x v="0"/>
    <x v="5"/>
    <x v="516"/>
    <x v="17"/>
    <x v="0"/>
    <x v="0"/>
    <x v="67"/>
    <x v="1129"/>
  </r>
  <r>
    <x v="0"/>
    <n v="741"/>
    <x v="514"/>
    <x v="0"/>
    <s v="LM"/>
    <s v="S"/>
    <x v="200"/>
    <x v="5"/>
    <x v="168"/>
    <m/>
    <x v="128"/>
    <m/>
    <x v="1"/>
    <x v="0"/>
    <x v="92"/>
    <d v="2011-11-25T00:00:00"/>
    <x v="13"/>
    <x v="0"/>
    <m/>
    <m/>
    <x v="0"/>
    <x v="1"/>
    <m/>
    <x v="0"/>
    <x v="5"/>
    <x v="516"/>
    <x v="1"/>
    <x v="0"/>
    <x v="0"/>
    <x v="92"/>
    <x v="1130"/>
  </r>
  <r>
    <x v="0"/>
    <n v="741"/>
    <x v="514"/>
    <x v="0"/>
    <s v="LM"/>
    <s v="S"/>
    <x v="200"/>
    <x v="5"/>
    <x v="16"/>
    <m/>
    <x v="16"/>
    <m/>
    <x v="1"/>
    <x v="0"/>
    <x v="15"/>
    <d v="2011-12-17T00:00:00"/>
    <x v="12"/>
    <x v="0"/>
    <m/>
    <m/>
    <x v="0"/>
    <x v="1"/>
    <m/>
    <x v="0"/>
    <x v="5"/>
    <x v="516"/>
    <x v="1"/>
    <x v="0"/>
    <x v="0"/>
    <x v="15"/>
    <x v="1131"/>
  </r>
  <r>
    <x v="0"/>
    <n v="741"/>
    <x v="514"/>
    <x v="0"/>
    <s v="LM"/>
    <s v="S"/>
    <x v="200"/>
    <x v="5"/>
    <x v="86"/>
    <m/>
    <x v="65"/>
    <m/>
    <x v="9"/>
    <x v="0"/>
    <x v="15"/>
    <d v="2011-12-06T00:00:00"/>
    <x v="12"/>
    <x v="0"/>
    <m/>
    <m/>
    <x v="0"/>
    <x v="1"/>
    <m/>
    <x v="0"/>
    <x v="5"/>
    <x v="516"/>
    <x v="9"/>
    <x v="0"/>
    <x v="0"/>
    <x v="15"/>
    <x v="1132"/>
  </r>
  <r>
    <x v="0"/>
    <n v="741"/>
    <x v="514"/>
    <x v="0"/>
    <s v="LM"/>
    <s v="S"/>
    <x v="200"/>
    <x v="5"/>
    <x v="313"/>
    <m/>
    <x v="136"/>
    <m/>
    <x v="7"/>
    <x v="0"/>
    <x v="87"/>
    <m/>
    <x v="12"/>
    <x v="0"/>
    <m/>
    <m/>
    <x v="121"/>
    <x v="2"/>
    <m/>
    <x v="1"/>
    <x v="5"/>
    <x v="516"/>
    <x v="7"/>
    <x v="134"/>
    <x v="0"/>
    <x v="87"/>
    <x v="1133"/>
  </r>
  <r>
    <x v="0"/>
    <n v="741"/>
    <x v="514"/>
    <x v="0"/>
    <s v="LM"/>
    <s v="S"/>
    <x v="200"/>
    <x v="5"/>
    <x v="314"/>
    <m/>
    <x v="214"/>
    <m/>
    <x v="9"/>
    <x v="0"/>
    <x v="198"/>
    <m/>
    <x v="12"/>
    <x v="0"/>
    <m/>
    <m/>
    <x v="121"/>
    <x v="2"/>
    <m/>
    <x v="1"/>
    <x v="5"/>
    <x v="516"/>
    <x v="9"/>
    <x v="134"/>
    <x v="0"/>
    <x v="198"/>
    <x v="1134"/>
  </r>
  <r>
    <x v="0"/>
    <n v="744"/>
    <x v="515"/>
    <x v="4"/>
    <s v=""/>
    <s v=""/>
    <x v="398"/>
    <x v="2"/>
    <x v="21"/>
    <m/>
    <x v="21"/>
    <m/>
    <x v="3"/>
    <x v="0"/>
    <x v="15"/>
    <d v="2011-12-03T00:00:00"/>
    <x v="12"/>
    <x v="1"/>
    <s v="Curtas Documentário"/>
    <m/>
    <x v="0"/>
    <x v="0"/>
    <m/>
    <x v="0"/>
    <x v="7"/>
    <x v="517"/>
    <x v="3"/>
    <x v="0"/>
    <x v="1"/>
    <x v="15"/>
    <x v="1135"/>
  </r>
  <r>
    <x v="0"/>
    <n v="745"/>
    <x v="516"/>
    <x v="0"/>
    <s v="CM"/>
    <s v="N"/>
    <x v="9"/>
    <x v="5"/>
    <x v="62"/>
    <m/>
    <x v="23"/>
    <m/>
    <x v="3"/>
    <x v="0"/>
    <x v="58"/>
    <d v="2011-03-06T00:00:00"/>
    <x v="19"/>
    <x v="0"/>
    <m/>
    <s v="Panorama do Cinema Português"/>
    <x v="0"/>
    <x v="0"/>
    <m/>
    <x v="0"/>
    <x v="0"/>
    <x v="518"/>
    <x v="3"/>
    <x v="0"/>
    <x v="1"/>
    <x v="58"/>
    <x v="1136"/>
  </r>
  <r>
    <x v="0"/>
    <n v="745"/>
    <x v="516"/>
    <x v="0"/>
    <s v="CM"/>
    <s v="N"/>
    <x v="9"/>
    <x v="5"/>
    <x v="32"/>
    <m/>
    <x v="30"/>
    <m/>
    <x v="9"/>
    <x v="0"/>
    <x v="29"/>
    <d v="2011-04-03T00:00:00"/>
    <x v="3"/>
    <x v="0"/>
    <m/>
    <s v="Independent Shorts Program 3"/>
    <x v="0"/>
    <x v="0"/>
    <m/>
    <x v="0"/>
    <x v="0"/>
    <x v="518"/>
    <x v="9"/>
    <x v="0"/>
    <x v="0"/>
    <x v="29"/>
    <x v="1137"/>
  </r>
  <r>
    <x v="0"/>
    <n v="745"/>
    <x v="516"/>
    <x v="0"/>
    <s v="CM"/>
    <s v="N"/>
    <x v="9"/>
    <x v="5"/>
    <x v="65"/>
    <m/>
    <x v="51"/>
    <m/>
    <x v="14"/>
    <x v="0"/>
    <x v="61"/>
    <d v="2011-06-03T00:00:00"/>
    <x v="7"/>
    <x v="0"/>
    <m/>
    <m/>
    <x v="0"/>
    <x v="0"/>
    <m/>
    <x v="0"/>
    <x v="0"/>
    <x v="518"/>
    <x v="14"/>
    <x v="0"/>
    <x v="0"/>
    <x v="61"/>
    <x v="1138"/>
  </r>
  <r>
    <x v="0"/>
    <n v="745"/>
    <x v="516"/>
    <x v="0"/>
    <s v="CM"/>
    <s v="N"/>
    <x v="9"/>
    <x v="5"/>
    <x v="256"/>
    <m/>
    <x v="177"/>
    <m/>
    <x v="50"/>
    <x v="0"/>
    <x v="37"/>
    <d v="2011-08-27T00:00:00"/>
    <x v="16"/>
    <x v="1"/>
    <s v="European Short Critic - Part 1"/>
    <m/>
    <x v="122"/>
    <x v="0"/>
    <m/>
    <x v="1"/>
    <x v="0"/>
    <x v="518"/>
    <x v="50"/>
    <x v="135"/>
    <x v="0"/>
    <x v="37"/>
    <x v="1139"/>
  </r>
  <r>
    <x v="0"/>
    <n v="745"/>
    <x v="516"/>
    <x v="0"/>
    <s v="CM"/>
    <s v="N"/>
    <x v="9"/>
    <x v="5"/>
    <x v="69"/>
    <m/>
    <x v="54"/>
    <m/>
    <x v="15"/>
    <x v="0"/>
    <x v="65"/>
    <d v="2011-09-04T00:00:00"/>
    <x v="20"/>
    <x v="1"/>
    <s v="In Concorso"/>
    <m/>
    <x v="0"/>
    <x v="0"/>
    <m/>
    <x v="0"/>
    <x v="0"/>
    <x v="518"/>
    <x v="15"/>
    <x v="0"/>
    <x v="0"/>
    <x v="65"/>
    <x v="1140"/>
  </r>
  <r>
    <x v="0"/>
    <n v="745"/>
    <x v="516"/>
    <x v="0"/>
    <s v="CM"/>
    <s v="N"/>
    <x v="9"/>
    <x v="5"/>
    <x v="315"/>
    <m/>
    <x v="215"/>
    <m/>
    <x v="60"/>
    <x v="0"/>
    <x v="84"/>
    <d v="2011-09-09T00:00:00"/>
    <x v="9"/>
    <x v="1"/>
    <s v="Cortometrajes iberamericanos 1"/>
    <m/>
    <x v="0"/>
    <x v="0"/>
    <m/>
    <x v="0"/>
    <x v="0"/>
    <x v="518"/>
    <x v="60"/>
    <x v="0"/>
    <x v="0"/>
    <x v="84"/>
    <x v="1141"/>
  </r>
  <r>
    <x v="0"/>
    <n v="745"/>
    <x v="516"/>
    <x v="0"/>
    <s v="CM"/>
    <s v="N"/>
    <x v="9"/>
    <x v="5"/>
    <x v="21"/>
    <m/>
    <x v="21"/>
    <m/>
    <x v="3"/>
    <x v="0"/>
    <x v="15"/>
    <d v="2011-12-03T00:00:00"/>
    <x v="12"/>
    <x v="1"/>
    <s v="Curtas Ficção"/>
    <m/>
    <x v="0"/>
    <x v="0"/>
    <m/>
    <x v="0"/>
    <x v="0"/>
    <x v="518"/>
    <x v="3"/>
    <x v="0"/>
    <x v="1"/>
    <x v="15"/>
    <x v="1142"/>
  </r>
  <r>
    <x v="0"/>
    <n v="746"/>
    <x v="517"/>
    <x v="1"/>
    <s v="CM"/>
    <s v="N"/>
    <x v="399"/>
    <x v="2"/>
    <x v="316"/>
    <m/>
    <x v="11"/>
    <m/>
    <x v="3"/>
    <x v="0"/>
    <x v="199"/>
    <d v="2012-08-25T00:00:00"/>
    <x v="16"/>
    <x v="1"/>
    <s v="Documentário"/>
    <m/>
    <x v="37"/>
    <x v="0"/>
    <m/>
    <x v="1"/>
    <x v="2"/>
    <x v="519"/>
    <x v="3"/>
    <x v="136"/>
    <x v="1"/>
    <x v="199"/>
    <x v="1143"/>
  </r>
  <r>
    <x v="0"/>
    <n v="747"/>
    <x v="518"/>
    <x v="4"/>
    <s v=""/>
    <s v=""/>
    <x v="192"/>
    <x v="2"/>
    <x v="120"/>
    <m/>
    <x v="83"/>
    <m/>
    <x v="3"/>
    <x v="0"/>
    <x v="16"/>
    <d v="2011-12-04T00:00:00"/>
    <x v="12"/>
    <x v="1"/>
    <s v="Cinéfilos: Documentários"/>
    <m/>
    <x v="0"/>
    <x v="0"/>
    <m/>
    <x v="0"/>
    <x v="7"/>
    <x v="520"/>
    <x v="3"/>
    <x v="0"/>
    <x v="1"/>
    <x v="16"/>
    <x v="1144"/>
  </r>
  <r>
    <x v="0"/>
    <n v="748"/>
    <x v="519"/>
    <x v="4"/>
    <s v=""/>
    <s v=""/>
    <x v="400"/>
    <x v="2"/>
    <x v="70"/>
    <m/>
    <x v="38"/>
    <m/>
    <x v="3"/>
    <x v="0"/>
    <x v="19"/>
    <d v="2011-09-11T00:00:00"/>
    <x v="9"/>
    <x v="1"/>
    <s v="3ª sessão Competitiva"/>
    <m/>
    <x v="123"/>
    <x v="0"/>
    <m/>
    <x v="1"/>
    <x v="7"/>
    <x v="521"/>
    <x v="3"/>
    <x v="137"/>
    <x v="1"/>
    <x v="19"/>
    <x v="1145"/>
  </r>
  <r>
    <x v="0"/>
    <n v="748"/>
    <x v="519"/>
    <x v="4"/>
    <s v=""/>
    <s v=""/>
    <x v="400"/>
    <x v="2"/>
    <x v="107"/>
    <m/>
    <x v="83"/>
    <m/>
    <x v="3"/>
    <x v="0"/>
    <x v="25"/>
    <d v="2011-11-10T00:00:00"/>
    <x v="13"/>
    <x v="1"/>
    <m/>
    <m/>
    <x v="0"/>
    <x v="0"/>
    <m/>
    <x v="0"/>
    <x v="7"/>
    <x v="521"/>
    <x v="3"/>
    <x v="0"/>
    <x v="1"/>
    <x v="25"/>
    <x v="1146"/>
  </r>
  <r>
    <x v="0"/>
    <n v="748"/>
    <x v="519"/>
    <x v="4"/>
    <s v=""/>
    <s v=""/>
    <x v="400"/>
    <x v="2"/>
    <x v="21"/>
    <m/>
    <x v="21"/>
    <m/>
    <x v="3"/>
    <x v="0"/>
    <x v="15"/>
    <d v="2011-12-03T00:00:00"/>
    <x v="12"/>
    <x v="1"/>
    <s v="Curtas Videoclipe"/>
    <m/>
    <x v="0"/>
    <x v="0"/>
    <m/>
    <x v="0"/>
    <x v="7"/>
    <x v="521"/>
    <x v="3"/>
    <x v="0"/>
    <x v="1"/>
    <x v="15"/>
    <x v="1147"/>
  </r>
  <r>
    <x v="0"/>
    <n v="750"/>
    <x v="520"/>
    <x v="0"/>
    <s v="LM"/>
    <s v="S"/>
    <x v="401"/>
    <x v="1"/>
    <x v="10"/>
    <m/>
    <x v="10"/>
    <m/>
    <x v="0"/>
    <x v="0"/>
    <x v="10"/>
    <d v="2011-09-25T00:00:00"/>
    <x v="9"/>
    <x v="1"/>
    <s v="Andorinha Longa Ficção"/>
    <m/>
    <x v="124"/>
    <x v="0"/>
    <m/>
    <x v="1"/>
    <x v="5"/>
    <x v="522"/>
    <x v="0"/>
    <x v="138"/>
    <x v="0"/>
    <x v="10"/>
    <x v="1148"/>
  </r>
  <r>
    <x v="0"/>
    <n v="750"/>
    <x v="520"/>
    <x v="0"/>
    <s v="LM"/>
    <s v="S"/>
    <x v="401"/>
    <x v="1"/>
    <x v="12"/>
    <m/>
    <x v="12"/>
    <m/>
    <x v="2"/>
    <x v="0"/>
    <x v="11"/>
    <d v="2011-09-27T00:00:00"/>
    <x v="9"/>
    <x v="0"/>
    <m/>
    <s v="Etas et Lieux"/>
    <x v="0"/>
    <x v="1"/>
    <m/>
    <x v="0"/>
    <x v="5"/>
    <x v="522"/>
    <x v="2"/>
    <x v="0"/>
    <x v="0"/>
    <x v="11"/>
    <x v="1149"/>
  </r>
  <r>
    <x v="0"/>
    <n v="750"/>
    <x v="520"/>
    <x v="0"/>
    <s v="LM"/>
    <s v="S"/>
    <x v="401"/>
    <x v="1"/>
    <x v="85"/>
    <m/>
    <x v="64"/>
    <m/>
    <x v="18"/>
    <x v="0"/>
    <x v="77"/>
    <d v="2011-10-14T00:00:00"/>
    <x v="14"/>
    <x v="0"/>
    <m/>
    <s v="Extreme Portuguese Cinema: Six Auteurs in Focus"/>
    <x v="0"/>
    <x v="0"/>
    <m/>
    <x v="0"/>
    <x v="5"/>
    <x v="522"/>
    <x v="18"/>
    <x v="0"/>
    <x v="0"/>
    <x v="77"/>
    <x v="1150"/>
  </r>
  <r>
    <x v="0"/>
    <n v="750"/>
    <x v="520"/>
    <x v="0"/>
    <s v="LM"/>
    <s v="S"/>
    <x v="401"/>
    <x v="1"/>
    <x v="46"/>
    <m/>
    <x v="24"/>
    <m/>
    <x v="3"/>
    <x v="0"/>
    <x v="41"/>
    <d v="2011-11-22T00:00:00"/>
    <x v="13"/>
    <x v="0"/>
    <m/>
    <s v="O Cinema à Volta de Cinco Artes, Cinco Artes à Volta do Cinema"/>
    <x v="0"/>
    <x v="0"/>
    <m/>
    <x v="0"/>
    <x v="5"/>
    <x v="522"/>
    <x v="3"/>
    <x v="0"/>
    <x v="1"/>
    <x v="41"/>
    <x v="1151"/>
  </r>
  <r>
    <x v="0"/>
    <n v="750"/>
    <x v="520"/>
    <x v="0"/>
    <s v="LM"/>
    <s v="S"/>
    <x v="401"/>
    <x v="1"/>
    <x v="86"/>
    <m/>
    <x v="65"/>
    <m/>
    <x v="9"/>
    <x v="0"/>
    <x v="15"/>
    <d v="2011-12-06T00:00:00"/>
    <x v="12"/>
    <x v="0"/>
    <m/>
    <m/>
    <x v="0"/>
    <x v="1"/>
    <m/>
    <x v="0"/>
    <x v="5"/>
    <x v="522"/>
    <x v="9"/>
    <x v="0"/>
    <x v="0"/>
    <x v="15"/>
    <x v="1152"/>
  </r>
  <r>
    <x v="0"/>
    <n v="751"/>
    <x v="521"/>
    <x v="0"/>
    <s v="LM"/>
    <s v="S"/>
    <x v="402"/>
    <x v="2"/>
    <x v="317"/>
    <m/>
    <x v="216"/>
    <m/>
    <x v="3"/>
    <x v="0"/>
    <x v="9"/>
    <d v="2011-09-16T00:00:00"/>
    <x v="28"/>
    <x v="0"/>
    <m/>
    <m/>
    <x v="0"/>
    <x v="1"/>
    <m/>
    <x v="0"/>
    <x v="5"/>
    <x v="523"/>
    <x v="3"/>
    <x v="0"/>
    <x v="1"/>
    <x v="9"/>
    <x v="1153"/>
  </r>
  <r>
    <x v="0"/>
    <n v="752"/>
    <x v="522"/>
    <x v="4"/>
    <s v=""/>
    <s v=""/>
    <x v="403"/>
    <x v="2"/>
    <x v="63"/>
    <m/>
    <x v="24"/>
    <m/>
    <x v="3"/>
    <x v="0"/>
    <x v="59"/>
    <d v="2011-05-01T00:00:00"/>
    <x v="4"/>
    <x v="0"/>
    <m/>
    <s v="Cinema para a Inclusão"/>
    <x v="0"/>
    <x v="0"/>
    <m/>
    <x v="0"/>
    <x v="7"/>
    <x v="524"/>
    <x v="3"/>
    <x v="0"/>
    <x v="1"/>
    <x v="59"/>
    <x v="1154"/>
  </r>
  <r>
    <x v="0"/>
    <n v="753"/>
    <x v="523"/>
    <x v="1"/>
    <s v="LM"/>
    <s v="S"/>
    <x v="47"/>
    <x v="2"/>
    <x v="73"/>
    <m/>
    <x v="56"/>
    <m/>
    <x v="16"/>
    <x v="0"/>
    <x v="56"/>
    <d v="2011-04-26T00:00:00"/>
    <x v="5"/>
    <x v="0"/>
    <m/>
    <m/>
    <x v="0"/>
    <x v="1"/>
    <m/>
    <x v="0"/>
    <x v="1"/>
    <x v="525"/>
    <x v="16"/>
    <x v="0"/>
    <x v="0"/>
    <x v="56"/>
    <x v="1155"/>
  </r>
  <r>
    <x v="0"/>
    <n v="753"/>
    <x v="523"/>
    <x v="1"/>
    <s v="LM"/>
    <s v="S"/>
    <x v="47"/>
    <x v="2"/>
    <x v="85"/>
    <m/>
    <x v="64"/>
    <m/>
    <x v="18"/>
    <x v="0"/>
    <x v="77"/>
    <d v="2011-10-14T00:00:00"/>
    <x v="14"/>
    <x v="0"/>
    <m/>
    <s v="Extreme Portuguese Cinema: Six Auteurs in Focus"/>
    <x v="0"/>
    <x v="0"/>
    <m/>
    <x v="0"/>
    <x v="1"/>
    <x v="525"/>
    <x v="18"/>
    <x v="0"/>
    <x v="0"/>
    <x v="77"/>
    <x v="1156"/>
  </r>
  <r>
    <x v="0"/>
    <n v="753"/>
    <x v="523"/>
    <x v="1"/>
    <s v="LM"/>
    <s v="S"/>
    <x v="47"/>
    <x v="2"/>
    <x v="99"/>
    <m/>
    <x v="78"/>
    <m/>
    <x v="20"/>
    <x v="0"/>
    <x v="69"/>
    <d v="2011-11-13T00:00:00"/>
    <x v="13"/>
    <x v="0"/>
    <m/>
    <s v="Focus on Edgar Pêra - Programme 4"/>
    <x v="0"/>
    <x v="0"/>
    <m/>
    <x v="0"/>
    <x v="1"/>
    <x v="525"/>
    <x v="20"/>
    <x v="0"/>
    <x v="0"/>
    <x v="69"/>
    <x v="1157"/>
  </r>
  <r>
    <x v="0"/>
    <n v="753"/>
    <x v="523"/>
    <x v="1"/>
    <s v="LM"/>
    <s v="S"/>
    <x v="47"/>
    <x v="2"/>
    <x v="100"/>
    <m/>
    <x v="11"/>
    <m/>
    <x v="3"/>
    <x v="0"/>
    <x v="88"/>
    <d v="2011-12-21T00:00:00"/>
    <x v="12"/>
    <x v="0"/>
    <m/>
    <m/>
    <x v="0"/>
    <x v="1"/>
    <m/>
    <x v="0"/>
    <x v="1"/>
    <x v="525"/>
    <x v="3"/>
    <x v="0"/>
    <x v="1"/>
    <x v="88"/>
    <x v="1158"/>
  </r>
  <r>
    <x v="0"/>
    <n v="754"/>
    <x v="524"/>
    <x v="4"/>
    <s v=""/>
    <s v=""/>
    <x v="404"/>
    <x v="2"/>
    <x v="22"/>
    <m/>
    <x v="22"/>
    <m/>
    <x v="3"/>
    <x v="0"/>
    <x v="20"/>
    <d v="2011-11-17T00:00:00"/>
    <x v="13"/>
    <x v="0"/>
    <m/>
    <s v="Caminhos Juniores"/>
    <x v="0"/>
    <x v="0"/>
    <m/>
    <x v="0"/>
    <x v="7"/>
    <x v="526"/>
    <x v="3"/>
    <x v="0"/>
    <x v="1"/>
    <x v="20"/>
    <x v="1159"/>
  </r>
  <r>
    <x v="0"/>
    <n v="755"/>
    <x v="525"/>
    <x v="0"/>
    <s v="LM"/>
    <s v="N"/>
    <x v="63"/>
    <x v="31"/>
    <x v="55"/>
    <m/>
    <x v="45"/>
    <m/>
    <x v="3"/>
    <x v="0"/>
    <x v="183"/>
    <d v="2011-12-14T00:00:00"/>
    <x v="11"/>
    <x v="0"/>
    <m/>
    <s v="14º Programa: As Escolhas de Pedro Caldas"/>
    <x v="0"/>
    <x v="1"/>
    <m/>
    <x v="0"/>
    <x v="5"/>
    <x v="527"/>
    <x v="3"/>
    <x v="0"/>
    <x v="1"/>
    <x v="183"/>
    <x v="1160"/>
  </r>
  <r>
    <x v="0"/>
    <n v="756"/>
    <x v="526"/>
    <x v="1"/>
    <s v="CM"/>
    <s v="N"/>
    <x v="405"/>
    <x v="5"/>
    <x v="88"/>
    <m/>
    <x v="67"/>
    <m/>
    <x v="3"/>
    <x v="0"/>
    <x v="79"/>
    <d v="2011-10-15T00:00:00"/>
    <x v="14"/>
    <x v="1"/>
    <s v="Competição Lusófona"/>
    <m/>
    <x v="125"/>
    <x v="0"/>
    <m/>
    <x v="1"/>
    <x v="2"/>
    <x v="528"/>
    <x v="3"/>
    <x v="139"/>
    <x v="1"/>
    <x v="79"/>
    <x v="1161"/>
  </r>
  <r>
    <x v="0"/>
    <n v="757"/>
    <x v="527"/>
    <x v="1"/>
    <s v="LM"/>
    <s v="S"/>
    <x v="235"/>
    <x v="1"/>
    <x v="58"/>
    <m/>
    <x v="47"/>
    <m/>
    <x v="3"/>
    <x v="0"/>
    <x v="53"/>
    <d v="2011-09-04T00:00:00"/>
    <x v="9"/>
    <x v="0"/>
    <m/>
    <m/>
    <x v="0"/>
    <x v="1"/>
    <m/>
    <x v="0"/>
    <x v="1"/>
    <x v="529"/>
    <x v="3"/>
    <x v="0"/>
    <x v="1"/>
    <x v="53"/>
    <x v="1162"/>
  </r>
  <r>
    <x v="0"/>
    <n v="757"/>
    <x v="527"/>
    <x v="1"/>
    <s v="LM"/>
    <s v="S"/>
    <x v="235"/>
    <x v="1"/>
    <x v="162"/>
    <m/>
    <x v="124"/>
    <m/>
    <x v="3"/>
    <x v="0"/>
    <x v="0"/>
    <m/>
    <x v="14"/>
    <x v="0"/>
    <m/>
    <m/>
    <x v="0"/>
    <x v="1"/>
    <m/>
    <x v="0"/>
    <x v="1"/>
    <x v="529"/>
    <x v="3"/>
    <x v="0"/>
    <x v="1"/>
    <x v="0"/>
    <x v="1163"/>
  </r>
  <r>
    <x v="0"/>
    <n v="759"/>
    <x v="528"/>
    <x v="2"/>
    <s v="CM"/>
    <s v="S"/>
    <x v="406"/>
    <x v="3"/>
    <x v="192"/>
    <m/>
    <x v="140"/>
    <m/>
    <x v="3"/>
    <x v="0"/>
    <x v="140"/>
    <d v="2011-07-24T00:00:00"/>
    <x v="8"/>
    <x v="1"/>
    <s v="Competição AVANCA e Competição ESTREIA MUNDIAL"/>
    <m/>
    <x v="126"/>
    <x v="0"/>
    <m/>
    <x v="1"/>
    <x v="4"/>
    <x v="530"/>
    <x v="3"/>
    <x v="140"/>
    <x v="1"/>
    <x v="140"/>
    <x v="1164"/>
  </r>
  <r>
    <x v="0"/>
    <n v="759"/>
    <x v="528"/>
    <x v="2"/>
    <s v="CM"/>
    <s v="S"/>
    <x v="406"/>
    <x v="3"/>
    <x v="27"/>
    <m/>
    <x v="25"/>
    <m/>
    <x v="3"/>
    <x v="0"/>
    <x v="25"/>
    <d v="2011-11-13T00:00:00"/>
    <x v="13"/>
    <x v="1"/>
    <s v="Competição Nacional: Prémio António Gaio"/>
    <m/>
    <x v="0"/>
    <x v="0"/>
    <m/>
    <x v="0"/>
    <x v="4"/>
    <x v="530"/>
    <x v="3"/>
    <x v="0"/>
    <x v="1"/>
    <x v="25"/>
    <x v="1165"/>
  </r>
  <r>
    <x v="0"/>
    <n v="759"/>
    <x v="528"/>
    <x v="2"/>
    <s v="CM"/>
    <s v="S"/>
    <x v="406"/>
    <x v="3"/>
    <x v="22"/>
    <m/>
    <x v="22"/>
    <m/>
    <x v="3"/>
    <x v="0"/>
    <x v="20"/>
    <d v="2011-11-17T00:00:00"/>
    <x v="13"/>
    <x v="1"/>
    <s v="Sessão Competitiva 4"/>
    <m/>
    <x v="127"/>
    <x v="0"/>
    <m/>
    <x v="1"/>
    <x v="4"/>
    <x v="530"/>
    <x v="3"/>
    <x v="141"/>
    <x v="1"/>
    <x v="20"/>
    <x v="1166"/>
  </r>
  <r>
    <x v="0"/>
    <n v="759"/>
    <x v="528"/>
    <x v="2"/>
    <s v="CM"/>
    <s v="S"/>
    <x v="406"/>
    <x v="3"/>
    <x v="116"/>
    <m/>
    <x v="89"/>
    <m/>
    <x v="26"/>
    <x v="0"/>
    <x v="91"/>
    <d v="2012-12-10T00:00:00"/>
    <x v="12"/>
    <x v="1"/>
    <s v="Short Films Animation"/>
    <m/>
    <x v="0"/>
    <x v="0"/>
    <m/>
    <x v="0"/>
    <x v="4"/>
    <x v="530"/>
    <x v="26"/>
    <x v="0"/>
    <x v="0"/>
    <x v="91"/>
    <x v="1167"/>
  </r>
  <r>
    <x v="0"/>
    <n v="760"/>
    <x v="529"/>
    <x v="4"/>
    <s v=""/>
    <s v=""/>
    <x v="407"/>
    <x v="2"/>
    <x v="318"/>
    <m/>
    <x v="217"/>
    <m/>
    <x v="1"/>
    <x v="0"/>
    <x v="139"/>
    <m/>
    <x v="14"/>
    <x v="0"/>
    <m/>
    <m/>
    <x v="0"/>
    <x v="1"/>
    <m/>
    <x v="0"/>
    <x v="7"/>
    <x v="531"/>
    <x v="1"/>
    <x v="0"/>
    <x v="0"/>
    <x v="139"/>
    <x v="1168"/>
  </r>
  <r>
    <x v="0"/>
    <n v="761"/>
    <x v="530"/>
    <x v="0"/>
    <s v="CM"/>
    <s v="N"/>
    <x v="89"/>
    <x v="4"/>
    <x v="62"/>
    <m/>
    <x v="23"/>
    <m/>
    <x v="3"/>
    <x v="0"/>
    <x v="58"/>
    <d v="2011-03-06T00:00:00"/>
    <x v="19"/>
    <x v="0"/>
    <m/>
    <s v="João Menezes 10 Anos"/>
    <x v="0"/>
    <x v="0"/>
    <m/>
    <x v="0"/>
    <x v="0"/>
    <x v="532"/>
    <x v="3"/>
    <x v="0"/>
    <x v="1"/>
    <x v="58"/>
    <x v="1169"/>
  </r>
  <r>
    <x v="0"/>
    <n v="764"/>
    <x v="531"/>
    <x v="4"/>
    <s v=""/>
    <s v=""/>
    <x v="408"/>
    <x v="2"/>
    <x v="146"/>
    <m/>
    <x v="24"/>
    <m/>
    <x v="3"/>
    <x v="0"/>
    <x v="112"/>
    <d v="2011-05-15T00:00:00"/>
    <x v="6"/>
    <x v="0"/>
    <m/>
    <s v="Indie Music"/>
    <x v="0"/>
    <x v="0"/>
    <m/>
    <x v="0"/>
    <x v="7"/>
    <x v="533"/>
    <x v="3"/>
    <x v="0"/>
    <x v="1"/>
    <x v="112"/>
    <x v="1170"/>
  </r>
  <r>
    <x v="0"/>
    <n v="765"/>
    <x v="532"/>
    <x v="0"/>
    <s v="CM"/>
    <s v="N"/>
    <x v="409"/>
    <x v="2"/>
    <x v="22"/>
    <m/>
    <x v="22"/>
    <m/>
    <x v="3"/>
    <x v="0"/>
    <x v="20"/>
    <d v="2011-11-17T00:00:00"/>
    <x v="13"/>
    <x v="1"/>
    <s v="Ensaios Visuais 2"/>
    <m/>
    <x v="0"/>
    <x v="0"/>
    <m/>
    <x v="0"/>
    <x v="0"/>
    <x v="534"/>
    <x v="3"/>
    <x v="0"/>
    <x v="1"/>
    <x v="20"/>
    <x v="1171"/>
  </r>
  <r>
    <x v="0"/>
    <n v="766"/>
    <x v="533"/>
    <x v="4"/>
    <s v=""/>
    <s v=""/>
    <x v="410"/>
    <x v="2"/>
    <x v="180"/>
    <m/>
    <x v="134"/>
    <m/>
    <x v="41"/>
    <x v="0"/>
    <x v="21"/>
    <d v="2011-09-14T00:00:00"/>
    <x v="9"/>
    <x v="0"/>
    <m/>
    <m/>
    <x v="0"/>
    <x v="1"/>
    <m/>
    <x v="0"/>
    <x v="7"/>
    <x v="535"/>
    <x v="41"/>
    <x v="0"/>
    <x v="0"/>
    <x v="21"/>
    <x v="1172"/>
  </r>
  <r>
    <x v="0"/>
    <n v="767"/>
    <x v="534"/>
    <x v="4"/>
    <s v=""/>
    <s v=""/>
    <x v="254"/>
    <x v="2"/>
    <x v="65"/>
    <m/>
    <x v="51"/>
    <m/>
    <x v="14"/>
    <x v="0"/>
    <x v="61"/>
    <d v="2011-06-03T00:00:00"/>
    <x v="7"/>
    <x v="0"/>
    <m/>
    <m/>
    <x v="0"/>
    <x v="0"/>
    <m/>
    <x v="0"/>
    <x v="7"/>
    <x v="536"/>
    <x v="14"/>
    <x v="0"/>
    <x v="0"/>
    <x v="61"/>
    <x v="1173"/>
  </r>
  <r>
    <x v="0"/>
    <n v="769"/>
    <x v="535"/>
    <x v="2"/>
    <s v="CM"/>
    <s v="S"/>
    <x v="411"/>
    <x v="3"/>
    <x v="94"/>
    <m/>
    <x v="73"/>
    <m/>
    <x v="3"/>
    <x v="0"/>
    <x v="85"/>
    <d v="2011-10-30T00:00:00"/>
    <x v="14"/>
    <x v="0"/>
    <m/>
    <s v="Panorama da Curta Metragem Portuguesa"/>
    <x v="0"/>
    <x v="0"/>
    <m/>
    <x v="0"/>
    <x v="4"/>
    <x v="537"/>
    <x v="3"/>
    <x v="0"/>
    <x v="1"/>
    <x v="85"/>
    <x v="1174"/>
  </r>
  <r>
    <x v="0"/>
    <n v="769"/>
    <x v="535"/>
    <x v="2"/>
    <s v="CM"/>
    <s v="S"/>
    <x v="411"/>
    <x v="3"/>
    <x v="27"/>
    <m/>
    <x v="25"/>
    <m/>
    <x v="3"/>
    <x v="0"/>
    <x v="25"/>
    <d v="2011-11-13T00:00:00"/>
    <x v="13"/>
    <x v="1"/>
    <s v="Competição Nacional: Prémio António Gaio"/>
    <m/>
    <x v="0"/>
    <x v="0"/>
    <m/>
    <x v="0"/>
    <x v="4"/>
    <x v="537"/>
    <x v="3"/>
    <x v="0"/>
    <x v="1"/>
    <x v="25"/>
    <x v="1175"/>
  </r>
  <r>
    <x v="0"/>
    <n v="770"/>
    <x v="536"/>
    <x v="4"/>
    <s v=""/>
    <s v=""/>
    <x v="282"/>
    <x v="2"/>
    <x v="68"/>
    <m/>
    <x v="53"/>
    <m/>
    <x v="3"/>
    <x v="0"/>
    <x v="64"/>
    <d v="2011-07-17T00:00:00"/>
    <x v="8"/>
    <x v="0"/>
    <m/>
    <s v="Panorama Nacional - Super 8"/>
    <x v="0"/>
    <x v="0"/>
    <m/>
    <x v="0"/>
    <x v="7"/>
    <x v="538"/>
    <x v="3"/>
    <x v="0"/>
    <x v="1"/>
    <x v="64"/>
    <x v="1176"/>
  </r>
  <r>
    <x v="0"/>
    <n v="772"/>
    <x v="537"/>
    <x v="0"/>
    <s v="CM"/>
    <s v="S"/>
    <x v="290"/>
    <x v="5"/>
    <x v="90"/>
    <m/>
    <x v="69"/>
    <m/>
    <x v="8"/>
    <x v="0"/>
    <x v="81"/>
    <d v="2011-02-06T00:00:00"/>
    <x v="18"/>
    <x v="0"/>
    <m/>
    <s v="Spectrum Shorts - Make Believe e Short Film Marathon 2011 Part One"/>
    <x v="0"/>
    <x v="0"/>
    <m/>
    <x v="0"/>
    <x v="0"/>
    <x v="539"/>
    <x v="8"/>
    <x v="0"/>
    <x v="0"/>
    <x v="81"/>
    <x v="1177"/>
  </r>
  <r>
    <x v="0"/>
    <n v="772"/>
    <x v="537"/>
    <x v="0"/>
    <s v="CM"/>
    <s v="S"/>
    <x v="290"/>
    <x v="5"/>
    <x v="55"/>
    <m/>
    <x v="45"/>
    <m/>
    <x v="3"/>
    <x v="0"/>
    <x v="27"/>
    <d v="2011-03-30T00:00:00"/>
    <x v="2"/>
    <x v="0"/>
    <m/>
    <s v="8º Programa: As Escolhas de Nuno Amorim"/>
    <x v="0"/>
    <x v="1"/>
    <m/>
    <x v="0"/>
    <x v="0"/>
    <x v="539"/>
    <x v="3"/>
    <x v="0"/>
    <x v="1"/>
    <x v="27"/>
    <x v="1178"/>
  </r>
  <r>
    <x v="0"/>
    <n v="772"/>
    <x v="537"/>
    <x v="0"/>
    <s v="CM"/>
    <s v="S"/>
    <x v="290"/>
    <x v="5"/>
    <x v="234"/>
    <m/>
    <x v="164"/>
    <m/>
    <x v="5"/>
    <x v="0"/>
    <x v="200"/>
    <d v="2011-08-15T00:00:00"/>
    <x v="16"/>
    <x v="1"/>
    <m/>
    <m/>
    <x v="0"/>
    <x v="0"/>
    <m/>
    <x v="0"/>
    <x v="0"/>
    <x v="539"/>
    <x v="5"/>
    <x v="0"/>
    <x v="0"/>
    <x v="200"/>
    <x v="1179"/>
  </r>
  <r>
    <x v="0"/>
    <n v="772"/>
    <x v="537"/>
    <x v="0"/>
    <s v="CM"/>
    <s v="S"/>
    <x v="290"/>
    <x v="5"/>
    <x v="10"/>
    <m/>
    <x v="10"/>
    <m/>
    <x v="0"/>
    <x v="0"/>
    <x v="10"/>
    <d v="2011-09-25T00:00:00"/>
    <x v="9"/>
    <x v="1"/>
    <s v="Andorinha Curta  Ficção"/>
    <m/>
    <x v="0"/>
    <x v="0"/>
    <m/>
    <x v="0"/>
    <x v="0"/>
    <x v="539"/>
    <x v="0"/>
    <x v="0"/>
    <x v="0"/>
    <x v="10"/>
    <x v="1180"/>
  </r>
  <r>
    <x v="0"/>
    <n v="772"/>
    <x v="537"/>
    <x v="0"/>
    <s v="CM"/>
    <s v="S"/>
    <x v="290"/>
    <x v="5"/>
    <x v="88"/>
    <m/>
    <x v="67"/>
    <m/>
    <x v="3"/>
    <x v="0"/>
    <x v="79"/>
    <d v="2011-10-15T00:00:00"/>
    <x v="14"/>
    <x v="1"/>
    <s v="Competição Lusófona"/>
    <m/>
    <x v="0"/>
    <x v="0"/>
    <m/>
    <x v="0"/>
    <x v="0"/>
    <x v="539"/>
    <x v="3"/>
    <x v="0"/>
    <x v="1"/>
    <x v="79"/>
    <x v="1181"/>
  </r>
  <r>
    <x v="0"/>
    <n v="772"/>
    <x v="537"/>
    <x v="0"/>
    <s v="CM"/>
    <s v="S"/>
    <x v="290"/>
    <x v="5"/>
    <x v="161"/>
    <m/>
    <x v="35"/>
    <m/>
    <x v="2"/>
    <x v="0"/>
    <x v="127"/>
    <d v="2011-10-29T00:00:00"/>
    <x v="14"/>
    <x v="1"/>
    <s v="Compétiton court métrages 1"/>
    <m/>
    <x v="0"/>
    <x v="0"/>
    <m/>
    <x v="0"/>
    <x v="0"/>
    <x v="539"/>
    <x v="2"/>
    <x v="0"/>
    <x v="0"/>
    <x v="127"/>
    <x v="1182"/>
  </r>
  <r>
    <x v="0"/>
    <n v="772"/>
    <x v="537"/>
    <x v="0"/>
    <s v="CM"/>
    <s v="S"/>
    <x v="290"/>
    <x v="5"/>
    <x v="99"/>
    <m/>
    <x v="78"/>
    <m/>
    <x v="20"/>
    <x v="0"/>
    <x v="69"/>
    <d v="2011-11-13T00:00:00"/>
    <x v="13"/>
    <x v="1"/>
    <s v="International Shorts -- Programme 5"/>
    <m/>
    <x v="0"/>
    <x v="0"/>
    <m/>
    <x v="0"/>
    <x v="0"/>
    <x v="539"/>
    <x v="20"/>
    <x v="0"/>
    <x v="0"/>
    <x v="69"/>
    <x v="1183"/>
  </r>
  <r>
    <x v="0"/>
    <n v="773"/>
    <x v="538"/>
    <x v="4"/>
    <s v=""/>
    <s v=""/>
    <x v="412"/>
    <x v="2"/>
    <x v="23"/>
    <m/>
    <x v="23"/>
    <m/>
    <x v="3"/>
    <x v="0"/>
    <x v="21"/>
    <d v="2011-09-23T00:00:00"/>
    <x v="9"/>
    <x v="0"/>
    <m/>
    <m/>
    <x v="0"/>
    <x v="1"/>
    <m/>
    <x v="0"/>
    <x v="7"/>
    <x v="540"/>
    <x v="3"/>
    <x v="0"/>
    <x v="1"/>
    <x v="21"/>
    <x v="1184"/>
  </r>
  <r>
    <x v="0"/>
    <n v="774"/>
    <x v="539"/>
    <x v="4"/>
    <s v=""/>
    <s v=""/>
    <x v="413"/>
    <x v="2"/>
    <x v="13"/>
    <m/>
    <x v="13"/>
    <m/>
    <x v="3"/>
    <x v="0"/>
    <x v="191"/>
    <m/>
    <x v="12"/>
    <x v="0"/>
    <m/>
    <m/>
    <x v="0"/>
    <x v="1"/>
    <m/>
    <x v="0"/>
    <x v="7"/>
    <x v="541"/>
    <x v="3"/>
    <x v="0"/>
    <x v="1"/>
    <x v="191"/>
    <x v="1185"/>
  </r>
  <r>
    <x v="0"/>
    <n v="780"/>
    <x v="540"/>
    <x v="1"/>
    <s v="CM"/>
    <s v="N"/>
    <x v="414"/>
    <x v="2"/>
    <x v="21"/>
    <m/>
    <x v="21"/>
    <m/>
    <x v="3"/>
    <x v="0"/>
    <x v="15"/>
    <d v="2011-12-03T00:00:00"/>
    <x v="12"/>
    <x v="1"/>
    <s v="Documentários (média e longa metragem)"/>
    <m/>
    <x v="40"/>
    <x v="0"/>
    <m/>
    <x v="1"/>
    <x v="2"/>
    <x v="542"/>
    <x v="3"/>
    <x v="142"/>
    <x v="1"/>
    <x v="15"/>
    <x v="1186"/>
  </r>
  <r>
    <x v="0"/>
    <n v="781"/>
    <x v="541"/>
    <x v="4"/>
    <s v=""/>
    <s v=""/>
    <x v="415"/>
    <x v="2"/>
    <x v="22"/>
    <m/>
    <x v="22"/>
    <m/>
    <x v="3"/>
    <x v="0"/>
    <x v="20"/>
    <d v="2011-11-17T00:00:00"/>
    <x v="13"/>
    <x v="1"/>
    <s v="Ensaios Visuais 2"/>
    <m/>
    <x v="0"/>
    <x v="0"/>
    <m/>
    <x v="0"/>
    <x v="7"/>
    <x v="543"/>
    <x v="3"/>
    <x v="0"/>
    <x v="1"/>
    <x v="20"/>
    <x v="1187"/>
  </r>
  <r>
    <x v="0"/>
    <n v="782"/>
    <x v="542"/>
    <x v="1"/>
    <s v="LM"/>
    <s v="N"/>
    <x v="1"/>
    <x v="27"/>
    <x v="319"/>
    <m/>
    <x v="23"/>
    <m/>
    <x v="3"/>
    <x v="0"/>
    <x v="140"/>
    <m/>
    <x v="8"/>
    <x v="0"/>
    <m/>
    <s v="Sessão do Clube Português de Cinematografia"/>
    <x v="0"/>
    <x v="1"/>
    <m/>
    <x v="0"/>
    <x v="1"/>
    <x v="544"/>
    <x v="3"/>
    <x v="0"/>
    <x v="1"/>
    <x v="140"/>
    <x v="1188"/>
  </r>
  <r>
    <x v="0"/>
    <n v="783"/>
    <x v="543"/>
    <x v="0"/>
    <s v="CM"/>
    <s v=""/>
    <x v="127"/>
    <x v="5"/>
    <x v="146"/>
    <m/>
    <x v="24"/>
    <m/>
    <x v="3"/>
    <x v="0"/>
    <x v="112"/>
    <d v="2011-05-15T00:00:00"/>
    <x v="6"/>
    <x v="0"/>
    <s v="Indie Júnior"/>
    <m/>
    <x v="0"/>
    <x v="0"/>
    <m/>
    <x v="0"/>
    <x v="0"/>
    <x v="545"/>
    <x v="3"/>
    <x v="0"/>
    <x v="1"/>
    <x v="112"/>
    <x v="1189"/>
  </r>
  <r>
    <x v="0"/>
    <n v="785"/>
    <x v="544"/>
    <x v="4"/>
    <s v=""/>
    <s v=""/>
    <x v="416"/>
    <x v="2"/>
    <x v="21"/>
    <m/>
    <x v="21"/>
    <m/>
    <x v="3"/>
    <x v="0"/>
    <x v="15"/>
    <d v="2011-12-03T00:00:00"/>
    <x v="12"/>
    <x v="1"/>
    <s v="Curtas Documentário"/>
    <m/>
    <x v="0"/>
    <x v="0"/>
    <m/>
    <x v="0"/>
    <x v="7"/>
    <x v="546"/>
    <x v="3"/>
    <x v="0"/>
    <x v="1"/>
    <x v="15"/>
    <x v="1190"/>
  </r>
  <r>
    <x v="0"/>
    <n v="786"/>
    <x v="545"/>
    <x v="4"/>
    <s v=""/>
    <s v=""/>
    <x v="417"/>
    <x v="2"/>
    <x v="22"/>
    <m/>
    <x v="22"/>
    <m/>
    <x v="3"/>
    <x v="0"/>
    <x v="20"/>
    <d v="2011-11-17T00:00:00"/>
    <x v="13"/>
    <x v="1"/>
    <s v="Sessão Competitiva 12"/>
    <m/>
    <x v="0"/>
    <x v="0"/>
    <m/>
    <x v="0"/>
    <x v="7"/>
    <x v="547"/>
    <x v="3"/>
    <x v="0"/>
    <x v="1"/>
    <x v="20"/>
    <x v="1191"/>
  </r>
  <r>
    <x v="0"/>
    <n v="787"/>
    <x v="546"/>
    <x v="0"/>
    <s v="LM"/>
    <s v="S"/>
    <x v="418"/>
    <x v="12"/>
    <x v="73"/>
    <m/>
    <x v="56"/>
    <m/>
    <x v="16"/>
    <x v="0"/>
    <x v="56"/>
    <d v="2011-04-26T00:00:00"/>
    <x v="5"/>
    <x v="0"/>
    <m/>
    <m/>
    <x v="0"/>
    <x v="1"/>
    <m/>
    <x v="0"/>
    <x v="5"/>
    <x v="548"/>
    <x v="16"/>
    <x v="0"/>
    <x v="0"/>
    <x v="56"/>
    <x v="1192"/>
  </r>
  <r>
    <x v="0"/>
    <n v="787"/>
    <x v="546"/>
    <x v="0"/>
    <s v="LM"/>
    <s v="S"/>
    <x v="418"/>
    <x v="12"/>
    <x v="118"/>
    <m/>
    <x v="24"/>
    <m/>
    <x v="3"/>
    <x v="0"/>
    <x v="99"/>
    <d v="2011-12-03T00:00:00"/>
    <x v="11"/>
    <x v="0"/>
    <m/>
    <m/>
    <x v="0"/>
    <x v="1"/>
    <m/>
    <x v="0"/>
    <x v="5"/>
    <x v="548"/>
    <x v="3"/>
    <x v="0"/>
    <x v="1"/>
    <x v="99"/>
    <x v="1193"/>
  </r>
  <r>
    <x v="0"/>
    <n v="788"/>
    <x v="547"/>
    <x v="0"/>
    <s v="CM"/>
    <s v="N"/>
    <x v="419"/>
    <x v="2"/>
    <x v="67"/>
    <m/>
    <x v="23"/>
    <m/>
    <x v="3"/>
    <x v="0"/>
    <x v="63"/>
    <d v="2011-06-12T00:00:00"/>
    <x v="7"/>
    <x v="0"/>
    <m/>
    <s v="Sessão Não Competitiva 5"/>
    <x v="0"/>
    <x v="0"/>
    <m/>
    <x v="0"/>
    <x v="0"/>
    <x v="549"/>
    <x v="3"/>
    <x v="0"/>
    <x v="1"/>
    <x v="63"/>
    <x v="1194"/>
  </r>
  <r>
    <x v="0"/>
    <n v="788"/>
    <x v="547"/>
    <x v="0"/>
    <s v="CM"/>
    <s v="N"/>
    <x v="419"/>
    <x v="2"/>
    <x v="88"/>
    <m/>
    <x v="67"/>
    <m/>
    <x v="3"/>
    <x v="0"/>
    <x v="79"/>
    <d v="2011-10-15T00:00:00"/>
    <x v="14"/>
    <x v="1"/>
    <s v="Competição Lusófona"/>
    <m/>
    <x v="0"/>
    <x v="0"/>
    <m/>
    <x v="0"/>
    <x v="0"/>
    <x v="549"/>
    <x v="3"/>
    <x v="0"/>
    <x v="1"/>
    <x v="79"/>
    <x v="1195"/>
  </r>
  <r>
    <x v="0"/>
    <n v="789"/>
    <x v="548"/>
    <x v="4"/>
    <s v=""/>
    <s v=""/>
    <x v="420"/>
    <x v="2"/>
    <x v="107"/>
    <m/>
    <x v="83"/>
    <m/>
    <x v="3"/>
    <x v="0"/>
    <x v="25"/>
    <d v="2011-11-10T00:00:00"/>
    <x v="13"/>
    <x v="1"/>
    <m/>
    <m/>
    <x v="0"/>
    <x v="0"/>
    <m/>
    <x v="0"/>
    <x v="7"/>
    <x v="550"/>
    <x v="3"/>
    <x v="0"/>
    <x v="1"/>
    <x v="25"/>
    <x v="1196"/>
  </r>
  <r>
    <x v="0"/>
    <n v="790"/>
    <x v="549"/>
    <x v="4"/>
    <s v=""/>
    <s v=""/>
    <x v="8"/>
    <x v="2"/>
    <x v="12"/>
    <m/>
    <x v="12"/>
    <m/>
    <x v="2"/>
    <x v="0"/>
    <x v="11"/>
    <d v="2011-09-27T00:00:00"/>
    <x v="9"/>
    <x v="0"/>
    <m/>
    <s v="Les Blessures"/>
    <x v="0"/>
    <x v="1"/>
    <m/>
    <x v="0"/>
    <x v="7"/>
    <x v="551"/>
    <x v="2"/>
    <x v="0"/>
    <x v="0"/>
    <x v="11"/>
    <x v="1197"/>
  </r>
  <r>
    <x v="0"/>
    <n v="791"/>
    <x v="550"/>
    <x v="4"/>
    <s v=""/>
    <s v="N"/>
    <x v="35"/>
    <x v="2"/>
    <x v="156"/>
    <m/>
    <x v="49"/>
    <m/>
    <x v="3"/>
    <x v="0"/>
    <x v="185"/>
    <m/>
    <x v="1"/>
    <x v="0"/>
    <m/>
    <m/>
    <x v="0"/>
    <x v="1"/>
    <m/>
    <x v="0"/>
    <x v="7"/>
    <x v="552"/>
    <x v="3"/>
    <x v="0"/>
    <x v="1"/>
    <x v="185"/>
    <x v="1198"/>
  </r>
  <r>
    <x v="0"/>
    <n v="793"/>
    <x v="551"/>
    <x v="2"/>
    <s v="Série"/>
    <s v=""/>
    <x v="189"/>
    <x v="2"/>
    <x v="27"/>
    <m/>
    <x v="25"/>
    <m/>
    <x v="3"/>
    <x v="0"/>
    <x v="25"/>
    <d v="2011-11-13T00:00:00"/>
    <x v="13"/>
    <x v="1"/>
    <s v="Competição Nacional: Prémio António Gaio"/>
    <m/>
    <x v="0"/>
    <x v="0"/>
    <m/>
    <x v="0"/>
    <x v="9"/>
    <x v="553"/>
    <x v="3"/>
    <x v="0"/>
    <x v="1"/>
    <x v="25"/>
    <x v="1199"/>
  </r>
  <r>
    <x v="0"/>
    <n v="794"/>
    <x v="552"/>
    <x v="4"/>
    <s v=""/>
    <s v=""/>
    <x v="421"/>
    <x v="2"/>
    <x v="182"/>
    <m/>
    <x v="17"/>
    <m/>
    <x v="2"/>
    <x v="0"/>
    <x v="29"/>
    <d v="2011-04-05T00:00:00"/>
    <x v="3"/>
    <x v="0"/>
    <m/>
    <s v="Exploring Documentary: Le poème documentaire - Poème 10: Les détails du monde: récollection"/>
    <x v="0"/>
    <x v="0"/>
    <m/>
    <x v="0"/>
    <x v="7"/>
    <x v="554"/>
    <x v="2"/>
    <x v="0"/>
    <x v="0"/>
    <x v="29"/>
    <x v="1200"/>
  </r>
  <r>
    <x v="0"/>
    <n v="795"/>
    <x v="553"/>
    <x v="1"/>
    <s v="CM"/>
    <s v="N"/>
    <x v="422"/>
    <x v="5"/>
    <x v="3"/>
    <m/>
    <x v="3"/>
    <m/>
    <x v="2"/>
    <x v="0"/>
    <x v="3"/>
    <d v="2011-04-03T00:00:00"/>
    <x v="3"/>
    <x v="0"/>
    <m/>
    <s v="Au Sud de l'Europe - Portugal"/>
    <x v="0"/>
    <x v="0"/>
    <m/>
    <x v="0"/>
    <x v="2"/>
    <x v="555"/>
    <x v="2"/>
    <x v="0"/>
    <x v="0"/>
    <x v="3"/>
    <x v="1201"/>
  </r>
  <r>
    <x v="0"/>
    <n v="795"/>
    <x v="553"/>
    <x v="1"/>
    <s v="CM"/>
    <s v="N"/>
    <x v="422"/>
    <x v="5"/>
    <x v="138"/>
    <m/>
    <x v="105"/>
    <m/>
    <x v="32"/>
    <x v="0"/>
    <x v="113"/>
    <d v="2011-06-04T00:00:00"/>
    <x v="22"/>
    <x v="1"/>
    <s v="Concurso de documentales"/>
    <m/>
    <x v="0"/>
    <x v="0"/>
    <m/>
    <x v="0"/>
    <x v="2"/>
    <x v="555"/>
    <x v="32"/>
    <x v="0"/>
    <x v="0"/>
    <x v="113"/>
    <x v="1202"/>
  </r>
  <r>
    <x v="0"/>
    <n v="795"/>
    <x v="553"/>
    <x v="1"/>
    <s v="CM"/>
    <s v="N"/>
    <x v="422"/>
    <x v="5"/>
    <x v="78"/>
    <m/>
    <x v="59"/>
    <m/>
    <x v="3"/>
    <x v="0"/>
    <x v="66"/>
    <d v="2011-10-30T00:00:00"/>
    <x v="14"/>
    <x v="1"/>
    <s v="Competição Nacional"/>
    <m/>
    <x v="0"/>
    <x v="0"/>
    <m/>
    <x v="0"/>
    <x v="2"/>
    <x v="555"/>
    <x v="3"/>
    <x v="0"/>
    <x v="1"/>
    <x v="66"/>
    <x v="1203"/>
  </r>
  <r>
    <x v="0"/>
    <n v="795"/>
    <x v="553"/>
    <x v="1"/>
    <s v="CM"/>
    <s v="N"/>
    <x v="422"/>
    <x v="5"/>
    <x v="22"/>
    <m/>
    <x v="22"/>
    <m/>
    <x v="3"/>
    <x v="0"/>
    <x v="20"/>
    <d v="2011-11-17T00:00:00"/>
    <x v="13"/>
    <x v="1"/>
    <s v="Sessão Competitiva 9"/>
    <m/>
    <x v="0"/>
    <x v="0"/>
    <m/>
    <x v="0"/>
    <x v="2"/>
    <x v="555"/>
    <x v="3"/>
    <x v="0"/>
    <x v="1"/>
    <x v="20"/>
    <x v="1204"/>
  </r>
  <r>
    <x v="0"/>
    <n v="795"/>
    <x v="553"/>
    <x v="1"/>
    <s v="CM"/>
    <s v="N"/>
    <x v="422"/>
    <x v="5"/>
    <x v="229"/>
    <m/>
    <x v="160"/>
    <m/>
    <x v="47"/>
    <x v="0"/>
    <x v="148"/>
    <d v="2011-12-20T00:00:00"/>
    <x v="12"/>
    <x v="1"/>
    <s v="International Showcase: Short length Documentaries"/>
    <m/>
    <x v="0"/>
    <x v="0"/>
    <m/>
    <x v="0"/>
    <x v="2"/>
    <x v="555"/>
    <x v="47"/>
    <x v="0"/>
    <x v="0"/>
    <x v="148"/>
    <x v="1205"/>
  </r>
  <r>
    <x v="0"/>
    <n v="796"/>
    <x v="554"/>
    <x v="4"/>
    <s v="CM"/>
    <s v="N"/>
    <x v="423"/>
    <x v="2"/>
    <x v="170"/>
    <m/>
    <x v="23"/>
    <m/>
    <x v="3"/>
    <x v="0"/>
    <x v="129"/>
    <m/>
    <x v="16"/>
    <x v="0"/>
    <m/>
    <m/>
    <x v="0"/>
    <x v="1"/>
    <m/>
    <x v="0"/>
    <x v="8"/>
    <x v="556"/>
    <x v="3"/>
    <x v="0"/>
    <x v="1"/>
    <x v="129"/>
    <x v="1206"/>
  </r>
  <r>
    <x v="0"/>
    <n v="796"/>
    <x v="554"/>
    <x v="4"/>
    <s v="CM"/>
    <s v="N"/>
    <x v="423"/>
    <x v="2"/>
    <x v="22"/>
    <m/>
    <x v="22"/>
    <m/>
    <x v="3"/>
    <x v="0"/>
    <x v="20"/>
    <d v="2011-11-17T00:00:00"/>
    <x v="13"/>
    <x v="1"/>
    <s v="Sessão Competitiva 5"/>
    <m/>
    <x v="0"/>
    <x v="0"/>
    <m/>
    <x v="0"/>
    <x v="8"/>
    <x v="556"/>
    <x v="3"/>
    <x v="0"/>
    <x v="1"/>
    <x v="20"/>
    <x v="1207"/>
  </r>
  <r>
    <x v="0"/>
    <n v="798"/>
    <x v="555"/>
    <x v="0"/>
    <s v="LM"/>
    <s v="S"/>
    <x v="289"/>
    <x v="2"/>
    <x v="85"/>
    <m/>
    <x v="64"/>
    <m/>
    <x v="18"/>
    <x v="0"/>
    <x v="77"/>
    <d v="2011-10-14T00:00:00"/>
    <x v="14"/>
    <x v="0"/>
    <m/>
    <s v="Extreme Portuguese Cinema: Six Auteurs in Focus"/>
    <x v="0"/>
    <x v="0"/>
    <m/>
    <x v="0"/>
    <x v="5"/>
    <x v="557"/>
    <x v="18"/>
    <x v="0"/>
    <x v="0"/>
    <x v="77"/>
    <x v="1208"/>
  </r>
  <r>
    <x v="0"/>
    <n v="799"/>
    <x v="556"/>
    <x v="3"/>
    <s v="CM"/>
    <s v="N"/>
    <x v="238"/>
    <x v="3"/>
    <x v="320"/>
    <m/>
    <x v="218"/>
    <m/>
    <x v="3"/>
    <x v="0"/>
    <x v="201"/>
    <m/>
    <x v="14"/>
    <x v="0"/>
    <m/>
    <m/>
    <x v="0"/>
    <x v="1"/>
    <m/>
    <x v="0"/>
    <x v="6"/>
    <x v="558"/>
    <x v="3"/>
    <x v="0"/>
    <x v="1"/>
    <x v="201"/>
    <x v="1209"/>
  </r>
  <r>
    <x v="0"/>
    <n v="800"/>
    <x v="557"/>
    <x v="0"/>
    <s v="CM"/>
    <s v="N"/>
    <x v="238"/>
    <x v="3"/>
    <x v="321"/>
    <m/>
    <x v="219"/>
    <m/>
    <x v="26"/>
    <x v="0"/>
    <x v="12"/>
    <d v="2011-09-25T00:00:00"/>
    <x v="9"/>
    <x v="1"/>
    <m/>
    <m/>
    <x v="0"/>
    <x v="0"/>
    <m/>
    <x v="0"/>
    <x v="0"/>
    <x v="559"/>
    <x v="26"/>
    <x v="0"/>
    <x v="0"/>
    <x v="12"/>
    <x v="1210"/>
  </r>
  <r>
    <x v="0"/>
    <n v="800"/>
    <x v="557"/>
    <x v="0"/>
    <s v="CM"/>
    <s v="N"/>
    <x v="238"/>
    <x v="3"/>
    <x v="320"/>
    <m/>
    <x v="218"/>
    <m/>
    <x v="3"/>
    <x v="0"/>
    <x v="201"/>
    <m/>
    <x v="14"/>
    <x v="0"/>
    <m/>
    <m/>
    <x v="0"/>
    <x v="1"/>
    <m/>
    <x v="0"/>
    <x v="0"/>
    <x v="559"/>
    <x v="3"/>
    <x v="0"/>
    <x v="1"/>
    <x v="201"/>
    <x v="1211"/>
  </r>
  <r>
    <x v="0"/>
    <n v="800"/>
    <x v="557"/>
    <x v="0"/>
    <s v="CM"/>
    <s v="N"/>
    <x v="238"/>
    <x v="3"/>
    <x v="37"/>
    <m/>
    <x v="35"/>
    <m/>
    <x v="2"/>
    <x v="0"/>
    <x v="15"/>
    <d v="2011-12-04T00:00:00"/>
    <x v="12"/>
    <x v="1"/>
    <s v="Compétion international 3"/>
    <m/>
    <x v="0"/>
    <x v="0"/>
    <m/>
    <x v="0"/>
    <x v="0"/>
    <x v="559"/>
    <x v="2"/>
    <x v="0"/>
    <x v="0"/>
    <x v="15"/>
    <x v="1212"/>
  </r>
  <r>
    <x v="0"/>
    <n v="801"/>
    <x v="558"/>
    <x v="4"/>
    <s v=""/>
    <s v=""/>
    <x v="424"/>
    <x v="2"/>
    <x v="26"/>
    <m/>
    <x v="24"/>
    <m/>
    <x v="3"/>
    <x v="0"/>
    <x v="24"/>
    <d v="2011-03-27T00:00:00"/>
    <x v="2"/>
    <x v="0"/>
    <m/>
    <s v="Retrospectiva &quot;20 Anos da ANIMANOSTRA&quot;"/>
    <x v="0"/>
    <x v="0"/>
    <m/>
    <x v="0"/>
    <x v="7"/>
    <x v="560"/>
    <x v="3"/>
    <x v="0"/>
    <x v="1"/>
    <x v="24"/>
    <x v="1213"/>
  </r>
  <r>
    <x v="0"/>
    <n v="802"/>
    <x v="559"/>
    <x v="0"/>
    <s v="CM"/>
    <s v="N"/>
    <x v="425"/>
    <x v="5"/>
    <x v="32"/>
    <m/>
    <x v="30"/>
    <m/>
    <x v="9"/>
    <x v="0"/>
    <x v="29"/>
    <d v="2011-04-03T00:00:00"/>
    <x v="3"/>
    <x v="0"/>
    <m/>
    <s v="Independent Shorts Program 8"/>
    <x v="0"/>
    <x v="0"/>
    <m/>
    <x v="0"/>
    <x v="0"/>
    <x v="561"/>
    <x v="9"/>
    <x v="0"/>
    <x v="0"/>
    <x v="29"/>
    <x v="1214"/>
  </r>
  <r>
    <x v="0"/>
    <n v="802"/>
    <x v="559"/>
    <x v="0"/>
    <s v="CM"/>
    <s v="N"/>
    <x v="425"/>
    <x v="5"/>
    <x v="322"/>
    <m/>
    <x v="220"/>
    <m/>
    <x v="9"/>
    <x v="0"/>
    <x v="202"/>
    <d v="2011-04-10T00:00:00"/>
    <x v="5"/>
    <x v="1"/>
    <s v="Competition Program 2"/>
    <m/>
    <x v="0"/>
    <x v="0"/>
    <m/>
    <x v="0"/>
    <x v="0"/>
    <x v="561"/>
    <x v="9"/>
    <x v="0"/>
    <x v="0"/>
    <x v="202"/>
    <x v="1215"/>
  </r>
  <r>
    <x v="0"/>
    <n v="802"/>
    <x v="559"/>
    <x v="0"/>
    <s v="CM"/>
    <s v="N"/>
    <x v="425"/>
    <x v="5"/>
    <x v="323"/>
    <m/>
    <x v="209"/>
    <m/>
    <x v="51"/>
    <x v="0"/>
    <x v="164"/>
    <d v="2011-04-10T00:00:00"/>
    <x v="5"/>
    <x v="1"/>
    <s v="International Competition"/>
    <m/>
    <x v="0"/>
    <x v="0"/>
    <m/>
    <x v="0"/>
    <x v="0"/>
    <x v="561"/>
    <x v="51"/>
    <x v="0"/>
    <x v="0"/>
    <x v="164"/>
    <x v="1216"/>
  </r>
  <r>
    <x v="0"/>
    <n v="802"/>
    <x v="559"/>
    <x v="0"/>
    <s v="CM"/>
    <s v="N"/>
    <x v="425"/>
    <x v="5"/>
    <x v="310"/>
    <m/>
    <x v="212"/>
    <m/>
    <x v="9"/>
    <x v="0"/>
    <x v="75"/>
    <d v="2011-06-12T00:00:00"/>
    <x v="22"/>
    <x v="1"/>
    <s v="Short Films - Short Fest Closing Night"/>
    <m/>
    <x v="0"/>
    <x v="0"/>
    <m/>
    <x v="0"/>
    <x v="0"/>
    <x v="561"/>
    <x v="9"/>
    <x v="0"/>
    <x v="0"/>
    <x v="75"/>
    <x v="1217"/>
  </r>
  <r>
    <x v="0"/>
    <n v="802"/>
    <x v="559"/>
    <x v="0"/>
    <s v="CM"/>
    <s v="N"/>
    <x v="425"/>
    <x v="5"/>
    <x v="324"/>
    <m/>
    <x v="136"/>
    <m/>
    <x v="7"/>
    <x v="0"/>
    <x v="203"/>
    <d v="2011-06-05T00:00:00"/>
    <x v="22"/>
    <x v="0"/>
    <m/>
    <s v="Bromance"/>
    <x v="0"/>
    <x v="0"/>
    <m/>
    <x v="0"/>
    <x v="0"/>
    <x v="561"/>
    <x v="7"/>
    <x v="0"/>
    <x v="0"/>
    <x v="203"/>
    <x v="1218"/>
  </r>
  <r>
    <x v="0"/>
    <n v="802"/>
    <x v="559"/>
    <x v="0"/>
    <s v="CM"/>
    <s v="N"/>
    <x v="425"/>
    <x v="5"/>
    <x v="68"/>
    <m/>
    <x v="53"/>
    <m/>
    <x v="3"/>
    <x v="0"/>
    <x v="64"/>
    <d v="2011-07-17T00:00:00"/>
    <x v="8"/>
    <x v="1"/>
    <s v="Competição Nacional"/>
    <m/>
    <x v="128"/>
    <x v="0"/>
    <m/>
    <x v="1"/>
    <x v="0"/>
    <x v="561"/>
    <x v="3"/>
    <x v="143"/>
    <x v="1"/>
    <x v="64"/>
    <x v="1219"/>
  </r>
  <r>
    <x v="0"/>
    <n v="802"/>
    <x v="559"/>
    <x v="0"/>
    <s v="CM"/>
    <s v="N"/>
    <x v="425"/>
    <x v="5"/>
    <x v="325"/>
    <m/>
    <x v="221"/>
    <m/>
    <x v="9"/>
    <x v="0"/>
    <x v="110"/>
    <d v="2011-08-06T00:00:00"/>
    <x v="16"/>
    <x v="1"/>
    <m/>
    <m/>
    <x v="0"/>
    <x v="0"/>
    <m/>
    <x v="0"/>
    <x v="0"/>
    <x v="561"/>
    <x v="9"/>
    <x v="0"/>
    <x v="0"/>
    <x v="110"/>
    <x v="1220"/>
  </r>
  <r>
    <x v="0"/>
    <n v="802"/>
    <x v="559"/>
    <x v="0"/>
    <s v="CM"/>
    <s v="N"/>
    <x v="425"/>
    <x v="5"/>
    <x v="326"/>
    <m/>
    <x v="212"/>
    <m/>
    <x v="9"/>
    <x v="0"/>
    <x v="204"/>
    <d v="2011-09-05T00:00:00"/>
    <x v="9"/>
    <x v="0"/>
    <m/>
    <s v="Best of SIFF 2011 Audience Award Winners"/>
    <x v="0"/>
    <x v="0"/>
    <m/>
    <x v="0"/>
    <x v="0"/>
    <x v="561"/>
    <x v="9"/>
    <x v="0"/>
    <x v="0"/>
    <x v="204"/>
    <x v="1221"/>
  </r>
  <r>
    <x v="0"/>
    <n v="802"/>
    <x v="559"/>
    <x v="0"/>
    <s v="CM"/>
    <s v="N"/>
    <x v="425"/>
    <x v="5"/>
    <x v="327"/>
    <m/>
    <x v="222"/>
    <m/>
    <x v="7"/>
    <x v="0"/>
    <x v="168"/>
    <d v="2011-09-24T00:00:00"/>
    <x v="9"/>
    <x v="1"/>
    <s v="International Perspectives - Shorts"/>
    <m/>
    <x v="0"/>
    <x v="0"/>
    <m/>
    <x v="0"/>
    <x v="0"/>
    <x v="561"/>
    <x v="7"/>
    <x v="0"/>
    <x v="0"/>
    <x v="168"/>
    <x v="1222"/>
  </r>
  <r>
    <x v="0"/>
    <n v="802"/>
    <x v="559"/>
    <x v="0"/>
    <s v="CM"/>
    <s v="N"/>
    <x v="425"/>
    <x v="5"/>
    <x v="148"/>
    <m/>
    <x v="113"/>
    <m/>
    <x v="7"/>
    <x v="0"/>
    <x v="119"/>
    <d v="2011-10-14T00:00:00"/>
    <x v="10"/>
    <x v="0"/>
    <m/>
    <s v="Cinema of Our Time"/>
    <x v="0"/>
    <x v="0"/>
    <m/>
    <x v="0"/>
    <x v="0"/>
    <x v="561"/>
    <x v="7"/>
    <x v="0"/>
    <x v="0"/>
    <x v="119"/>
    <x v="1223"/>
  </r>
  <r>
    <x v="0"/>
    <n v="802"/>
    <x v="559"/>
    <x v="0"/>
    <s v="CM"/>
    <s v="N"/>
    <x v="425"/>
    <x v="5"/>
    <x v="328"/>
    <m/>
    <x v="223"/>
    <m/>
    <x v="32"/>
    <x v="0"/>
    <x v="205"/>
    <d v="2011-10-08T00:00:00"/>
    <x v="14"/>
    <x v="0"/>
    <m/>
    <m/>
    <x v="0"/>
    <x v="0"/>
    <m/>
    <x v="0"/>
    <x v="0"/>
    <x v="561"/>
    <x v="32"/>
    <x v="0"/>
    <x v="0"/>
    <x v="205"/>
    <x v="1224"/>
  </r>
  <r>
    <x v="0"/>
    <n v="802"/>
    <x v="559"/>
    <x v="0"/>
    <s v="CM"/>
    <s v="N"/>
    <x v="425"/>
    <x v="5"/>
    <x v="230"/>
    <m/>
    <x v="161"/>
    <m/>
    <x v="34"/>
    <x v="0"/>
    <x v="165"/>
    <d v="2011-10-09T00:00:00"/>
    <x v="14"/>
    <x v="1"/>
    <m/>
    <m/>
    <x v="0"/>
    <x v="0"/>
    <m/>
    <x v="0"/>
    <x v="0"/>
    <x v="561"/>
    <x v="34"/>
    <x v="0"/>
    <x v="0"/>
    <x v="165"/>
    <x v="1225"/>
  </r>
  <r>
    <x v="0"/>
    <n v="802"/>
    <x v="559"/>
    <x v="0"/>
    <s v="CM"/>
    <s v="N"/>
    <x v="425"/>
    <x v="5"/>
    <x v="329"/>
    <m/>
    <x v="56"/>
    <m/>
    <x v="16"/>
    <x v="0"/>
    <x v="206"/>
    <d v="2011-10-16T00:00:00"/>
    <x v="14"/>
    <x v="1"/>
    <s v="Short Films Competition"/>
    <m/>
    <x v="129"/>
    <x v="0"/>
    <m/>
    <x v="1"/>
    <x v="0"/>
    <x v="561"/>
    <x v="16"/>
    <x v="144"/>
    <x v="0"/>
    <x v="206"/>
    <x v="1226"/>
  </r>
  <r>
    <x v="0"/>
    <n v="802"/>
    <x v="559"/>
    <x v="0"/>
    <s v="CM"/>
    <s v="N"/>
    <x v="425"/>
    <x v="5"/>
    <x v="330"/>
    <m/>
    <x v="224"/>
    <m/>
    <x v="9"/>
    <x v="0"/>
    <x v="156"/>
    <d v="2011-10-22T00:00:00"/>
    <x v="14"/>
    <x v="1"/>
    <m/>
    <m/>
    <x v="0"/>
    <x v="0"/>
    <m/>
    <x v="0"/>
    <x v="0"/>
    <x v="561"/>
    <x v="9"/>
    <x v="0"/>
    <x v="0"/>
    <x v="156"/>
    <x v="1227"/>
  </r>
  <r>
    <x v="0"/>
    <n v="802"/>
    <x v="559"/>
    <x v="0"/>
    <s v="CM"/>
    <s v="N"/>
    <x v="425"/>
    <x v="5"/>
    <x v="331"/>
    <m/>
    <x v="225"/>
    <m/>
    <x v="16"/>
    <x v="0"/>
    <x v="207"/>
    <d v="2011-10-23T00:00:00"/>
    <x v="14"/>
    <x v="1"/>
    <s v="Futurette and Short Film Competition - Set III"/>
    <m/>
    <x v="129"/>
    <x v="0"/>
    <m/>
    <x v="1"/>
    <x v="0"/>
    <x v="561"/>
    <x v="16"/>
    <x v="145"/>
    <x v="0"/>
    <x v="207"/>
    <x v="1228"/>
  </r>
  <r>
    <x v="0"/>
    <n v="802"/>
    <x v="559"/>
    <x v="0"/>
    <s v="CM"/>
    <s v="N"/>
    <x v="425"/>
    <x v="5"/>
    <x v="0"/>
    <m/>
    <x v="0"/>
    <m/>
    <x v="0"/>
    <x v="0"/>
    <x v="0"/>
    <d v="2011-11-06T00:00:00"/>
    <x v="0"/>
    <x v="0"/>
    <m/>
    <s v="Foco Portugal: Programa Curtas Vila do Conde"/>
    <x v="0"/>
    <x v="0"/>
    <m/>
    <x v="0"/>
    <x v="0"/>
    <x v="561"/>
    <x v="0"/>
    <x v="0"/>
    <x v="0"/>
    <x v="0"/>
    <x v="1229"/>
  </r>
  <r>
    <x v="0"/>
    <n v="802"/>
    <x v="559"/>
    <x v="0"/>
    <s v="CM"/>
    <s v="N"/>
    <x v="425"/>
    <x v="5"/>
    <x v="332"/>
    <m/>
    <x v="226"/>
    <m/>
    <x v="9"/>
    <x v="0"/>
    <x v="208"/>
    <d v="2011-11-05T00:00:00"/>
    <x v="0"/>
    <x v="1"/>
    <m/>
    <m/>
    <x v="130"/>
    <x v="0"/>
    <m/>
    <x v="1"/>
    <x v="0"/>
    <x v="561"/>
    <x v="9"/>
    <x v="146"/>
    <x v="0"/>
    <x v="208"/>
    <x v="1230"/>
  </r>
  <r>
    <x v="0"/>
    <n v="802"/>
    <x v="559"/>
    <x v="0"/>
    <s v="CM"/>
    <s v="N"/>
    <x v="425"/>
    <x v="5"/>
    <x v="14"/>
    <m/>
    <x v="14"/>
    <m/>
    <x v="3"/>
    <x v="0"/>
    <x v="13"/>
    <d v="2011-11-05T00:00:00"/>
    <x v="0"/>
    <x v="1"/>
    <s v="Competição Curtas Metragens"/>
    <m/>
    <x v="0"/>
    <x v="0"/>
    <m/>
    <x v="0"/>
    <x v="0"/>
    <x v="561"/>
    <x v="3"/>
    <x v="0"/>
    <x v="1"/>
    <x v="13"/>
    <x v="1231"/>
  </r>
  <r>
    <x v="0"/>
    <n v="802"/>
    <x v="559"/>
    <x v="0"/>
    <s v="CM"/>
    <s v="N"/>
    <x v="425"/>
    <x v="5"/>
    <x v="97"/>
    <m/>
    <x v="76"/>
    <m/>
    <x v="3"/>
    <x v="0"/>
    <x v="86"/>
    <d v="2011-11-19T00:00:00"/>
    <x v="13"/>
    <x v="1"/>
    <s v="Curtas em Competição"/>
    <m/>
    <x v="131"/>
    <x v="0"/>
    <m/>
    <x v="1"/>
    <x v="0"/>
    <x v="561"/>
    <x v="3"/>
    <x v="147"/>
    <x v="1"/>
    <x v="86"/>
    <x v="1232"/>
  </r>
  <r>
    <x v="0"/>
    <n v="802"/>
    <x v="559"/>
    <x v="0"/>
    <s v="CM"/>
    <s v="N"/>
    <x v="425"/>
    <x v="5"/>
    <x v="333"/>
    <m/>
    <x v="227"/>
    <m/>
    <x v="9"/>
    <x v="0"/>
    <x v="209"/>
    <d v="2011-12-11T00:00:00"/>
    <x v="12"/>
    <x v="1"/>
    <s v="Shorts 1: Life 2.0"/>
    <m/>
    <x v="132"/>
    <x v="0"/>
    <m/>
    <x v="1"/>
    <x v="0"/>
    <x v="561"/>
    <x v="9"/>
    <x v="148"/>
    <x v="0"/>
    <x v="209"/>
    <x v="1233"/>
  </r>
  <r>
    <x v="0"/>
    <n v="802"/>
    <x v="559"/>
    <x v="0"/>
    <s v="CM"/>
    <s v="N"/>
    <x v="425"/>
    <x v="5"/>
    <x v="18"/>
    <m/>
    <x v="18"/>
    <m/>
    <x v="3"/>
    <x v="0"/>
    <x v="17"/>
    <d v="2011-12-14T00:00:00"/>
    <x v="12"/>
    <x v="0"/>
    <m/>
    <m/>
    <x v="0"/>
    <x v="1"/>
    <m/>
    <x v="0"/>
    <x v="0"/>
    <x v="561"/>
    <x v="3"/>
    <x v="0"/>
    <x v="1"/>
    <x v="17"/>
    <x v="1234"/>
  </r>
  <r>
    <x v="0"/>
    <n v="804"/>
    <x v="560"/>
    <x v="2"/>
    <s v="CM"/>
    <s v="N"/>
    <x v="426"/>
    <x v="3"/>
    <x v="275"/>
    <m/>
    <x v="24"/>
    <m/>
    <x v="3"/>
    <x v="0"/>
    <x v="119"/>
    <d v="2011-10-02T00:00:00"/>
    <x v="10"/>
    <x v="0"/>
    <m/>
    <m/>
    <x v="0"/>
    <x v="1"/>
    <m/>
    <x v="0"/>
    <x v="4"/>
    <x v="562"/>
    <x v="3"/>
    <x v="0"/>
    <x v="1"/>
    <x v="119"/>
    <x v="1235"/>
  </r>
  <r>
    <x v="0"/>
    <n v="804"/>
    <x v="560"/>
    <x v="2"/>
    <s v="CM"/>
    <s v="N"/>
    <x v="426"/>
    <x v="3"/>
    <x v="27"/>
    <m/>
    <x v="25"/>
    <m/>
    <x v="3"/>
    <x v="0"/>
    <x v="25"/>
    <d v="2011-11-13T00:00:00"/>
    <x v="13"/>
    <x v="1"/>
    <s v="Competição Nacional: Jovem Cineasta Português ( - 18 anos) "/>
    <m/>
    <x v="133"/>
    <x v="0"/>
    <m/>
    <x v="1"/>
    <x v="4"/>
    <x v="562"/>
    <x v="3"/>
    <x v="149"/>
    <x v="1"/>
    <x v="25"/>
    <x v="1236"/>
  </r>
  <r>
    <x v="0"/>
    <n v="804"/>
    <x v="560"/>
    <x v="2"/>
    <s v="CM"/>
    <s v="N"/>
    <x v="426"/>
    <x v="3"/>
    <x v="127"/>
    <m/>
    <x v="97"/>
    <m/>
    <x v="17"/>
    <x v="0"/>
    <x v="40"/>
    <d v="2011-11-12T00:00:00"/>
    <x v="13"/>
    <x v="1"/>
    <s v="Films by Young Animators"/>
    <m/>
    <x v="0"/>
    <x v="0"/>
    <m/>
    <x v="0"/>
    <x v="4"/>
    <x v="562"/>
    <x v="17"/>
    <x v="0"/>
    <x v="0"/>
    <x v="40"/>
    <x v="1237"/>
  </r>
  <r>
    <x v="0"/>
    <n v="805"/>
    <x v="561"/>
    <x v="4"/>
    <s v=""/>
    <s v=""/>
    <x v="101"/>
    <x v="2"/>
    <x v="22"/>
    <m/>
    <x v="22"/>
    <m/>
    <x v="3"/>
    <x v="0"/>
    <x v="20"/>
    <d v="2011-11-17T00:00:00"/>
    <x v="13"/>
    <x v="1"/>
    <s v="Ensaios Visuais 3"/>
    <m/>
    <x v="0"/>
    <x v="0"/>
    <m/>
    <x v="0"/>
    <x v="7"/>
    <x v="563"/>
    <x v="3"/>
    <x v="0"/>
    <x v="1"/>
    <x v="20"/>
    <x v="1238"/>
  </r>
  <r>
    <x v="0"/>
    <n v="806"/>
    <x v="562"/>
    <x v="4"/>
    <s v=""/>
    <s v=""/>
    <x v="143"/>
    <x v="2"/>
    <x v="25"/>
    <m/>
    <x v="24"/>
    <m/>
    <x v="3"/>
    <x v="0"/>
    <x v="23"/>
    <d v="2011-10-30T00:00:00"/>
    <x v="14"/>
    <x v="0"/>
    <m/>
    <s v="Retrospectiva movimentos de libertação em Moçambique, Angola e Guiné-Bissau (1961-1974)"/>
    <x v="0"/>
    <x v="0"/>
    <m/>
    <x v="0"/>
    <x v="7"/>
    <x v="564"/>
    <x v="3"/>
    <x v="0"/>
    <x v="1"/>
    <x v="23"/>
    <x v="1239"/>
  </r>
  <r>
    <x v="0"/>
    <n v="808"/>
    <x v="563"/>
    <x v="0"/>
    <s v="CM"/>
    <s v="N"/>
    <x v="427"/>
    <x v="3"/>
    <x v="184"/>
    <m/>
    <x v="135"/>
    <m/>
    <x v="2"/>
    <x v="0"/>
    <x v="97"/>
    <d v="2011-05-22T00:00:00"/>
    <x v="6"/>
    <x v="0"/>
    <m/>
    <s v="Quinzaine des Réalisateurs"/>
    <x v="0"/>
    <x v="0"/>
    <m/>
    <x v="0"/>
    <x v="0"/>
    <x v="565"/>
    <x v="2"/>
    <x v="0"/>
    <x v="0"/>
    <x v="97"/>
    <x v="1240"/>
  </r>
  <r>
    <x v="0"/>
    <n v="808"/>
    <x v="563"/>
    <x v="0"/>
    <s v="CM"/>
    <s v="N"/>
    <x v="427"/>
    <x v="3"/>
    <x v="68"/>
    <m/>
    <x v="53"/>
    <m/>
    <x v="3"/>
    <x v="0"/>
    <x v="64"/>
    <d v="2011-07-17T00:00:00"/>
    <x v="8"/>
    <x v="1"/>
    <s v="Competição Nacional"/>
    <m/>
    <x v="0"/>
    <x v="0"/>
    <m/>
    <x v="0"/>
    <x v="0"/>
    <x v="565"/>
    <x v="3"/>
    <x v="0"/>
    <x v="1"/>
    <x v="64"/>
    <x v="1241"/>
  </r>
  <r>
    <x v="0"/>
    <n v="808"/>
    <x v="563"/>
    <x v="0"/>
    <s v="CM"/>
    <s v="N"/>
    <x v="427"/>
    <x v="3"/>
    <x v="0"/>
    <m/>
    <x v="0"/>
    <m/>
    <x v="0"/>
    <x v="0"/>
    <x v="0"/>
    <d v="2011-11-06T00:00:00"/>
    <x v="0"/>
    <x v="0"/>
    <m/>
    <s v="Foco Portugal: Programa Curtas Vila do Conde"/>
    <x v="0"/>
    <x v="0"/>
    <m/>
    <x v="0"/>
    <x v="0"/>
    <x v="565"/>
    <x v="0"/>
    <x v="0"/>
    <x v="0"/>
    <x v="0"/>
    <x v="1242"/>
  </r>
  <r>
    <x v="0"/>
    <n v="809"/>
    <x v="564"/>
    <x v="2"/>
    <s v="CM"/>
    <s v="S"/>
    <x v="428"/>
    <x v="2"/>
    <x v="63"/>
    <m/>
    <x v="24"/>
    <m/>
    <x v="3"/>
    <x v="0"/>
    <x v="59"/>
    <d v="2011-05-01T00:00:00"/>
    <x v="4"/>
    <x v="1"/>
    <s v="Sessão Competitiva Curta 1"/>
    <m/>
    <x v="0"/>
    <x v="0"/>
    <m/>
    <x v="0"/>
    <x v="4"/>
    <x v="566"/>
    <x v="3"/>
    <x v="0"/>
    <x v="1"/>
    <x v="59"/>
    <x v="1243"/>
  </r>
  <r>
    <x v="0"/>
    <n v="809"/>
    <x v="564"/>
    <x v="2"/>
    <s v="CM"/>
    <s v="S"/>
    <x v="428"/>
    <x v="2"/>
    <x v="34"/>
    <m/>
    <x v="32"/>
    <m/>
    <x v="3"/>
    <x v="0"/>
    <x v="31"/>
    <d v="2011-05-15T00:00:00"/>
    <x v="6"/>
    <x v="1"/>
    <m/>
    <m/>
    <x v="0"/>
    <x v="0"/>
    <m/>
    <x v="0"/>
    <x v="4"/>
    <x v="566"/>
    <x v="3"/>
    <x v="0"/>
    <x v="1"/>
    <x v="31"/>
    <x v="1244"/>
  </r>
  <r>
    <x v="0"/>
    <n v="809"/>
    <x v="564"/>
    <x v="2"/>
    <s v="CM"/>
    <s v="S"/>
    <x v="428"/>
    <x v="2"/>
    <x v="123"/>
    <m/>
    <x v="94"/>
    <m/>
    <x v="6"/>
    <x v="0"/>
    <x v="101"/>
    <d v="2011-06-26T00:00:00"/>
    <x v="7"/>
    <x v="0"/>
    <s v="Panorama 2: International"/>
    <m/>
    <x v="0"/>
    <x v="0"/>
    <m/>
    <x v="0"/>
    <x v="4"/>
    <x v="566"/>
    <x v="6"/>
    <x v="0"/>
    <x v="0"/>
    <x v="101"/>
    <x v="1245"/>
  </r>
  <r>
    <x v="0"/>
    <n v="809"/>
    <x v="564"/>
    <x v="2"/>
    <s v="CM"/>
    <s v="S"/>
    <x v="428"/>
    <x v="2"/>
    <x v="72"/>
    <m/>
    <x v="22"/>
    <m/>
    <x v="3"/>
    <x v="0"/>
    <x v="14"/>
    <d v="2011-11-26T00:00:00"/>
    <x v="13"/>
    <x v="0"/>
    <m/>
    <m/>
    <x v="0"/>
    <x v="1"/>
    <m/>
    <x v="0"/>
    <x v="4"/>
    <x v="566"/>
    <x v="3"/>
    <x v="0"/>
    <x v="1"/>
    <x v="14"/>
    <x v="1246"/>
  </r>
  <r>
    <x v="0"/>
    <n v="809"/>
    <x v="564"/>
    <x v="2"/>
    <s v="CM"/>
    <s v="S"/>
    <x v="428"/>
    <x v="2"/>
    <x v="21"/>
    <m/>
    <x v="21"/>
    <m/>
    <x v="3"/>
    <x v="0"/>
    <x v="15"/>
    <d v="2011-12-03T00:00:00"/>
    <x v="12"/>
    <x v="1"/>
    <s v="Curtas Animação"/>
    <m/>
    <x v="0"/>
    <x v="0"/>
    <m/>
    <x v="0"/>
    <x v="4"/>
    <x v="566"/>
    <x v="3"/>
    <x v="0"/>
    <x v="1"/>
    <x v="15"/>
    <x v="1247"/>
  </r>
  <r>
    <x v="0"/>
    <n v="811"/>
    <x v="565"/>
    <x v="0"/>
    <s v="CM"/>
    <s v="N"/>
    <x v="429"/>
    <x v="3"/>
    <x v="22"/>
    <m/>
    <x v="22"/>
    <m/>
    <x v="3"/>
    <x v="0"/>
    <x v="20"/>
    <d v="2011-11-17T00:00:00"/>
    <x v="13"/>
    <x v="1"/>
    <s v="Sessão Competitiva 2"/>
    <m/>
    <x v="0"/>
    <x v="0"/>
    <m/>
    <x v="0"/>
    <x v="0"/>
    <x v="567"/>
    <x v="3"/>
    <x v="0"/>
    <x v="1"/>
    <x v="20"/>
    <x v="1248"/>
  </r>
  <r>
    <x v="0"/>
    <n v="811"/>
    <x v="565"/>
    <x v="0"/>
    <s v="CM"/>
    <s v="N"/>
    <x v="429"/>
    <x v="3"/>
    <x v="120"/>
    <m/>
    <x v="83"/>
    <m/>
    <x v="3"/>
    <x v="0"/>
    <x v="16"/>
    <d v="2011-12-04T00:00:00"/>
    <x v="12"/>
    <x v="1"/>
    <s v="Cineastas: Ficção"/>
    <m/>
    <x v="0"/>
    <x v="0"/>
    <m/>
    <x v="0"/>
    <x v="0"/>
    <x v="567"/>
    <x v="3"/>
    <x v="0"/>
    <x v="1"/>
    <x v="16"/>
    <x v="1249"/>
  </r>
  <r>
    <x v="0"/>
    <n v="812"/>
    <x v="566"/>
    <x v="0"/>
    <s v="CM"/>
    <s v=""/>
    <x v="138"/>
    <x v="3"/>
    <x v="68"/>
    <m/>
    <x v="53"/>
    <m/>
    <x v="3"/>
    <x v="0"/>
    <x v="64"/>
    <d v="2011-07-17T00:00:00"/>
    <x v="8"/>
    <x v="1"/>
    <s v="Competição Nacional"/>
    <m/>
    <x v="0"/>
    <x v="0"/>
    <m/>
    <x v="0"/>
    <x v="0"/>
    <x v="568"/>
    <x v="3"/>
    <x v="0"/>
    <x v="1"/>
    <x v="64"/>
    <x v="1250"/>
  </r>
  <r>
    <x v="0"/>
    <n v="812"/>
    <x v="566"/>
    <x v="0"/>
    <s v="CM"/>
    <s v=""/>
    <x v="138"/>
    <x v="3"/>
    <x v="14"/>
    <m/>
    <x v="14"/>
    <m/>
    <x v="3"/>
    <x v="0"/>
    <x v="13"/>
    <d v="2011-11-05T00:00:00"/>
    <x v="0"/>
    <x v="1"/>
    <s v="Competição Curtas Metragens"/>
    <m/>
    <x v="0"/>
    <x v="0"/>
    <m/>
    <x v="0"/>
    <x v="0"/>
    <x v="568"/>
    <x v="3"/>
    <x v="0"/>
    <x v="1"/>
    <x v="13"/>
    <x v="1251"/>
  </r>
  <r>
    <x v="0"/>
    <n v="812"/>
    <x v="566"/>
    <x v="0"/>
    <s v="CM"/>
    <s v=""/>
    <x v="138"/>
    <x v="3"/>
    <x v="22"/>
    <m/>
    <x v="22"/>
    <m/>
    <x v="3"/>
    <x v="0"/>
    <x v="20"/>
    <d v="2011-11-17T00:00:00"/>
    <x v="13"/>
    <x v="1"/>
    <s v="Sessão Competitiva 1"/>
    <m/>
    <x v="0"/>
    <x v="0"/>
    <m/>
    <x v="0"/>
    <x v="0"/>
    <x v="568"/>
    <x v="3"/>
    <x v="0"/>
    <x v="1"/>
    <x v="20"/>
    <x v="1252"/>
  </r>
  <r>
    <x v="0"/>
    <n v="812"/>
    <x v="566"/>
    <x v="0"/>
    <s v="CM"/>
    <s v=""/>
    <x v="138"/>
    <x v="3"/>
    <x v="133"/>
    <m/>
    <x v="101"/>
    <m/>
    <x v="3"/>
    <x v="0"/>
    <x v="108"/>
    <d v="2011-12-11T00:00:00"/>
    <x v="12"/>
    <x v="1"/>
    <s v="Sessão Competitiva de Curtas Metragens 7"/>
    <m/>
    <x v="0"/>
    <x v="0"/>
    <m/>
    <x v="0"/>
    <x v="0"/>
    <x v="568"/>
    <x v="3"/>
    <x v="0"/>
    <x v="1"/>
    <x v="108"/>
    <x v="1253"/>
  </r>
  <r>
    <x v="0"/>
    <n v="813"/>
    <x v="567"/>
    <x v="0"/>
    <s v="LM"/>
    <s v="S"/>
    <x v="430"/>
    <x v="2"/>
    <x v="55"/>
    <m/>
    <x v="45"/>
    <m/>
    <x v="3"/>
    <x v="0"/>
    <x v="210"/>
    <d v="2011-11-16T00:00:00"/>
    <x v="0"/>
    <x v="0"/>
    <m/>
    <s v="13º Programa: As Escolhas de Margarida Gil"/>
    <x v="0"/>
    <x v="1"/>
    <m/>
    <x v="0"/>
    <x v="5"/>
    <x v="569"/>
    <x v="3"/>
    <x v="0"/>
    <x v="1"/>
    <x v="210"/>
    <x v="1254"/>
  </r>
  <r>
    <x v="0"/>
    <n v="814"/>
    <x v="568"/>
    <x v="4"/>
    <s v=""/>
    <s v=""/>
    <x v="431"/>
    <x v="2"/>
    <x v="34"/>
    <m/>
    <x v="32"/>
    <m/>
    <x v="3"/>
    <x v="0"/>
    <x v="31"/>
    <d v="2011-05-15T00:00:00"/>
    <x v="6"/>
    <x v="1"/>
    <m/>
    <m/>
    <x v="0"/>
    <x v="0"/>
    <m/>
    <x v="0"/>
    <x v="7"/>
    <x v="570"/>
    <x v="3"/>
    <x v="0"/>
    <x v="1"/>
    <x v="31"/>
    <x v="1255"/>
  </r>
  <r>
    <x v="0"/>
    <n v="816"/>
    <x v="569"/>
    <x v="4"/>
    <s v=""/>
    <s v=""/>
    <x v="432"/>
    <x v="2"/>
    <x v="67"/>
    <m/>
    <x v="23"/>
    <m/>
    <x v="3"/>
    <x v="0"/>
    <x v="63"/>
    <d v="2011-06-12T00:00:00"/>
    <x v="7"/>
    <x v="0"/>
    <m/>
    <s v="Sessão Não Competitiva 4"/>
    <x v="0"/>
    <x v="0"/>
    <m/>
    <x v="0"/>
    <x v="7"/>
    <x v="571"/>
    <x v="3"/>
    <x v="0"/>
    <x v="1"/>
    <x v="63"/>
    <x v="1256"/>
  </r>
  <r>
    <x v="0"/>
    <n v="817"/>
    <x v="570"/>
    <x v="0"/>
    <s v="LM"/>
    <s v="S"/>
    <x v="47"/>
    <x v="5"/>
    <x v="90"/>
    <m/>
    <x v="69"/>
    <m/>
    <x v="8"/>
    <x v="0"/>
    <x v="81"/>
    <d v="2011-02-06T00:00:00"/>
    <x v="18"/>
    <x v="0"/>
    <m/>
    <s v="Spectrum"/>
    <x v="0"/>
    <x v="0"/>
    <m/>
    <x v="0"/>
    <x v="5"/>
    <x v="572"/>
    <x v="8"/>
    <x v="0"/>
    <x v="0"/>
    <x v="81"/>
    <x v="1257"/>
  </r>
  <r>
    <x v="0"/>
    <n v="817"/>
    <x v="570"/>
    <x v="0"/>
    <s v="LM"/>
    <s v="S"/>
    <x v="47"/>
    <x v="5"/>
    <x v="146"/>
    <m/>
    <x v="24"/>
    <m/>
    <x v="3"/>
    <x v="0"/>
    <x v="112"/>
    <d v="2011-05-15T00:00:00"/>
    <x v="6"/>
    <x v="0"/>
    <m/>
    <s v="Observatório"/>
    <x v="134"/>
    <x v="0"/>
    <m/>
    <x v="1"/>
    <x v="5"/>
    <x v="572"/>
    <x v="3"/>
    <x v="150"/>
    <x v="1"/>
    <x v="112"/>
    <x v="1258"/>
  </r>
  <r>
    <x v="0"/>
    <n v="817"/>
    <x v="570"/>
    <x v="0"/>
    <s v="LM"/>
    <s v="S"/>
    <x v="47"/>
    <x v="5"/>
    <x v="262"/>
    <m/>
    <x v="183"/>
    <m/>
    <x v="15"/>
    <x v="0"/>
    <x v="175"/>
    <d v="2011-06-06T00:00:00"/>
    <x v="7"/>
    <x v="0"/>
    <m/>
    <m/>
    <x v="0"/>
    <x v="1"/>
    <m/>
    <x v="0"/>
    <x v="5"/>
    <x v="572"/>
    <x v="15"/>
    <x v="0"/>
    <x v="0"/>
    <x v="175"/>
    <x v="1259"/>
  </r>
  <r>
    <x v="0"/>
    <n v="817"/>
    <x v="570"/>
    <x v="0"/>
    <s v="LM"/>
    <s v="S"/>
    <x v="47"/>
    <x v="5"/>
    <x v="110"/>
    <m/>
    <x v="85"/>
    <m/>
    <x v="23"/>
    <x v="0"/>
    <x v="95"/>
    <m/>
    <x v="7"/>
    <x v="0"/>
    <m/>
    <m/>
    <x v="0"/>
    <x v="1"/>
    <m/>
    <x v="0"/>
    <x v="5"/>
    <x v="572"/>
    <x v="23"/>
    <x v="0"/>
    <x v="0"/>
    <x v="95"/>
    <x v="1260"/>
  </r>
  <r>
    <x v="0"/>
    <n v="817"/>
    <x v="570"/>
    <x v="0"/>
    <s v="LM"/>
    <s v="S"/>
    <x v="47"/>
    <x v="5"/>
    <x v="334"/>
    <m/>
    <x v="114"/>
    <m/>
    <x v="35"/>
    <x v="0"/>
    <x v="12"/>
    <d v="2011-09-30T00:00:00"/>
    <x v="9"/>
    <x v="0"/>
    <m/>
    <m/>
    <x v="0"/>
    <x v="0"/>
    <m/>
    <x v="0"/>
    <x v="5"/>
    <x v="572"/>
    <x v="35"/>
    <x v="0"/>
    <x v="0"/>
    <x v="12"/>
    <x v="1261"/>
  </r>
  <r>
    <x v="0"/>
    <n v="817"/>
    <x v="570"/>
    <x v="0"/>
    <s v="LM"/>
    <s v="S"/>
    <x v="47"/>
    <x v="5"/>
    <x v="85"/>
    <m/>
    <x v="64"/>
    <m/>
    <x v="18"/>
    <x v="0"/>
    <x v="77"/>
    <d v="2011-10-14T00:00:00"/>
    <x v="14"/>
    <x v="0"/>
    <m/>
    <s v="World Cinema"/>
    <x v="0"/>
    <x v="0"/>
    <m/>
    <x v="0"/>
    <x v="5"/>
    <x v="572"/>
    <x v="18"/>
    <x v="0"/>
    <x v="0"/>
    <x v="77"/>
    <x v="1262"/>
  </r>
  <r>
    <x v="0"/>
    <n v="817"/>
    <x v="570"/>
    <x v="0"/>
    <s v="LM"/>
    <s v="S"/>
    <x v="47"/>
    <x v="5"/>
    <x v="14"/>
    <m/>
    <x v="14"/>
    <m/>
    <x v="3"/>
    <x v="0"/>
    <x v="13"/>
    <d v="2011-11-05T00:00:00"/>
    <x v="0"/>
    <x v="1"/>
    <s v="Competição Longas Metragens"/>
    <m/>
    <x v="0"/>
    <x v="0"/>
    <m/>
    <x v="0"/>
    <x v="5"/>
    <x v="572"/>
    <x v="3"/>
    <x v="0"/>
    <x v="1"/>
    <x v="13"/>
    <x v="1263"/>
  </r>
  <r>
    <x v="0"/>
    <n v="817"/>
    <x v="570"/>
    <x v="0"/>
    <s v="LM"/>
    <s v="S"/>
    <x v="47"/>
    <x v="5"/>
    <x v="99"/>
    <m/>
    <x v="78"/>
    <m/>
    <x v="20"/>
    <x v="0"/>
    <x v="69"/>
    <d v="2011-11-13T00:00:00"/>
    <x v="13"/>
    <x v="0"/>
    <m/>
    <s v="Galas 2011"/>
    <x v="0"/>
    <x v="0"/>
    <m/>
    <x v="0"/>
    <x v="5"/>
    <x v="572"/>
    <x v="20"/>
    <x v="0"/>
    <x v="0"/>
    <x v="69"/>
    <x v="1264"/>
  </r>
  <r>
    <x v="0"/>
    <n v="817"/>
    <x v="570"/>
    <x v="0"/>
    <s v="LM"/>
    <s v="S"/>
    <x v="47"/>
    <x v="5"/>
    <x v="22"/>
    <m/>
    <x v="22"/>
    <m/>
    <x v="3"/>
    <x v="0"/>
    <x v="20"/>
    <d v="2011-11-17T00:00:00"/>
    <x v="13"/>
    <x v="1"/>
    <s v="Sessão Competitiva 16"/>
    <m/>
    <x v="135"/>
    <x v="0"/>
    <m/>
    <x v="1"/>
    <x v="5"/>
    <x v="572"/>
    <x v="3"/>
    <x v="151"/>
    <x v="1"/>
    <x v="20"/>
    <x v="1265"/>
  </r>
  <r>
    <x v="0"/>
    <n v="817"/>
    <x v="570"/>
    <x v="0"/>
    <s v="LM"/>
    <s v="S"/>
    <x v="47"/>
    <x v="5"/>
    <x v="156"/>
    <m/>
    <x v="49"/>
    <m/>
    <x v="3"/>
    <x v="0"/>
    <x v="20"/>
    <m/>
    <x v="13"/>
    <x v="0"/>
    <m/>
    <m/>
    <x v="0"/>
    <x v="1"/>
    <m/>
    <x v="0"/>
    <x v="5"/>
    <x v="572"/>
    <x v="3"/>
    <x v="0"/>
    <x v="1"/>
    <x v="20"/>
    <x v="1266"/>
  </r>
  <r>
    <x v="0"/>
    <n v="817"/>
    <x v="570"/>
    <x v="0"/>
    <s v="LM"/>
    <s v="S"/>
    <x v="47"/>
    <x v="5"/>
    <x v="335"/>
    <m/>
    <x v="133"/>
    <m/>
    <x v="0"/>
    <x v="0"/>
    <x v="14"/>
    <d v="2011-12-20T00:00:00"/>
    <x v="11"/>
    <x v="1"/>
    <s v="Longas Metragens"/>
    <m/>
    <x v="0"/>
    <x v="0"/>
    <m/>
    <x v="0"/>
    <x v="5"/>
    <x v="572"/>
    <x v="0"/>
    <x v="0"/>
    <x v="0"/>
    <x v="14"/>
    <x v="1267"/>
  </r>
  <r>
    <x v="0"/>
    <n v="817"/>
    <x v="570"/>
    <x v="0"/>
    <s v="LM"/>
    <s v="S"/>
    <x v="47"/>
    <x v="5"/>
    <x v="86"/>
    <m/>
    <x v="65"/>
    <m/>
    <x v="9"/>
    <x v="0"/>
    <x v="15"/>
    <d v="2011-12-06T00:00:00"/>
    <x v="12"/>
    <x v="0"/>
    <m/>
    <m/>
    <x v="0"/>
    <x v="1"/>
    <m/>
    <x v="0"/>
    <x v="5"/>
    <x v="572"/>
    <x v="9"/>
    <x v="0"/>
    <x v="0"/>
    <x v="15"/>
    <x v="1268"/>
  </r>
  <r>
    <x v="0"/>
    <n v="819"/>
    <x v="571"/>
    <x v="2"/>
    <s v="CM"/>
    <s v="N"/>
    <x v="433"/>
    <x v="3"/>
    <x v="22"/>
    <m/>
    <x v="22"/>
    <m/>
    <x v="3"/>
    <x v="0"/>
    <x v="20"/>
    <d v="2011-11-17T00:00:00"/>
    <x v="13"/>
    <x v="1"/>
    <s v="Sessão Competitiva 15"/>
    <m/>
    <x v="0"/>
    <x v="0"/>
    <m/>
    <x v="0"/>
    <x v="4"/>
    <x v="573"/>
    <x v="3"/>
    <x v="0"/>
    <x v="1"/>
    <x v="20"/>
    <x v="1269"/>
  </r>
  <r>
    <x v="0"/>
    <n v="820"/>
    <x v="572"/>
    <x v="0"/>
    <s v="LM"/>
    <s v="S"/>
    <x v="374"/>
    <x v="32"/>
    <x v="300"/>
    <m/>
    <x v="206"/>
    <m/>
    <x v="3"/>
    <x v="0"/>
    <x v="21"/>
    <d v="2011-11-09T00:00:00"/>
    <x v="27"/>
    <x v="0"/>
    <m/>
    <m/>
    <x v="0"/>
    <x v="1"/>
    <m/>
    <x v="0"/>
    <x v="5"/>
    <x v="574"/>
    <x v="3"/>
    <x v="0"/>
    <x v="1"/>
    <x v="21"/>
    <x v="1270"/>
  </r>
  <r>
    <x v="0"/>
    <n v="822"/>
    <x v="573"/>
    <x v="4"/>
    <s v=""/>
    <s v=""/>
    <x v="140"/>
    <x v="2"/>
    <x v="101"/>
    <m/>
    <x v="79"/>
    <m/>
    <x v="3"/>
    <x v="0"/>
    <x v="89"/>
    <d v="2011-11-17T00:00:00"/>
    <x v="21"/>
    <x v="0"/>
    <m/>
    <m/>
    <x v="0"/>
    <x v="1"/>
    <m/>
    <x v="0"/>
    <x v="7"/>
    <x v="575"/>
    <x v="3"/>
    <x v="0"/>
    <x v="1"/>
    <x v="89"/>
    <x v="1271"/>
  </r>
  <r>
    <x v="0"/>
    <n v="823"/>
    <x v="574"/>
    <x v="0"/>
    <s v="CM"/>
    <s v="S"/>
    <x v="24"/>
    <x v="15"/>
    <x v="55"/>
    <m/>
    <x v="45"/>
    <m/>
    <x v="3"/>
    <x v="0"/>
    <x v="49"/>
    <d v="2011-02-12T00:00:00"/>
    <x v="18"/>
    <x v="0"/>
    <m/>
    <s v="6º Programa: As Escolhas de Teresa Garcia"/>
    <x v="0"/>
    <x v="1"/>
    <m/>
    <x v="0"/>
    <x v="0"/>
    <x v="576"/>
    <x v="3"/>
    <x v="0"/>
    <x v="1"/>
    <x v="49"/>
    <x v="1272"/>
  </r>
  <r>
    <x v="0"/>
    <n v="823"/>
    <x v="574"/>
    <x v="0"/>
    <s v="CM"/>
    <s v="S"/>
    <x v="24"/>
    <x v="15"/>
    <x v="12"/>
    <m/>
    <x v="12"/>
    <m/>
    <x v="2"/>
    <x v="0"/>
    <x v="11"/>
    <d v="2011-09-27T00:00:00"/>
    <x v="9"/>
    <x v="0"/>
    <m/>
    <s v="Désir d'Eternité"/>
    <x v="0"/>
    <x v="1"/>
    <m/>
    <x v="0"/>
    <x v="0"/>
    <x v="576"/>
    <x v="2"/>
    <x v="0"/>
    <x v="0"/>
    <x v="11"/>
    <x v="1273"/>
  </r>
  <r>
    <x v="0"/>
    <n v="827"/>
    <x v="575"/>
    <x v="0"/>
    <s v="LM"/>
    <s v=""/>
    <x v="212"/>
    <x v="2"/>
    <x v="91"/>
    <m/>
    <x v="70"/>
    <m/>
    <x v="18"/>
    <x v="0"/>
    <x v="82"/>
    <d v="2011-05-06T00:00:00"/>
    <x v="4"/>
    <x v="0"/>
    <m/>
    <s v="Focus On: Portuguese Cinema 2- Before and After Revolution"/>
    <x v="0"/>
    <x v="0"/>
    <m/>
    <x v="0"/>
    <x v="5"/>
    <x v="577"/>
    <x v="18"/>
    <x v="0"/>
    <x v="0"/>
    <x v="82"/>
    <x v="1274"/>
  </r>
  <r>
    <x v="0"/>
    <n v="829"/>
    <x v="576"/>
    <x v="2"/>
    <s v="CM"/>
    <s v="N"/>
    <x v="434"/>
    <x v="2"/>
    <x v="127"/>
    <m/>
    <x v="97"/>
    <m/>
    <x v="17"/>
    <x v="0"/>
    <x v="40"/>
    <d v="2011-11-12T00:00:00"/>
    <x v="13"/>
    <x v="1"/>
    <s v="Films by Young Animators"/>
    <m/>
    <x v="0"/>
    <x v="0"/>
    <m/>
    <x v="0"/>
    <x v="4"/>
    <x v="578"/>
    <x v="17"/>
    <x v="0"/>
    <x v="0"/>
    <x v="40"/>
    <x v="1275"/>
  </r>
  <r>
    <x v="0"/>
    <n v="829"/>
    <x v="576"/>
    <x v="2"/>
    <s v="CM"/>
    <s v="N"/>
    <x v="434"/>
    <x v="2"/>
    <x v="22"/>
    <m/>
    <x v="22"/>
    <m/>
    <x v="3"/>
    <x v="0"/>
    <x v="20"/>
    <d v="2011-11-17T00:00:00"/>
    <x v="13"/>
    <x v="1"/>
    <s v="Sessão Competitiva 14"/>
    <m/>
    <x v="0"/>
    <x v="0"/>
    <m/>
    <x v="0"/>
    <x v="4"/>
    <x v="578"/>
    <x v="3"/>
    <x v="0"/>
    <x v="1"/>
    <x v="20"/>
    <x v="1276"/>
  </r>
  <r>
    <x v="0"/>
    <n v="830"/>
    <x v="577"/>
    <x v="4"/>
    <s v=""/>
    <s v=""/>
    <x v="435"/>
    <x v="2"/>
    <x v="68"/>
    <m/>
    <x v="53"/>
    <m/>
    <x v="3"/>
    <x v="0"/>
    <x v="64"/>
    <d v="2011-07-17T00:00:00"/>
    <x v="8"/>
    <x v="1"/>
    <s v="Take One!"/>
    <m/>
    <x v="0"/>
    <x v="0"/>
    <m/>
    <x v="0"/>
    <x v="7"/>
    <x v="579"/>
    <x v="3"/>
    <x v="0"/>
    <x v="1"/>
    <x v="64"/>
    <x v="1277"/>
  </r>
  <r>
    <x v="0"/>
    <n v="831"/>
    <x v="578"/>
    <x v="0"/>
    <s v="LM"/>
    <s v="S"/>
    <x v="436"/>
    <x v="5"/>
    <x v="173"/>
    <m/>
    <x v="131"/>
    <m/>
    <x v="40"/>
    <x v="0"/>
    <x v="133"/>
    <d v="2011-09-20T00:00:00"/>
    <x v="9"/>
    <x v="0"/>
    <m/>
    <m/>
    <x v="0"/>
    <x v="1"/>
    <m/>
    <x v="0"/>
    <x v="5"/>
    <x v="580"/>
    <x v="40"/>
    <x v="0"/>
    <x v="0"/>
    <x v="133"/>
    <x v="1278"/>
  </r>
  <r>
    <x v="0"/>
    <n v="833"/>
    <x v="579"/>
    <x v="0"/>
    <s v="LM"/>
    <s v="S"/>
    <x v="20"/>
    <x v="2"/>
    <x v="85"/>
    <m/>
    <x v="64"/>
    <m/>
    <x v="18"/>
    <x v="0"/>
    <x v="77"/>
    <d v="2011-10-14T00:00:00"/>
    <x v="14"/>
    <x v="0"/>
    <m/>
    <s v="Extreme Portuguese Cinema: Six Auteurs in Focus"/>
    <x v="0"/>
    <x v="0"/>
    <m/>
    <x v="0"/>
    <x v="5"/>
    <x v="581"/>
    <x v="18"/>
    <x v="0"/>
    <x v="0"/>
    <x v="77"/>
    <x v="1279"/>
  </r>
  <r>
    <x v="0"/>
    <n v="834"/>
    <x v="580"/>
    <x v="0"/>
    <s v="LM"/>
    <s v="N"/>
    <x v="53"/>
    <x v="33"/>
    <x v="54"/>
    <m/>
    <x v="44"/>
    <m/>
    <x v="3"/>
    <x v="0"/>
    <x v="48"/>
    <d v="2011-08-31T00:00:00"/>
    <x v="16"/>
    <x v="0"/>
    <m/>
    <m/>
    <x v="0"/>
    <x v="1"/>
    <m/>
    <x v="0"/>
    <x v="5"/>
    <x v="582"/>
    <x v="3"/>
    <x v="0"/>
    <x v="1"/>
    <x v="48"/>
    <x v="1280"/>
  </r>
  <r>
    <x v="0"/>
    <n v="393"/>
    <x v="581"/>
    <x v="0"/>
    <s v="CM"/>
    <s v="N"/>
    <x v="126"/>
    <x v="5"/>
    <x v="21"/>
    <m/>
    <x v="21"/>
    <m/>
    <x v="3"/>
    <x v="0"/>
    <x v="15"/>
    <d v="2011-12-03T00:00:00"/>
    <x v="12"/>
    <x v="1"/>
    <s v="Curtas Ficção"/>
    <m/>
    <x v="0"/>
    <x v="0"/>
    <m/>
    <x v="0"/>
    <x v="0"/>
    <x v="583"/>
    <x v="3"/>
    <x v="0"/>
    <x v="1"/>
    <x v="15"/>
    <x v="1281"/>
  </r>
  <r>
    <x v="0"/>
    <n v="838"/>
    <x v="582"/>
    <x v="4"/>
    <s v=""/>
    <s v=""/>
    <x v="437"/>
    <x v="2"/>
    <x v="64"/>
    <m/>
    <x v="23"/>
    <m/>
    <x v="3"/>
    <x v="0"/>
    <x v="60"/>
    <d v="2011-05-28T00:00:00"/>
    <x v="6"/>
    <x v="1"/>
    <m/>
    <m/>
    <x v="110"/>
    <x v="1"/>
    <m/>
    <x v="1"/>
    <x v="7"/>
    <x v="584"/>
    <x v="3"/>
    <x v="152"/>
    <x v="1"/>
    <x v="60"/>
    <x v="1282"/>
  </r>
  <r>
    <x v="0"/>
    <n v="838"/>
    <x v="582"/>
    <x v="4"/>
    <s v=""/>
    <s v=""/>
    <x v="437"/>
    <x v="2"/>
    <x v="14"/>
    <m/>
    <x v="14"/>
    <m/>
    <x v="3"/>
    <x v="0"/>
    <x v="13"/>
    <d v="2011-11-05T00:00:00"/>
    <x v="0"/>
    <x v="1"/>
    <s v="Competição Curtas Metragens"/>
    <m/>
    <x v="136"/>
    <x v="0"/>
    <m/>
    <x v="1"/>
    <x v="7"/>
    <x v="584"/>
    <x v="3"/>
    <x v="153"/>
    <x v="1"/>
    <x v="13"/>
    <x v="1283"/>
  </r>
  <r>
    <x v="0"/>
    <n v="844"/>
    <x v="583"/>
    <x v="1"/>
    <s v="CM"/>
    <s v="N"/>
    <x v="87"/>
    <x v="5"/>
    <x v="90"/>
    <m/>
    <x v="69"/>
    <m/>
    <x v="8"/>
    <x v="0"/>
    <x v="81"/>
    <d v="2011-02-06T00:00:00"/>
    <x v="18"/>
    <x v="0"/>
    <m/>
    <s v="Spectrum Shorts - Short Stories: Oh Stranger"/>
    <x v="0"/>
    <x v="0"/>
    <m/>
    <x v="0"/>
    <x v="2"/>
    <x v="585"/>
    <x v="8"/>
    <x v="0"/>
    <x v="0"/>
    <x v="81"/>
    <x v="1284"/>
  </r>
  <r>
    <x v="0"/>
    <n v="844"/>
    <x v="583"/>
    <x v="1"/>
    <s v="CM"/>
    <s v="N"/>
    <x v="87"/>
    <x v="5"/>
    <x v="62"/>
    <m/>
    <x v="23"/>
    <m/>
    <x v="3"/>
    <x v="0"/>
    <x v="58"/>
    <d v="2011-03-06T00:00:00"/>
    <x v="19"/>
    <x v="0"/>
    <m/>
    <s v="Panorama do Cinema Português"/>
    <x v="0"/>
    <x v="0"/>
    <m/>
    <x v="0"/>
    <x v="2"/>
    <x v="585"/>
    <x v="3"/>
    <x v="0"/>
    <x v="1"/>
    <x v="58"/>
    <x v="1285"/>
  </r>
  <r>
    <x v="0"/>
    <n v="844"/>
    <x v="583"/>
    <x v="1"/>
    <s v="CM"/>
    <s v="N"/>
    <x v="87"/>
    <x v="5"/>
    <x v="10"/>
    <m/>
    <x v="10"/>
    <m/>
    <x v="0"/>
    <x v="0"/>
    <x v="10"/>
    <d v="2011-09-25T00:00:00"/>
    <x v="9"/>
    <x v="1"/>
    <s v="Andorinha Curta Documentário"/>
    <m/>
    <x v="137"/>
    <x v="0"/>
    <m/>
    <x v="1"/>
    <x v="2"/>
    <x v="585"/>
    <x v="0"/>
    <x v="154"/>
    <x v="0"/>
    <x v="10"/>
    <x v="1286"/>
  </r>
  <r>
    <x v="0"/>
    <n v="844"/>
    <x v="583"/>
    <x v="1"/>
    <s v="CM"/>
    <s v="N"/>
    <x v="87"/>
    <x v="5"/>
    <x v="0"/>
    <m/>
    <x v="0"/>
    <m/>
    <x v="0"/>
    <x v="0"/>
    <x v="0"/>
    <d v="2011-11-06T00:00:00"/>
    <x v="0"/>
    <x v="0"/>
    <m/>
    <s v="Foco Portugal: Programa Onda Curta"/>
    <x v="0"/>
    <x v="0"/>
    <m/>
    <x v="0"/>
    <x v="2"/>
    <x v="585"/>
    <x v="0"/>
    <x v="0"/>
    <x v="0"/>
    <x v="0"/>
    <x v="1287"/>
  </r>
  <r>
    <x v="0"/>
    <n v="844"/>
    <x v="583"/>
    <x v="1"/>
    <s v="CM"/>
    <s v="N"/>
    <x v="87"/>
    <x v="5"/>
    <x v="336"/>
    <m/>
    <x v="228"/>
    <m/>
    <x v="2"/>
    <x v="0"/>
    <x v="25"/>
    <d v="2011-11-13T00:00:00"/>
    <x v="13"/>
    <x v="1"/>
    <s v="Compétion Courts-métrages "/>
    <m/>
    <x v="0"/>
    <x v="0"/>
    <m/>
    <x v="0"/>
    <x v="2"/>
    <x v="585"/>
    <x v="2"/>
    <x v="0"/>
    <x v="0"/>
    <x v="25"/>
    <x v="1288"/>
  </r>
  <r>
    <x v="0"/>
    <n v="844"/>
    <x v="583"/>
    <x v="1"/>
    <s v="CM"/>
    <s v="N"/>
    <x v="87"/>
    <x v="5"/>
    <x v="304"/>
    <m/>
    <x v="210"/>
    <m/>
    <x v="2"/>
    <x v="0"/>
    <x v="40"/>
    <d v="2011-11-13T00:00:00"/>
    <x v="13"/>
    <x v="0"/>
    <m/>
    <s v="L'Europe en court - Je voyage donc je suis"/>
    <x v="0"/>
    <x v="0"/>
    <m/>
    <x v="0"/>
    <x v="2"/>
    <x v="585"/>
    <x v="2"/>
    <x v="0"/>
    <x v="0"/>
    <x v="40"/>
    <x v="1289"/>
  </r>
  <r>
    <x v="0"/>
    <n v="844"/>
    <x v="583"/>
    <x v="1"/>
    <s v="CM"/>
    <s v="N"/>
    <x v="87"/>
    <x v="5"/>
    <x v="229"/>
    <m/>
    <x v="160"/>
    <m/>
    <x v="47"/>
    <x v="0"/>
    <x v="148"/>
    <d v="2011-12-20T00:00:00"/>
    <x v="12"/>
    <x v="1"/>
    <s v="International Showcase: Short length Documentaries"/>
    <m/>
    <x v="0"/>
    <x v="0"/>
    <m/>
    <x v="0"/>
    <x v="2"/>
    <x v="585"/>
    <x v="47"/>
    <x v="0"/>
    <x v="0"/>
    <x v="148"/>
    <x v="1290"/>
  </r>
  <r>
    <x v="0"/>
    <n v="845"/>
    <x v="584"/>
    <x v="0"/>
    <s v="LM"/>
    <s v="S"/>
    <x v="20"/>
    <x v="5"/>
    <x v="90"/>
    <m/>
    <x v="69"/>
    <m/>
    <x v="8"/>
    <x v="0"/>
    <x v="81"/>
    <d v="2011-02-06T00:00:00"/>
    <x v="18"/>
    <x v="0"/>
    <m/>
    <s v="Spectrum"/>
    <x v="0"/>
    <x v="0"/>
    <m/>
    <x v="0"/>
    <x v="5"/>
    <x v="586"/>
    <x v="8"/>
    <x v="0"/>
    <x v="0"/>
    <x v="81"/>
    <x v="1291"/>
  </r>
  <r>
    <x v="0"/>
    <n v="845"/>
    <x v="584"/>
    <x v="0"/>
    <s v="LM"/>
    <s v="S"/>
    <x v="20"/>
    <x v="5"/>
    <x v="2"/>
    <m/>
    <x v="2"/>
    <m/>
    <x v="2"/>
    <x v="0"/>
    <x v="2"/>
    <d v="2011-03-29T00:00:00"/>
    <x v="2"/>
    <x v="0"/>
    <m/>
    <m/>
    <x v="0"/>
    <x v="1"/>
    <m/>
    <x v="0"/>
    <x v="5"/>
    <x v="586"/>
    <x v="2"/>
    <x v="0"/>
    <x v="0"/>
    <x v="2"/>
    <x v="1292"/>
  </r>
  <r>
    <x v="0"/>
    <n v="845"/>
    <x v="584"/>
    <x v="0"/>
    <s v="LM"/>
    <s v="S"/>
    <x v="20"/>
    <x v="5"/>
    <x v="269"/>
    <m/>
    <x v="188"/>
    <m/>
    <x v="55"/>
    <x v="0"/>
    <x v="178"/>
    <d v="2011-04-30T00:00:00"/>
    <x v="5"/>
    <x v="0"/>
    <m/>
    <m/>
    <x v="0"/>
    <x v="0"/>
    <m/>
    <x v="0"/>
    <x v="5"/>
    <x v="586"/>
    <x v="55"/>
    <x v="0"/>
    <x v="0"/>
    <x v="178"/>
    <x v="1293"/>
  </r>
  <r>
    <x v="0"/>
    <n v="845"/>
    <x v="584"/>
    <x v="0"/>
    <s v="LM"/>
    <s v="S"/>
    <x v="20"/>
    <x v="5"/>
    <x v="4"/>
    <m/>
    <x v="4"/>
    <m/>
    <x v="2"/>
    <x v="0"/>
    <x v="4"/>
    <d v="2011-05-08T00:00:00"/>
    <x v="4"/>
    <x v="0"/>
    <m/>
    <m/>
    <x v="0"/>
    <x v="1"/>
    <m/>
    <x v="0"/>
    <x v="5"/>
    <x v="586"/>
    <x v="2"/>
    <x v="0"/>
    <x v="0"/>
    <x v="4"/>
    <x v="1294"/>
  </r>
  <r>
    <x v="0"/>
    <n v="845"/>
    <x v="584"/>
    <x v="0"/>
    <s v="LM"/>
    <s v="S"/>
    <x v="20"/>
    <x v="5"/>
    <x v="63"/>
    <m/>
    <x v="24"/>
    <m/>
    <x v="3"/>
    <x v="0"/>
    <x v="59"/>
    <d v="2011-05-01T00:00:00"/>
    <x v="4"/>
    <x v="0"/>
    <m/>
    <s v="Homenagem a Manoel de Oliveira"/>
    <x v="0"/>
    <x v="0"/>
    <m/>
    <x v="0"/>
    <x v="5"/>
    <x v="586"/>
    <x v="3"/>
    <x v="0"/>
    <x v="1"/>
    <x v="59"/>
    <x v="1295"/>
  </r>
  <r>
    <x v="0"/>
    <n v="845"/>
    <x v="584"/>
    <x v="0"/>
    <s v="LM"/>
    <s v="S"/>
    <x v="20"/>
    <x v="5"/>
    <x v="91"/>
    <m/>
    <x v="70"/>
    <m/>
    <x v="18"/>
    <x v="0"/>
    <x v="82"/>
    <d v="2011-05-06T00:00:00"/>
    <x v="4"/>
    <x v="0"/>
    <m/>
    <s v="Cinemascape: World Cinema"/>
    <x v="0"/>
    <x v="0"/>
    <m/>
    <x v="0"/>
    <x v="5"/>
    <x v="586"/>
    <x v="18"/>
    <x v="0"/>
    <x v="0"/>
    <x v="82"/>
    <x v="1296"/>
  </r>
  <r>
    <x v="0"/>
    <n v="845"/>
    <x v="584"/>
    <x v="0"/>
    <s v="LM"/>
    <s v="S"/>
    <x v="20"/>
    <x v="5"/>
    <x v="134"/>
    <m/>
    <x v="99"/>
    <m/>
    <x v="3"/>
    <x v="0"/>
    <x v="111"/>
    <m/>
    <x v="16"/>
    <x v="0"/>
    <m/>
    <m/>
    <x v="0"/>
    <x v="1"/>
    <m/>
    <x v="0"/>
    <x v="5"/>
    <x v="586"/>
    <x v="3"/>
    <x v="0"/>
    <x v="1"/>
    <x v="111"/>
    <x v="1297"/>
  </r>
  <r>
    <x v="0"/>
    <n v="845"/>
    <x v="584"/>
    <x v="0"/>
    <s v="LM"/>
    <s v="S"/>
    <x v="20"/>
    <x v="5"/>
    <x v="51"/>
    <m/>
    <x v="43"/>
    <m/>
    <x v="3"/>
    <x v="0"/>
    <x v="45"/>
    <d v="2011-09-11T00:00:00"/>
    <x v="9"/>
    <x v="0"/>
    <m/>
    <m/>
    <x v="0"/>
    <x v="0"/>
    <m/>
    <x v="0"/>
    <x v="5"/>
    <x v="586"/>
    <x v="3"/>
    <x v="0"/>
    <x v="1"/>
    <x v="45"/>
    <x v="1298"/>
  </r>
  <r>
    <x v="0"/>
    <n v="845"/>
    <x v="584"/>
    <x v="0"/>
    <s v="LM"/>
    <s v="S"/>
    <x v="20"/>
    <x v="5"/>
    <x v="8"/>
    <m/>
    <x v="8"/>
    <m/>
    <x v="3"/>
    <x v="0"/>
    <x v="168"/>
    <m/>
    <x v="9"/>
    <x v="0"/>
    <m/>
    <m/>
    <x v="0"/>
    <x v="1"/>
    <m/>
    <x v="0"/>
    <x v="5"/>
    <x v="586"/>
    <x v="3"/>
    <x v="0"/>
    <x v="1"/>
    <x v="168"/>
    <x v="1299"/>
  </r>
  <r>
    <x v="0"/>
    <n v="845"/>
    <x v="584"/>
    <x v="0"/>
    <s v="LM"/>
    <s v="S"/>
    <x v="20"/>
    <x v="5"/>
    <x v="12"/>
    <m/>
    <x v="12"/>
    <m/>
    <x v="2"/>
    <x v="0"/>
    <x v="11"/>
    <d v="2011-09-27T00:00:00"/>
    <x v="9"/>
    <x v="0"/>
    <m/>
    <s v="Désir d'Eternité"/>
    <x v="0"/>
    <x v="1"/>
    <m/>
    <x v="0"/>
    <x v="5"/>
    <x v="586"/>
    <x v="2"/>
    <x v="0"/>
    <x v="0"/>
    <x v="11"/>
    <x v="1300"/>
  </r>
  <r>
    <x v="0"/>
    <n v="845"/>
    <x v="584"/>
    <x v="0"/>
    <s v="LM"/>
    <s v="S"/>
    <x v="20"/>
    <x v="5"/>
    <x v="9"/>
    <m/>
    <x v="9"/>
    <m/>
    <x v="3"/>
    <x v="0"/>
    <x v="211"/>
    <m/>
    <x v="9"/>
    <x v="0"/>
    <m/>
    <m/>
    <x v="0"/>
    <x v="1"/>
    <m/>
    <x v="0"/>
    <x v="5"/>
    <x v="586"/>
    <x v="3"/>
    <x v="0"/>
    <x v="1"/>
    <x v="211"/>
    <x v="1301"/>
  </r>
  <r>
    <x v="0"/>
    <n v="845"/>
    <x v="584"/>
    <x v="0"/>
    <s v="LM"/>
    <s v="S"/>
    <x v="20"/>
    <x v="5"/>
    <x v="158"/>
    <m/>
    <x v="121"/>
    <m/>
    <x v="3"/>
    <x v="0"/>
    <x v="119"/>
    <d v="2011-10-02T00:00:00"/>
    <x v="10"/>
    <x v="0"/>
    <m/>
    <s v="Homenagem a Manoel de Oliveira"/>
    <x v="0"/>
    <x v="0"/>
    <m/>
    <x v="0"/>
    <x v="5"/>
    <x v="586"/>
    <x v="3"/>
    <x v="0"/>
    <x v="1"/>
    <x v="119"/>
    <x v="1302"/>
  </r>
  <r>
    <x v="0"/>
    <n v="845"/>
    <x v="584"/>
    <x v="0"/>
    <s v="LM"/>
    <s v="S"/>
    <x v="20"/>
    <x v="5"/>
    <x v="228"/>
    <m/>
    <x v="159"/>
    <m/>
    <x v="46"/>
    <x v="0"/>
    <x v="39"/>
    <d v="2011-11-20T00:00:00"/>
    <x v="0"/>
    <x v="0"/>
    <m/>
    <m/>
    <x v="0"/>
    <x v="0"/>
    <m/>
    <x v="0"/>
    <x v="5"/>
    <x v="586"/>
    <x v="46"/>
    <x v="0"/>
    <x v="0"/>
    <x v="39"/>
    <x v="1303"/>
  </r>
  <r>
    <x v="0"/>
    <n v="845"/>
    <x v="584"/>
    <x v="0"/>
    <s v="LM"/>
    <s v="S"/>
    <x v="20"/>
    <x v="5"/>
    <x v="13"/>
    <m/>
    <x v="13"/>
    <m/>
    <x v="3"/>
    <x v="0"/>
    <x v="66"/>
    <m/>
    <x v="14"/>
    <x v="0"/>
    <m/>
    <m/>
    <x v="0"/>
    <x v="1"/>
    <m/>
    <x v="0"/>
    <x v="5"/>
    <x v="586"/>
    <x v="3"/>
    <x v="0"/>
    <x v="1"/>
    <x v="66"/>
    <x v="1304"/>
  </r>
  <r>
    <x v="0"/>
    <n v="845"/>
    <x v="584"/>
    <x v="0"/>
    <s v="LM"/>
    <s v="S"/>
    <x v="20"/>
    <x v="5"/>
    <x v="337"/>
    <m/>
    <x v="37"/>
    <m/>
    <x v="3"/>
    <x v="0"/>
    <x v="70"/>
    <m/>
    <x v="13"/>
    <x v="0"/>
    <m/>
    <m/>
    <x v="0"/>
    <x v="1"/>
    <m/>
    <x v="0"/>
    <x v="5"/>
    <x v="586"/>
    <x v="3"/>
    <x v="0"/>
    <x v="1"/>
    <x v="70"/>
    <x v="1305"/>
  </r>
  <r>
    <x v="0"/>
    <n v="845"/>
    <x v="584"/>
    <x v="0"/>
    <s v="LM"/>
    <s v="S"/>
    <x v="20"/>
    <x v="5"/>
    <x v="15"/>
    <m/>
    <x v="15"/>
    <m/>
    <x v="3"/>
    <x v="0"/>
    <x v="14"/>
    <d v="2011-12-20T00:00:00"/>
    <x v="11"/>
    <x v="0"/>
    <m/>
    <m/>
    <x v="0"/>
    <x v="1"/>
    <m/>
    <x v="0"/>
    <x v="5"/>
    <x v="586"/>
    <x v="3"/>
    <x v="0"/>
    <x v="1"/>
    <x v="14"/>
    <x v="1306"/>
  </r>
  <r>
    <x v="0"/>
    <n v="845"/>
    <x v="584"/>
    <x v="0"/>
    <s v="LM"/>
    <s v="S"/>
    <x v="20"/>
    <x v="5"/>
    <x v="155"/>
    <m/>
    <x v="119"/>
    <m/>
    <x v="3"/>
    <x v="0"/>
    <x v="124"/>
    <d v="2011-12-29T00:00:00"/>
    <x v="12"/>
    <x v="0"/>
    <m/>
    <m/>
    <x v="0"/>
    <x v="1"/>
    <m/>
    <x v="0"/>
    <x v="5"/>
    <x v="586"/>
    <x v="3"/>
    <x v="0"/>
    <x v="1"/>
    <x v="124"/>
    <x v="1307"/>
  </r>
  <r>
    <x v="0"/>
    <n v="845"/>
    <x v="584"/>
    <x v="0"/>
    <s v="LM"/>
    <s v="S"/>
    <x v="20"/>
    <x v="5"/>
    <x v="338"/>
    <m/>
    <x v="229"/>
    <m/>
    <x v="61"/>
    <x v="7"/>
    <x v="78"/>
    <m/>
    <x v="29"/>
    <x v="0"/>
    <m/>
    <m/>
    <x v="0"/>
    <x v="0"/>
    <s v="Maio a Setº"/>
    <x v="0"/>
    <x v="5"/>
    <x v="586"/>
    <x v="61"/>
    <x v="0"/>
    <x v="0"/>
    <x v="78"/>
    <x v="1308"/>
  </r>
  <r>
    <x v="0"/>
    <n v="846"/>
    <x v="585"/>
    <x v="0"/>
    <s v="LM"/>
    <s v="S"/>
    <x v="401"/>
    <x v="20"/>
    <x v="12"/>
    <m/>
    <x v="12"/>
    <m/>
    <x v="2"/>
    <x v="0"/>
    <x v="11"/>
    <d v="2011-09-27T00:00:00"/>
    <x v="9"/>
    <x v="0"/>
    <m/>
    <s v="Etas et Lieux"/>
    <x v="0"/>
    <x v="1"/>
    <m/>
    <x v="0"/>
    <x v="5"/>
    <x v="587"/>
    <x v="2"/>
    <x v="0"/>
    <x v="0"/>
    <x v="11"/>
    <x v="1309"/>
  </r>
  <r>
    <x v="0"/>
    <n v="846"/>
    <x v="585"/>
    <x v="0"/>
    <s v="LM"/>
    <s v="S"/>
    <x v="401"/>
    <x v="20"/>
    <x v="85"/>
    <m/>
    <x v="64"/>
    <m/>
    <x v="18"/>
    <x v="0"/>
    <x v="77"/>
    <d v="2011-10-14T00:00:00"/>
    <x v="14"/>
    <x v="0"/>
    <m/>
    <s v="Extreme Portuguese Cinema: Six Auteurs in Focus"/>
    <x v="0"/>
    <x v="0"/>
    <m/>
    <x v="0"/>
    <x v="5"/>
    <x v="587"/>
    <x v="18"/>
    <x v="0"/>
    <x v="0"/>
    <x v="77"/>
    <x v="1310"/>
  </r>
  <r>
    <x v="0"/>
    <n v="847"/>
    <x v="586"/>
    <x v="0"/>
    <s v="LM"/>
    <s v="S"/>
    <x v="29"/>
    <x v="2"/>
    <x v="12"/>
    <m/>
    <x v="12"/>
    <m/>
    <x v="2"/>
    <x v="0"/>
    <x v="11"/>
    <d v="2011-09-27T00:00:00"/>
    <x v="9"/>
    <x v="0"/>
    <m/>
    <s v="Désir d'Eternité"/>
    <x v="0"/>
    <x v="1"/>
    <m/>
    <x v="0"/>
    <x v="5"/>
    <x v="588"/>
    <x v="2"/>
    <x v="0"/>
    <x v="0"/>
    <x v="11"/>
    <x v="1311"/>
  </r>
  <r>
    <x v="0"/>
    <n v="852"/>
    <x v="587"/>
    <x v="0"/>
    <s v="CM"/>
    <s v="N"/>
    <x v="438"/>
    <x v="2"/>
    <x v="80"/>
    <m/>
    <x v="60"/>
    <m/>
    <x v="3"/>
    <x v="0"/>
    <x v="70"/>
    <d v="2011-11-13T00:00:00"/>
    <x v="13"/>
    <x v="0"/>
    <m/>
    <s v="Encontros das Escolas Europeias de Cinema"/>
    <x v="0"/>
    <x v="0"/>
    <m/>
    <x v="0"/>
    <x v="0"/>
    <x v="589"/>
    <x v="3"/>
    <x v="0"/>
    <x v="1"/>
    <x v="70"/>
    <x v="1312"/>
  </r>
  <r>
    <x v="0"/>
    <n v="852"/>
    <x v="587"/>
    <x v="0"/>
    <s v="CM"/>
    <s v="N"/>
    <x v="438"/>
    <x v="2"/>
    <x v="22"/>
    <m/>
    <x v="22"/>
    <m/>
    <x v="3"/>
    <x v="0"/>
    <x v="20"/>
    <d v="2011-11-17T00:00:00"/>
    <x v="13"/>
    <x v="1"/>
    <s v="Ensaios Visuais 5"/>
    <m/>
    <x v="0"/>
    <x v="0"/>
    <m/>
    <x v="0"/>
    <x v="0"/>
    <x v="589"/>
    <x v="3"/>
    <x v="0"/>
    <x v="1"/>
    <x v="20"/>
    <x v="1313"/>
  </r>
  <r>
    <x v="0"/>
    <n v="854"/>
    <x v="588"/>
    <x v="0"/>
    <s v="LM"/>
    <s v="S"/>
    <x v="439"/>
    <x v="2"/>
    <x v="98"/>
    <m/>
    <x v="77"/>
    <m/>
    <x v="3"/>
    <x v="0"/>
    <x v="80"/>
    <d v="2011-10-28T00:00:00"/>
    <x v="14"/>
    <x v="0"/>
    <m/>
    <m/>
    <x v="0"/>
    <x v="1"/>
    <m/>
    <x v="0"/>
    <x v="5"/>
    <x v="590"/>
    <x v="3"/>
    <x v="0"/>
    <x v="1"/>
    <x v="80"/>
    <x v="1314"/>
  </r>
  <r>
    <x v="0"/>
    <n v="855"/>
    <x v="589"/>
    <x v="0"/>
    <s v="LM"/>
    <s v="N"/>
    <x v="53"/>
    <x v="2"/>
    <x v="54"/>
    <m/>
    <x v="44"/>
    <m/>
    <x v="3"/>
    <x v="0"/>
    <x v="48"/>
    <d v="2011-08-31T00:00:00"/>
    <x v="16"/>
    <x v="0"/>
    <m/>
    <m/>
    <x v="0"/>
    <x v="1"/>
    <m/>
    <x v="0"/>
    <x v="5"/>
    <x v="591"/>
    <x v="3"/>
    <x v="0"/>
    <x v="1"/>
    <x v="48"/>
    <x v="1315"/>
  </r>
  <r>
    <x v="0"/>
    <n v="1628"/>
    <x v="590"/>
    <x v="1"/>
    <s v="CM"/>
    <s v=""/>
    <x v="440"/>
    <x v="13"/>
    <x v="109"/>
    <m/>
    <x v="23"/>
    <m/>
    <x v="3"/>
    <x v="0"/>
    <x v="115"/>
    <d v="2011-06-05T00:00:00"/>
    <x v="23"/>
    <x v="0"/>
    <m/>
    <s v="Momento XIX"/>
    <x v="0"/>
    <x v="1"/>
    <m/>
    <x v="0"/>
    <x v="2"/>
    <x v="592"/>
    <x v="3"/>
    <x v="0"/>
    <x v="1"/>
    <x v="115"/>
    <x v="1316"/>
  </r>
  <r>
    <x v="0"/>
    <n v="858"/>
    <x v="591"/>
    <x v="0"/>
    <s v="LM"/>
    <s v="S"/>
    <x v="441"/>
    <x v="10"/>
    <x v="4"/>
    <m/>
    <x v="4"/>
    <m/>
    <x v="2"/>
    <x v="0"/>
    <x v="4"/>
    <d v="2011-05-08T00:00:00"/>
    <x v="4"/>
    <x v="0"/>
    <m/>
    <m/>
    <x v="0"/>
    <x v="1"/>
    <m/>
    <x v="0"/>
    <x v="5"/>
    <x v="593"/>
    <x v="2"/>
    <x v="0"/>
    <x v="0"/>
    <x v="4"/>
    <x v="1317"/>
  </r>
  <r>
    <x v="0"/>
    <n v="858"/>
    <x v="591"/>
    <x v="0"/>
    <s v="LM"/>
    <s v="S"/>
    <x v="441"/>
    <x v="10"/>
    <x v="180"/>
    <m/>
    <x v="134"/>
    <m/>
    <x v="41"/>
    <x v="0"/>
    <x v="21"/>
    <d v="2011-09-14T00:00:00"/>
    <x v="9"/>
    <x v="0"/>
    <m/>
    <m/>
    <x v="0"/>
    <x v="1"/>
    <m/>
    <x v="0"/>
    <x v="5"/>
    <x v="593"/>
    <x v="41"/>
    <x v="0"/>
    <x v="0"/>
    <x v="21"/>
    <x v="1318"/>
  </r>
  <r>
    <x v="0"/>
    <n v="858"/>
    <x v="591"/>
    <x v="0"/>
    <s v="LM"/>
    <s v="S"/>
    <x v="441"/>
    <x v="10"/>
    <x v="98"/>
    <m/>
    <x v="77"/>
    <m/>
    <x v="3"/>
    <x v="0"/>
    <x v="80"/>
    <d v="2011-10-28T00:00:00"/>
    <x v="14"/>
    <x v="0"/>
    <m/>
    <m/>
    <x v="0"/>
    <x v="1"/>
    <m/>
    <x v="0"/>
    <x v="5"/>
    <x v="593"/>
    <x v="3"/>
    <x v="0"/>
    <x v="1"/>
    <x v="80"/>
    <x v="1319"/>
  </r>
  <r>
    <x v="0"/>
    <n v="859"/>
    <x v="592"/>
    <x v="2"/>
    <s v="CM"/>
    <s v="S"/>
    <x v="442"/>
    <x v="5"/>
    <x v="61"/>
    <m/>
    <x v="50"/>
    <m/>
    <x v="13"/>
    <x v="0"/>
    <x v="57"/>
    <d v="2011-02-25T00:00:00"/>
    <x v="1"/>
    <x v="0"/>
    <m/>
    <m/>
    <x v="0"/>
    <x v="1"/>
    <m/>
    <x v="0"/>
    <x v="4"/>
    <x v="594"/>
    <x v="13"/>
    <x v="0"/>
    <x v="0"/>
    <x v="57"/>
    <x v="1320"/>
  </r>
  <r>
    <x v="0"/>
    <n v="859"/>
    <x v="592"/>
    <x v="2"/>
    <s v="CM"/>
    <s v="S"/>
    <x v="442"/>
    <x v="5"/>
    <x v="34"/>
    <m/>
    <x v="32"/>
    <m/>
    <x v="3"/>
    <x v="0"/>
    <x v="31"/>
    <d v="2011-05-15T00:00:00"/>
    <x v="6"/>
    <x v="1"/>
    <m/>
    <m/>
    <x v="7"/>
    <x v="0"/>
    <m/>
    <x v="1"/>
    <x v="4"/>
    <x v="594"/>
    <x v="3"/>
    <x v="7"/>
    <x v="1"/>
    <x v="31"/>
    <x v="1321"/>
  </r>
  <r>
    <x v="0"/>
    <n v="859"/>
    <x v="592"/>
    <x v="2"/>
    <s v="CM"/>
    <s v="S"/>
    <x v="442"/>
    <x v="5"/>
    <x v="220"/>
    <m/>
    <x v="154"/>
    <m/>
    <x v="0"/>
    <x v="0"/>
    <x v="160"/>
    <d v="2011-07-31T00:00:00"/>
    <x v="8"/>
    <x v="0"/>
    <m/>
    <s v="Panorama Internacional 2"/>
    <x v="0"/>
    <x v="0"/>
    <m/>
    <x v="0"/>
    <x v="4"/>
    <x v="594"/>
    <x v="0"/>
    <x v="0"/>
    <x v="0"/>
    <x v="160"/>
    <x v="1322"/>
  </r>
  <r>
    <x v="0"/>
    <n v="859"/>
    <x v="592"/>
    <x v="2"/>
    <s v="CM"/>
    <s v="S"/>
    <x v="442"/>
    <x v="5"/>
    <x v="339"/>
    <m/>
    <x v="56"/>
    <m/>
    <x v="16"/>
    <x v="0"/>
    <x v="142"/>
    <d v="2011-07-31T00:00:00"/>
    <x v="8"/>
    <x v="1"/>
    <s v="European Shorts Debuts - Animation 2"/>
    <m/>
    <x v="0"/>
    <x v="0"/>
    <m/>
    <x v="0"/>
    <x v="4"/>
    <x v="594"/>
    <x v="16"/>
    <x v="0"/>
    <x v="0"/>
    <x v="142"/>
    <x v="1323"/>
  </r>
  <r>
    <x v="0"/>
    <n v="859"/>
    <x v="592"/>
    <x v="2"/>
    <s v="CM"/>
    <s v="S"/>
    <x v="442"/>
    <x v="5"/>
    <x v="139"/>
    <m/>
    <x v="106"/>
    <m/>
    <x v="15"/>
    <x v="0"/>
    <x v="109"/>
    <d v="2011-07-30T00:00:00"/>
    <x v="8"/>
    <x v="0"/>
    <m/>
    <s v="ExtraFest"/>
    <x v="0"/>
    <x v="0"/>
    <m/>
    <x v="0"/>
    <x v="4"/>
    <x v="594"/>
    <x v="15"/>
    <x v="0"/>
    <x v="0"/>
    <x v="109"/>
    <x v="1324"/>
  </r>
  <r>
    <x v="0"/>
    <n v="859"/>
    <x v="592"/>
    <x v="2"/>
    <s v="CM"/>
    <s v="S"/>
    <x v="442"/>
    <x v="5"/>
    <x v="234"/>
    <m/>
    <x v="164"/>
    <m/>
    <x v="5"/>
    <x v="0"/>
    <x v="200"/>
    <d v="2011-08-15T00:00:00"/>
    <x v="16"/>
    <x v="1"/>
    <m/>
    <m/>
    <x v="0"/>
    <x v="0"/>
    <m/>
    <x v="0"/>
    <x v="4"/>
    <x v="594"/>
    <x v="5"/>
    <x v="0"/>
    <x v="0"/>
    <x v="200"/>
    <x v="1325"/>
  </r>
  <r>
    <x v="0"/>
    <n v="859"/>
    <x v="592"/>
    <x v="2"/>
    <s v="CM"/>
    <s v="S"/>
    <x v="442"/>
    <x v="5"/>
    <x v="10"/>
    <m/>
    <x v="10"/>
    <m/>
    <x v="0"/>
    <x v="0"/>
    <x v="10"/>
    <d v="2011-09-25T00:00:00"/>
    <x v="9"/>
    <x v="1"/>
    <s v="Andorinha Curta Animação"/>
    <m/>
    <x v="0"/>
    <x v="0"/>
    <m/>
    <x v="0"/>
    <x v="4"/>
    <x v="594"/>
    <x v="0"/>
    <x v="0"/>
    <x v="0"/>
    <x v="10"/>
    <x v="1326"/>
  </r>
  <r>
    <x v="0"/>
    <n v="859"/>
    <x v="592"/>
    <x v="2"/>
    <s v="CM"/>
    <s v="S"/>
    <x v="442"/>
    <x v="5"/>
    <x v="340"/>
    <m/>
    <x v="230"/>
    <m/>
    <x v="1"/>
    <x v="0"/>
    <x v="139"/>
    <d v="2011-10-29T00:00:00"/>
    <x v="14"/>
    <x v="1"/>
    <s v="Animación"/>
    <m/>
    <x v="0"/>
    <x v="0"/>
    <m/>
    <x v="0"/>
    <x v="4"/>
    <x v="594"/>
    <x v="1"/>
    <x v="0"/>
    <x v="0"/>
    <x v="139"/>
    <x v="1327"/>
  </r>
  <r>
    <x v="0"/>
    <n v="859"/>
    <x v="592"/>
    <x v="2"/>
    <s v="CM"/>
    <s v="S"/>
    <x v="442"/>
    <x v="5"/>
    <x v="14"/>
    <m/>
    <x v="14"/>
    <m/>
    <x v="3"/>
    <x v="0"/>
    <x v="13"/>
    <d v="2011-11-05T00:00:00"/>
    <x v="0"/>
    <x v="1"/>
    <s v="Competição Curtas Metragens"/>
    <m/>
    <x v="0"/>
    <x v="0"/>
    <m/>
    <x v="0"/>
    <x v="4"/>
    <x v="594"/>
    <x v="3"/>
    <x v="0"/>
    <x v="1"/>
    <x v="13"/>
    <x v="1328"/>
  </r>
  <r>
    <x v="0"/>
    <n v="859"/>
    <x v="592"/>
    <x v="2"/>
    <s v="CM"/>
    <s v="S"/>
    <x v="442"/>
    <x v="5"/>
    <x v="22"/>
    <m/>
    <x v="22"/>
    <m/>
    <x v="3"/>
    <x v="0"/>
    <x v="20"/>
    <d v="2011-11-17T00:00:00"/>
    <x v="13"/>
    <x v="1"/>
    <s v="Sessão Competitiva 5"/>
    <m/>
    <x v="0"/>
    <x v="0"/>
    <m/>
    <x v="0"/>
    <x v="4"/>
    <x v="594"/>
    <x v="3"/>
    <x v="0"/>
    <x v="1"/>
    <x v="20"/>
    <x v="1329"/>
  </r>
  <r>
    <x v="0"/>
    <n v="860"/>
    <x v="593"/>
    <x v="0"/>
    <s v="CM"/>
    <s v="N"/>
    <x v="178"/>
    <x v="2"/>
    <x v="146"/>
    <m/>
    <x v="24"/>
    <m/>
    <x v="3"/>
    <x v="0"/>
    <x v="112"/>
    <d v="2011-05-15T00:00:00"/>
    <x v="6"/>
    <x v="0"/>
    <m/>
    <s v="Cinema Emergente"/>
    <x v="0"/>
    <x v="0"/>
    <m/>
    <x v="0"/>
    <x v="0"/>
    <x v="595"/>
    <x v="3"/>
    <x v="0"/>
    <x v="1"/>
    <x v="112"/>
    <x v="1330"/>
  </r>
  <r>
    <x v="0"/>
    <n v="860"/>
    <x v="593"/>
    <x v="0"/>
    <s v="CM"/>
    <s v="N"/>
    <x v="178"/>
    <x v="2"/>
    <x v="341"/>
    <m/>
    <x v="231"/>
    <m/>
    <x v="58"/>
    <x v="0"/>
    <x v="172"/>
    <d v="2011-10-22T00:00:00"/>
    <x v="14"/>
    <x v="0"/>
    <m/>
    <m/>
    <x v="0"/>
    <x v="0"/>
    <m/>
    <x v="0"/>
    <x v="0"/>
    <x v="595"/>
    <x v="58"/>
    <x v="0"/>
    <x v="0"/>
    <x v="172"/>
    <x v="1331"/>
  </r>
  <r>
    <x v="0"/>
    <n v="860"/>
    <x v="593"/>
    <x v="0"/>
    <s v="CM"/>
    <s v="N"/>
    <x v="178"/>
    <x v="2"/>
    <x v="273"/>
    <m/>
    <x v="115"/>
    <m/>
    <x v="36"/>
    <x v="0"/>
    <x v="184"/>
    <m/>
    <x v="14"/>
    <x v="0"/>
    <m/>
    <m/>
    <x v="0"/>
    <x v="1"/>
    <m/>
    <x v="0"/>
    <x v="0"/>
    <x v="595"/>
    <x v="36"/>
    <x v="0"/>
    <x v="0"/>
    <x v="184"/>
    <x v="1332"/>
  </r>
  <r>
    <x v="0"/>
    <n v="860"/>
    <x v="593"/>
    <x v="0"/>
    <s v="CM"/>
    <s v="N"/>
    <x v="178"/>
    <x v="2"/>
    <x v="304"/>
    <m/>
    <x v="210"/>
    <m/>
    <x v="2"/>
    <x v="0"/>
    <x v="40"/>
    <d v="2011-11-13T00:00:00"/>
    <x v="13"/>
    <x v="1"/>
    <s v="Compétition 7"/>
    <m/>
    <x v="0"/>
    <x v="0"/>
    <m/>
    <x v="0"/>
    <x v="0"/>
    <x v="595"/>
    <x v="2"/>
    <x v="0"/>
    <x v="0"/>
    <x v="40"/>
    <x v="1333"/>
  </r>
  <r>
    <x v="0"/>
    <n v="860"/>
    <x v="593"/>
    <x v="0"/>
    <s v="CM"/>
    <s v="N"/>
    <x v="178"/>
    <x v="2"/>
    <x v="22"/>
    <m/>
    <x v="22"/>
    <m/>
    <x v="3"/>
    <x v="0"/>
    <x v="20"/>
    <d v="2011-11-17T00:00:00"/>
    <x v="13"/>
    <x v="1"/>
    <s v="Sessão Competitiva 4"/>
    <m/>
    <x v="0"/>
    <x v="0"/>
    <m/>
    <x v="0"/>
    <x v="0"/>
    <x v="595"/>
    <x v="3"/>
    <x v="0"/>
    <x v="1"/>
    <x v="20"/>
    <x v="1334"/>
  </r>
  <r>
    <x v="0"/>
    <n v="860"/>
    <x v="593"/>
    <x v="0"/>
    <s v="CM"/>
    <s v="N"/>
    <x v="178"/>
    <x v="2"/>
    <x v="342"/>
    <m/>
    <x v="232"/>
    <m/>
    <x v="5"/>
    <x v="0"/>
    <x v="72"/>
    <d v="2011-11-20T00:00:00"/>
    <x v="13"/>
    <x v="0"/>
    <m/>
    <m/>
    <x v="0"/>
    <x v="0"/>
    <m/>
    <x v="0"/>
    <x v="0"/>
    <x v="595"/>
    <x v="5"/>
    <x v="0"/>
    <x v="0"/>
    <x v="72"/>
    <x v="1335"/>
  </r>
  <r>
    <x v="0"/>
    <n v="860"/>
    <x v="593"/>
    <x v="0"/>
    <s v="CM"/>
    <s v="N"/>
    <x v="178"/>
    <x v="2"/>
    <x v="151"/>
    <m/>
    <x v="116"/>
    <m/>
    <x v="1"/>
    <x v="0"/>
    <x v="34"/>
    <d v="2011-11-26T00:00:00"/>
    <x v="13"/>
    <x v="1"/>
    <s v="Cortometrajes Programa 2"/>
    <m/>
    <x v="0"/>
    <x v="0"/>
    <m/>
    <x v="0"/>
    <x v="0"/>
    <x v="595"/>
    <x v="1"/>
    <x v="0"/>
    <x v="0"/>
    <x v="34"/>
    <x v="1336"/>
  </r>
  <r>
    <x v="0"/>
    <n v="860"/>
    <x v="593"/>
    <x v="0"/>
    <s v="CM"/>
    <s v="N"/>
    <x v="178"/>
    <x v="2"/>
    <x v="133"/>
    <m/>
    <x v="101"/>
    <m/>
    <x v="3"/>
    <x v="0"/>
    <x v="108"/>
    <d v="2011-12-11T00:00:00"/>
    <x v="12"/>
    <x v="1"/>
    <s v="Sessão Competitiva de Curtas Metragens 3"/>
    <m/>
    <x v="0"/>
    <x v="0"/>
    <m/>
    <x v="0"/>
    <x v="0"/>
    <x v="595"/>
    <x v="3"/>
    <x v="0"/>
    <x v="1"/>
    <x v="108"/>
    <x v="1337"/>
  </r>
  <r>
    <x v="0"/>
    <n v="860"/>
    <x v="593"/>
    <x v="0"/>
    <s v="CM"/>
    <s v="N"/>
    <x v="178"/>
    <x v="2"/>
    <x v="18"/>
    <m/>
    <x v="18"/>
    <m/>
    <x v="3"/>
    <x v="0"/>
    <x v="17"/>
    <d v="2011-12-14T00:00:00"/>
    <x v="12"/>
    <x v="0"/>
    <m/>
    <m/>
    <x v="0"/>
    <x v="1"/>
    <m/>
    <x v="0"/>
    <x v="0"/>
    <x v="595"/>
    <x v="3"/>
    <x v="0"/>
    <x v="1"/>
    <x v="17"/>
    <x v="1338"/>
  </r>
  <r>
    <x v="0"/>
    <n v="861"/>
    <x v="594"/>
    <x v="0"/>
    <s v="LM"/>
    <s v="S"/>
    <x v="149"/>
    <x v="2"/>
    <x v="62"/>
    <m/>
    <x v="23"/>
    <m/>
    <x v="3"/>
    <x v="0"/>
    <x v="58"/>
    <d v="2011-03-06T00:00:00"/>
    <x v="19"/>
    <x v="0"/>
    <m/>
    <s v="Panorama do Cinema Português"/>
    <x v="0"/>
    <x v="0"/>
    <m/>
    <x v="0"/>
    <x v="5"/>
    <x v="596"/>
    <x v="3"/>
    <x v="0"/>
    <x v="1"/>
    <x v="58"/>
    <x v="1339"/>
  </r>
  <r>
    <x v="0"/>
    <n v="861"/>
    <x v="594"/>
    <x v="0"/>
    <s v="LM"/>
    <s v="S"/>
    <x v="149"/>
    <x v="2"/>
    <x v="63"/>
    <m/>
    <x v="24"/>
    <m/>
    <x v="3"/>
    <x v="0"/>
    <x v="59"/>
    <d v="2011-05-01T00:00:00"/>
    <x v="4"/>
    <x v="1"/>
    <s v="Competição Longas Metragens"/>
    <m/>
    <x v="0"/>
    <x v="0"/>
    <m/>
    <x v="0"/>
    <x v="5"/>
    <x v="596"/>
    <x v="3"/>
    <x v="0"/>
    <x v="1"/>
    <x v="59"/>
    <x v="1340"/>
  </r>
  <r>
    <x v="0"/>
    <n v="861"/>
    <x v="594"/>
    <x v="0"/>
    <s v="LM"/>
    <s v="S"/>
    <x v="149"/>
    <x v="2"/>
    <x v="66"/>
    <m/>
    <x v="52"/>
    <m/>
    <x v="3"/>
    <x v="0"/>
    <x v="62"/>
    <d v="2011-06-12T00:00:00"/>
    <x v="7"/>
    <x v="0"/>
    <m/>
    <s v="Cinema Português"/>
    <x v="0"/>
    <x v="0"/>
    <m/>
    <x v="0"/>
    <x v="5"/>
    <x v="596"/>
    <x v="3"/>
    <x v="0"/>
    <x v="1"/>
    <x v="62"/>
    <x v="1341"/>
  </r>
  <r>
    <x v="0"/>
    <n v="861"/>
    <x v="594"/>
    <x v="0"/>
    <s v="LM"/>
    <s v="S"/>
    <x v="149"/>
    <x v="2"/>
    <x v="111"/>
    <m/>
    <x v="24"/>
    <m/>
    <x v="3"/>
    <x v="0"/>
    <x v="96"/>
    <m/>
    <x v="12"/>
    <x v="1"/>
    <m/>
    <m/>
    <x v="138"/>
    <x v="2"/>
    <m/>
    <x v="1"/>
    <x v="5"/>
    <x v="596"/>
    <x v="3"/>
    <x v="155"/>
    <x v="1"/>
    <x v="96"/>
    <x v="1342"/>
  </r>
  <r>
    <x v="0"/>
    <n v="862"/>
    <x v="595"/>
    <x v="0"/>
    <s v="LM"/>
    <s v="S"/>
    <x v="443"/>
    <x v="2"/>
    <x v="144"/>
    <m/>
    <x v="110"/>
    <m/>
    <x v="9"/>
    <x v="0"/>
    <x v="116"/>
    <d v="2011-04-21T00:00:00"/>
    <x v="5"/>
    <x v="0"/>
    <m/>
    <m/>
    <x v="0"/>
    <x v="1"/>
    <m/>
    <x v="0"/>
    <x v="5"/>
    <x v="597"/>
    <x v="9"/>
    <x v="0"/>
    <x v="0"/>
    <x v="116"/>
    <x v="1343"/>
  </r>
  <r>
    <x v="0"/>
    <n v="863"/>
    <x v="596"/>
    <x v="0"/>
    <s v="CM"/>
    <s v="S"/>
    <x v="11"/>
    <x v="5"/>
    <x v="139"/>
    <m/>
    <x v="106"/>
    <m/>
    <x v="15"/>
    <x v="0"/>
    <x v="109"/>
    <d v="2011-07-30T00:00:00"/>
    <x v="8"/>
    <x v="1"/>
    <s v="Internazionale 5"/>
    <m/>
    <x v="0"/>
    <x v="0"/>
    <m/>
    <x v="0"/>
    <x v="0"/>
    <x v="598"/>
    <x v="15"/>
    <x v="0"/>
    <x v="0"/>
    <x v="109"/>
    <x v="1344"/>
  </r>
  <r>
    <x v="0"/>
    <n v="863"/>
    <x v="596"/>
    <x v="0"/>
    <s v="CM"/>
    <s v="S"/>
    <x v="11"/>
    <x v="5"/>
    <x v="165"/>
    <m/>
    <x v="65"/>
    <m/>
    <x v="9"/>
    <x v="0"/>
    <x v="111"/>
    <m/>
    <x v="16"/>
    <x v="0"/>
    <m/>
    <m/>
    <x v="0"/>
    <x v="1"/>
    <m/>
    <x v="0"/>
    <x v="0"/>
    <x v="598"/>
    <x v="9"/>
    <x v="0"/>
    <x v="0"/>
    <x v="111"/>
    <x v="1345"/>
  </r>
  <r>
    <x v="0"/>
    <n v="863"/>
    <x v="596"/>
    <x v="0"/>
    <s v="CM"/>
    <s v="S"/>
    <x v="11"/>
    <x v="5"/>
    <x v="39"/>
    <m/>
    <x v="23"/>
    <m/>
    <x v="3"/>
    <x v="0"/>
    <x v="163"/>
    <m/>
    <x v="9"/>
    <x v="0"/>
    <m/>
    <m/>
    <x v="0"/>
    <x v="1"/>
    <m/>
    <x v="0"/>
    <x v="0"/>
    <x v="598"/>
    <x v="3"/>
    <x v="0"/>
    <x v="1"/>
    <x v="163"/>
    <x v="1346"/>
  </r>
  <r>
    <x v="0"/>
    <n v="863"/>
    <x v="596"/>
    <x v="0"/>
    <s v="CM"/>
    <s v="S"/>
    <x v="11"/>
    <x v="5"/>
    <x v="40"/>
    <m/>
    <x v="37"/>
    <m/>
    <x v="3"/>
    <x v="0"/>
    <x v="36"/>
    <m/>
    <x v="13"/>
    <x v="0"/>
    <m/>
    <m/>
    <x v="0"/>
    <x v="1"/>
    <m/>
    <x v="0"/>
    <x v="0"/>
    <x v="598"/>
    <x v="3"/>
    <x v="0"/>
    <x v="1"/>
    <x v="36"/>
    <x v="1347"/>
  </r>
  <r>
    <x v="0"/>
    <n v="865"/>
    <x v="597"/>
    <x v="4"/>
    <s v=""/>
    <s v=""/>
    <x v="444"/>
    <x v="2"/>
    <x v="192"/>
    <m/>
    <x v="140"/>
    <m/>
    <x v="3"/>
    <x v="0"/>
    <x v="140"/>
    <d v="2011-07-24T00:00:00"/>
    <x v="8"/>
    <x v="1"/>
    <s v="Competição Curtas Metragens"/>
    <m/>
    <x v="0"/>
    <x v="0"/>
    <m/>
    <x v="0"/>
    <x v="7"/>
    <x v="599"/>
    <x v="3"/>
    <x v="0"/>
    <x v="1"/>
    <x v="140"/>
    <x v="1348"/>
  </r>
  <r>
    <x v="0"/>
    <n v="867"/>
    <x v="598"/>
    <x v="4"/>
    <s v=""/>
    <s v=""/>
    <x v="53"/>
    <x v="2"/>
    <x v="54"/>
    <m/>
    <x v="44"/>
    <m/>
    <x v="3"/>
    <x v="0"/>
    <x v="48"/>
    <d v="2011-08-31T00:00:00"/>
    <x v="16"/>
    <x v="0"/>
    <m/>
    <m/>
    <x v="0"/>
    <x v="1"/>
    <m/>
    <x v="0"/>
    <x v="7"/>
    <x v="600"/>
    <x v="3"/>
    <x v="0"/>
    <x v="1"/>
    <x v="48"/>
    <x v="1349"/>
  </r>
  <r>
    <x v="0"/>
    <n v="870"/>
    <x v="599"/>
    <x v="1"/>
    <s v="LM"/>
    <s v="S"/>
    <x v="394"/>
    <x v="5"/>
    <x v="63"/>
    <m/>
    <x v="24"/>
    <m/>
    <x v="3"/>
    <x v="0"/>
    <x v="59"/>
    <d v="2011-05-01T00:00:00"/>
    <x v="4"/>
    <x v="1"/>
    <s v="Competição Longas Metragens"/>
    <m/>
    <x v="0"/>
    <x v="0"/>
    <m/>
    <x v="0"/>
    <x v="1"/>
    <x v="601"/>
    <x v="3"/>
    <x v="0"/>
    <x v="1"/>
    <x v="59"/>
    <x v="1350"/>
  </r>
  <r>
    <x v="0"/>
    <n v="870"/>
    <x v="599"/>
    <x v="1"/>
    <s v="LM"/>
    <s v="S"/>
    <x v="394"/>
    <x v="5"/>
    <x v="343"/>
    <m/>
    <x v="233"/>
    <m/>
    <x v="44"/>
    <x v="0"/>
    <x v="12"/>
    <m/>
    <x v="9"/>
    <x v="0"/>
    <m/>
    <m/>
    <x v="0"/>
    <x v="1"/>
    <m/>
    <x v="0"/>
    <x v="1"/>
    <x v="601"/>
    <x v="44"/>
    <x v="0"/>
    <x v="0"/>
    <x v="12"/>
    <x v="1351"/>
  </r>
  <r>
    <x v="0"/>
    <n v="870"/>
    <x v="599"/>
    <x v="1"/>
    <s v="LM"/>
    <s v="S"/>
    <x v="394"/>
    <x v="5"/>
    <x v="219"/>
    <m/>
    <x v="153"/>
    <m/>
    <x v="44"/>
    <x v="0"/>
    <x v="156"/>
    <d v="2011-10-16T00:00:00"/>
    <x v="14"/>
    <x v="0"/>
    <m/>
    <m/>
    <x v="0"/>
    <x v="0"/>
    <m/>
    <x v="0"/>
    <x v="1"/>
    <x v="601"/>
    <x v="44"/>
    <x v="0"/>
    <x v="0"/>
    <x v="156"/>
    <x v="1352"/>
  </r>
  <r>
    <x v="0"/>
    <n v="870"/>
    <x v="599"/>
    <x v="1"/>
    <s v="LM"/>
    <s v="S"/>
    <x v="394"/>
    <x v="5"/>
    <x v="179"/>
    <m/>
    <x v="133"/>
    <m/>
    <x v="0"/>
    <x v="0"/>
    <x v="127"/>
    <d v="2011-11-03T00:00:00"/>
    <x v="0"/>
    <x v="0"/>
    <m/>
    <s v="Perspectiva Internacional"/>
    <x v="0"/>
    <x v="1"/>
    <m/>
    <x v="0"/>
    <x v="1"/>
    <x v="601"/>
    <x v="0"/>
    <x v="0"/>
    <x v="0"/>
    <x v="127"/>
    <x v="1353"/>
  </r>
  <r>
    <x v="0"/>
    <n v="870"/>
    <x v="599"/>
    <x v="1"/>
    <s v="LM"/>
    <s v="S"/>
    <x v="394"/>
    <x v="5"/>
    <x v="344"/>
    <m/>
    <x v="0"/>
    <m/>
    <x v="0"/>
    <x v="0"/>
    <x v="170"/>
    <d v="2011-11-24T00:00:00"/>
    <x v="13"/>
    <x v="0"/>
    <m/>
    <s v="Panorama Nacional"/>
    <x v="139"/>
    <x v="1"/>
    <m/>
    <x v="1"/>
    <x v="1"/>
    <x v="601"/>
    <x v="0"/>
    <x v="156"/>
    <x v="0"/>
    <x v="170"/>
    <x v="1354"/>
  </r>
  <r>
    <x v="0"/>
    <n v="870"/>
    <x v="599"/>
    <x v="1"/>
    <s v="LM"/>
    <s v="S"/>
    <x v="394"/>
    <x v="5"/>
    <x v="72"/>
    <m/>
    <x v="22"/>
    <m/>
    <x v="3"/>
    <x v="0"/>
    <x v="14"/>
    <d v="2011-11-26T00:00:00"/>
    <x v="13"/>
    <x v="0"/>
    <m/>
    <m/>
    <x v="0"/>
    <x v="1"/>
    <m/>
    <x v="0"/>
    <x v="1"/>
    <x v="601"/>
    <x v="3"/>
    <x v="0"/>
    <x v="1"/>
    <x v="14"/>
    <x v="1355"/>
  </r>
  <r>
    <x v="0"/>
    <n v="871"/>
    <x v="600"/>
    <x v="4"/>
    <s v=""/>
    <s v=""/>
    <x v="178"/>
    <x v="2"/>
    <x v="133"/>
    <m/>
    <x v="101"/>
    <m/>
    <x v="3"/>
    <x v="0"/>
    <x v="108"/>
    <d v="2011-12-11T00:00:00"/>
    <x v="12"/>
    <x v="0"/>
    <m/>
    <s v="Sangue Novo - Carlos Conceição"/>
    <x v="0"/>
    <x v="0"/>
    <m/>
    <x v="0"/>
    <x v="7"/>
    <x v="602"/>
    <x v="3"/>
    <x v="0"/>
    <x v="1"/>
    <x v="108"/>
    <x v="1356"/>
  </r>
  <r>
    <x v="0"/>
    <n v="872"/>
    <x v="601"/>
    <x v="4"/>
    <s v=""/>
    <s v=""/>
    <x v="178"/>
    <x v="2"/>
    <x v="133"/>
    <m/>
    <x v="101"/>
    <m/>
    <x v="3"/>
    <x v="0"/>
    <x v="108"/>
    <d v="2011-12-11T00:00:00"/>
    <x v="12"/>
    <x v="0"/>
    <m/>
    <s v="Sangue Novo - Carlos Conceição"/>
    <x v="0"/>
    <x v="0"/>
    <m/>
    <x v="0"/>
    <x v="7"/>
    <x v="603"/>
    <x v="3"/>
    <x v="0"/>
    <x v="1"/>
    <x v="108"/>
    <x v="1357"/>
  </r>
  <r>
    <x v="0"/>
    <n v="873"/>
    <x v="602"/>
    <x v="4"/>
    <s v=""/>
    <s v=""/>
    <x v="158"/>
    <x v="2"/>
    <x v="345"/>
    <m/>
    <x v="23"/>
    <m/>
    <x v="3"/>
    <x v="0"/>
    <x v="111"/>
    <m/>
    <x v="16"/>
    <x v="0"/>
    <m/>
    <m/>
    <x v="0"/>
    <x v="1"/>
    <m/>
    <x v="0"/>
    <x v="7"/>
    <x v="604"/>
    <x v="3"/>
    <x v="0"/>
    <x v="1"/>
    <x v="111"/>
    <x v="1358"/>
  </r>
  <r>
    <x v="0"/>
    <n v="874"/>
    <x v="603"/>
    <x v="4"/>
    <s v=""/>
    <s v=""/>
    <x v="445"/>
    <x v="2"/>
    <x v="70"/>
    <m/>
    <x v="38"/>
    <m/>
    <x v="3"/>
    <x v="0"/>
    <x v="19"/>
    <d v="2011-09-11T00:00:00"/>
    <x v="9"/>
    <x v="1"/>
    <s v="3ª sessão Competitiva"/>
    <m/>
    <x v="0"/>
    <x v="0"/>
    <m/>
    <x v="0"/>
    <x v="7"/>
    <x v="605"/>
    <x v="3"/>
    <x v="0"/>
    <x v="1"/>
    <x v="19"/>
    <x v="1359"/>
  </r>
  <r>
    <x v="0"/>
    <n v="876"/>
    <x v="604"/>
    <x v="0"/>
    <s v="CM"/>
    <s v="N"/>
    <x v="446"/>
    <x v="2"/>
    <x v="22"/>
    <m/>
    <x v="22"/>
    <m/>
    <x v="3"/>
    <x v="0"/>
    <x v="20"/>
    <d v="2011-11-17T00:00:00"/>
    <x v="13"/>
    <x v="1"/>
    <s v="Ensaios Visuais 3"/>
    <m/>
    <x v="0"/>
    <x v="0"/>
    <m/>
    <x v="0"/>
    <x v="0"/>
    <x v="606"/>
    <x v="3"/>
    <x v="0"/>
    <x v="1"/>
    <x v="20"/>
    <x v="1360"/>
  </r>
  <r>
    <x v="0"/>
    <n v="878"/>
    <x v="605"/>
    <x v="0"/>
    <s v="LM"/>
    <s v="S"/>
    <x v="447"/>
    <x v="2"/>
    <x v="117"/>
    <m/>
    <x v="90"/>
    <m/>
    <x v="27"/>
    <x v="0"/>
    <x v="28"/>
    <d v="2011-03-30T00:00:00"/>
    <x v="2"/>
    <x v="0"/>
    <m/>
    <m/>
    <x v="0"/>
    <x v="1"/>
    <m/>
    <x v="0"/>
    <x v="5"/>
    <x v="607"/>
    <x v="27"/>
    <x v="0"/>
    <x v="0"/>
    <x v="28"/>
    <x v="1361"/>
  </r>
  <r>
    <x v="0"/>
    <n v="878"/>
    <x v="605"/>
    <x v="0"/>
    <s v="LM"/>
    <s v="S"/>
    <x v="447"/>
    <x v="2"/>
    <x v="167"/>
    <m/>
    <x v="127"/>
    <m/>
    <x v="38"/>
    <x v="0"/>
    <x v="3"/>
    <d v="2011-04-07T00:00:00"/>
    <x v="3"/>
    <x v="0"/>
    <m/>
    <m/>
    <x v="0"/>
    <x v="0"/>
    <m/>
    <x v="0"/>
    <x v="5"/>
    <x v="607"/>
    <x v="38"/>
    <x v="0"/>
    <x v="0"/>
    <x v="3"/>
    <x v="1362"/>
  </r>
  <r>
    <x v="0"/>
    <n v="878"/>
    <x v="605"/>
    <x v="0"/>
    <s v="LM"/>
    <s v="S"/>
    <x v="447"/>
    <x v="2"/>
    <x v="144"/>
    <m/>
    <x v="110"/>
    <m/>
    <x v="9"/>
    <x v="0"/>
    <x v="116"/>
    <d v="2011-04-21T00:00:00"/>
    <x v="5"/>
    <x v="0"/>
    <m/>
    <m/>
    <x v="0"/>
    <x v="1"/>
    <m/>
    <x v="0"/>
    <x v="5"/>
    <x v="607"/>
    <x v="9"/>
    <x v="0"/>
    <x v="0"/>
    <x v="116"/>
    <x v="1363"/>
  </r>
  <r>
    <x v="0"/>
    <n v="878"/>
    <x v="605"/>
    <x v="0"/>
    <s v="LM"/>
    <s v="S"/>
    <x v="447"/>
    <x v="2"/>
    <x v="289"/>
    <m/>
    <x v="199"/>
    <m/>
    <x v="33"/>
    <x v="0"/>
    <x v="189"/>
    <d v="2011-10-09T00:00:00"/>
    <x v="14"/>
    <x v="0"/>
    <m/>
    <m/>
    <x v="0"/>
    <x v="1"/>
    <m/>
    <x v="0"/>
    <x v="5"/>
    <x v="607"/>
    <x v="33"/>
    <x v="0"/>
    <x v="0"/>
    <x v="189"/>
    <x v="1364"/>
  </r>
  <r>
    <x v="0"/>
    <n v="878"/>
    <x v="605"/>
    <x v="0"/>
    <s v="LM"/>
    <s v="S"/>
    <x v="447"/>
    <x v="2"/>
    <x v="118"/>
    <m/>
    <x v="24"/>
    <m/>
    <x v="3"/>
    <x v="0"/>
    <x v="99"/>
    <d v="2011-12-03T00:00:00"/>
    <x v="11"/>
    <x v="0"/>
    <m/>
    <m/>
    <x v="0"/>
    <x v="1"/>
    <m/>
    <x v="0"/>
    <x v="5"/>
    <x v="607"/>
    <x v="3"/>
    <x v="0"/>
    <x v="1"/>
    <x v="99"/>
    <x v="1365"/>
  </r>
  <r>
    <x v="0"/>
    <n v="878"/>
    <x v="605"/>
    <x v="0"/>
    <s v="LM"/>
    <s v="S"/>
    <x v="447"/>
    <x v="2"/>
    <x v="346"/>
    <m/>
    <x v="136"/>
    <m/>
    <x v="7"/>
    <x v="0"/>
    <x v="212"/>
    <d v="2011-11-30T00:00:00"/>
    <x v="13"/>
    <x v="0"/>
    <m/>
    <m/>
    <x v="0"/>
    <x v="0"/>
    <m/>
    <x v="0"/>
    <x v="5"/>
    <x v="607"/>
    <x v="7"/>
    <x v="0"/>
    <x v="0"/>
    <x v="212"/>
    <x v="1366"/>
  </r>
  <r>
    <x v="0"/>
    <n v="878"/>
    <x v="605"/>
    <x v="0"/>
    <s v="LM"/>
    <s v="S"/>
    <x v="447"/>
    <x v="2"/>
    <x v="347"/>
    <m/>
    <x v="234"/>
    <m/>
    <x v="62"/>
    <x v="5"/>
    <x v="78"/>
    <m/>
    <x v="6"/>
    <x v="0"/>
    <m/>
    <m/>
    <x v="0"/>
    <x v="0"/>
    <s v="Maio"/>
    <x v="0"/>
    <x v="5"/>
    <x v="607"/>
    <x v="62"/>
    <x v="0"/>
    <x v="0"/>
    <x v="78"/>
    <x v="1367"/>
  </r>
  <r>
    <x v="0"/>
    <n v="2150"/>
    <x v="606"/>
    <x v="1"/>
    <s v="LM"/>
    <s v="N"/>
    <x v="448"/>
    <x v="34"/>
    <x v="38"/>
    <m/>
    <x v="36"/>
    <m/>
    <x v="3"/>
    <x v="0"/>
    <x v="34"/>
    <d v="2011-11-19T00:00:00"/>
    <x v="13"/>
    <x v="0"/>
    <m/>
    <m/>
    <x v="0"/>
    <x v="1"/>
    <m/>
    <x v="0"/>
    <x v="1"/>
    <x v="608"/>
    <x v="3"/>
    <x v="0"/>
    <x v="1"/>
    <x v="34"/>
    <x v="1368"/>
  </r>
  <r>
    <x v="0"/>
    <n v="880"/>
    <x v="607"/>
    <x v="0"/>
    <s v="CM"/>
    <s v="N"/>
    <x v="348"/>
    <x v="5"/>
    <x v="49"/>
    <m/>
    <x v="16"/>
    <m/>
    <x v="1"/>
    <x v="0"/>
    <x v="43"/>
    <d v="2011-05-26T00:00:00"/>
    <x v="6"/>
    <x v="0"/>
    <m/>
    <s v="Carte Blanche à Pedro Costa"/>
    <x v="0"/>
    <x v="1"/>
    <m/>
    <x v="0"/>
    <x v="0"/>
    <x v="609"/>
    <x v="1"/>
    <x v="0"/>
    <x v="0"/>
    <x v="43"/>
    <x v="1369"/>
  </r>
  <r>
    <x v="0"/>
    <n v="880"/>
    <x v="607"/>
    <x v="0"/>
    <s v="CM"/>
    <s v="N"/>
    <x v="348"/>
    <x v="5"/>
    <x v="50"/>
    <m/>
    <x v="20"/>
    <m/>
    <x v="5"/>
    <x v="0"/>
    <x v="44"/>
    <d v="2011-07-03T00:00:00"/>
    <x v="17"/>
    <x v="0"/>
    <m/>
    <s v="Carte Blanche à Pedro Costa"/>
    <x v="0"/>
    <x v="1"/>
    <m/>
    <x v="0"/>
    <x v="0"/>
    <x v="609"/>
    <x v="5"/>
    <x v="0"/>
    <x v="0"/>
    <x v="44"/>
    <x v="1370"/>
  </r>
  <r>
    <x v="0"/>
    <n v="880"/>
    <x v="607"/>
    <x v="0"/>
    <s v="CM"/>
    <s v="N"/>
    <x v="348"/>
    <x v="5"/>
    <x v="68"/>
    <m/>
    <x v="53"/>
    <m/>
    <x v="3"/>
    <x v="0"/>
    <x v="64"/>
    <d v="2011-07-17T00:00:00"/>
    <x v="8"/>
    <x v="1"/>
    <s v="Competição Nacional"/>
    <m/>
    <x v="140"/>
    <x v="0"/>
    <m/>
    <x v="1"/>
    <x v="0"/>
    <x v="609"/>
    <x v="3"/>
    <x v="157"/>
    <x v="1"/>
    <x v="64"/>
    <x v="1371"/>
  </r>
  <r>
    <x v="0"/>
    <n v="880"/>
    <x v="607"/>
    <x v="0"/>
    <s v="CM"/>
    <s v="N"/>
    <x v="348"/>
    <x v="5"/>
    <x v="25"/>
    <m/>
    <x v="24"/>
    <m/>
    <x v="3"/>
    <x v="0"/>
    <x v="23"/>
    <d v="2011-10-30T00:00:00"/>
    <x v="14"/>
    <x v="0"/>
    <m/>
    <s v="Riscos"/>
    <x v="0"/>
    <x v="0"/>
    <m/>
    <x v="0"/>
    <x v="0"/>
    <x v="609"/>
    <x v="3"/>
    <x v="0"/>
    <x v="1"/>
    <x v="23"/>
    <x v="1372"/>
  </r>
  <r>
    <x v="0"/>
    <n v="880"/>
    <x v="607"/>
    <x v="0"/>
    <s v="CM"/>
    <s v="N"/>
    <x v="348"/>
    <x v="5"/>
    <x v="0"/>
    <m/>
    <x v="0"/>
    <m/>
    <x v="0"/>
    <x v="0"/>
    <x v="0"/>
    <d v="2011-11-06T00:00:00"/>
    <x v="0"/>
    <x v="0"/>
    <m/>
    <s v="Foco Portugal: Programa Curtas Vila do Conde"/>
    <x v="0"/>
    <x v="0"/>
    <m/>
    <x v="0"/>
    <x v="0"/>
    <x v="609"/>
    <x v="0"/>
    <x v="0"/>
    <x v="0"/>
    <x v="0"/>
    <x v="1373"/>
  </r>
  <r>
    <x v="0"/>
    <n v="882"/>
    <x v="608"/>
    <x v="4"/>
    <s v=""/>
    <s v=""/>
    <x v="449"/>
    <x v="2"/>
    <x v="177"/>
    <m/>
    <x v="23"/>
    <m/>
    <x v="3"/>
    <x v="0"/>
    <x v="134"/>
    <m/>
    <x v="16"/>
    <x v="0"/>
    <m/>
    <m/>
    <x v="0"/>
    <x v="1"/>
    <m/>
    <x v="0"/>
    <x v="7"/>
    <x v="610"/>
    <x v="3"/>
    <x v="0"/>
    <x v="1"/>
    <x v="134"/>
    <x v="1374"/>
  </r>
  <r>
    <x v="0"/>
    <n v="883"/>
    <x v="609"/>
    <x v="0"/>
    <s v="LM"/>
    <s v="N"/>
    <x v="20"/>
    <x v="35"/>
    <x v="85"/>
    <m/>
    <x v="64"/>
    <m/>
    <x v="18"/>
    <x v="0"/>
    <x v="77"/>
    <d v="2011-10-14T00:00:00"/>
    <x v="14"/>
    <x v="0"/>
    <m/>
    <s v="Extreme Portuguese Cinema: Six Auteurs in Focus"/>
    <x v="0"/>
    <x v="0"/>
    <m/>
    <x v="0"/>
    <x v="5"/>
    <x v="611"/>
    <x v="18"/>
    <x v="0"/>
    <x v="0"/>
    <x v="77"/>
    <x v="1375"/>
  </r>
  <r>
    <x v="0"/>
    <n v="885"/>
    <x v="610"/>
    <x v="0"/>
    <s v="LM"/>
    <s v="N"/>
    <x v="450"/>
    <x v="2"/>
    <x v="53"/>
    <m/>
    <x v="24"/>
    <m/>
    <x v="3"/>
    <x v="0"/>
    <x v="47"/>
    <d v="2011-07-31T00:00:00"/>
    <x v="8"/>
    <x v="0"/>
    <m/>
    <m/>
    <x v="0"/>
    <x v="1"/>
    <m/>
    <x v="0"/>
    <x v="5"/>
    <x v="612"/>
    <x v="3"/>
    <x v="0"/>
    <x v="1"/>
    <x v="47"/>
    <x v="1376"/>
  </r>
  <r>
    <x v="0"/>
    <n v="885"/>
    <x v="610"/>
    <x v="0"/>
    <s v="LM"/>
    <s v="N"/>
    <x v="450"/>
    <x v="2"/>
    <x v="348"/>
    <m/>
    <x v="24"/>
    <m/>
    <x v="3"/>
    <x v="0"/>
    <x v="12"/>
    <m/>
    <x v="9"/>
    <x v="0"/>
    <m/>
    <m/>
    <x v="0"/>
    <x v="1"/>
    <m/>
    <x v="0"/>
    <x v="5"/>
    <x v="612"/>
    <x v="3"/>
    <x v="0"/>
    <x v="1"/>
    <x v="12"/>
    <x v="1377"/>
  </r>
  <r>
    <x v="0"/>
    <n v="887"/>
    <x v="611"/>
    <x v="1"/>
    <s v="CM"/>
    <s v=""/>
    <x v="451"/>
    <x v="5"/>
    <x v="63"/>
    <m/>
    <x v="24"/>
    <m/>
    <x v="3"/>
    <x v="0"/>
    <x v="59"/>
    <d v="2011-05-01T00:00:00"/>
    <x v="4"/>
    <x v="0"/>
    <m/>
    <s v="Olhares sobre Portugal"/>
    <x v="0"/>
    <x v="0"/>
    <m/>
    <x v="0"/>
    <x v="2"/>
    <x v="613"/>
    <x v="3"/>
    <x v="0"/>
    <x v="1"/>
    <x v="59"/>
    <x v="1378"/>
  </r>
  <r>
    <x v="0"/>
    <n v="887"/>
    <x v="611"/>
    <x v="1"/>
    <s v="CM"/>
    <s v=""/>
    <x v="451"/>
    <x v="5"/>
    <x v="107"/>
    <m/>
    <x v="83"/>
    <m/>
    <x v="3"/>
    <x v="0"/>
    <x v="25"/>
    <d v="2011-11-10T00:00:00"/>
    <x v="13"/>
    <x v="1"/>
    <m/>
    <m/>
    <x v="0"/>
    <x v="0"/>
    <m/>
    <x v="0"/>
    <x v="2"/>
    <x v="613"/>
    <x v="3"/>
    <x v="0"/>
    <x v="1"/>
    <x v="25"/>
    <x v="1379"/>
  </r>
  <r>
    <x v="0"/>
    <n v="891"/>
    <x v="612"/>
    <x v="0"/>
    <s v="LM"/>
    <s v="S"/>
    <x v="195"/>
    <x v="3"/>
    <x v="146"/>
    <m/>
    <x v="24"/>
    <m/>
    <x v="3"/>
    <x v="0"/>
    <x v="112"/>
    <d v="2011-05-15T00:00:00"/>
    <x v="6"/>
    <x v="0"/>
    <m/>
    <s v="Cinema Emergente"/>
    <x v="141"/>
    <x v="0"/>
    <m/>
    <x v="1"/>
    <x v="5"/>
    <x v="614"/>
    <x v="3"/>
    <x v="158"/>
    <x v="1"/>
    <x v="112"/>
    <x v="1380"/>
  </r>
  <r>
    <x v="0"/>
    <n v="891"/>
    <x v="612"/>
    <x v="0"/>
    <s v="LM"/>
    <s v="S"/>
    <x v="195"/>
    <x v="3"/>
    <x v="187"/>
    <m/>
    <x v="58"/>
    <m/>
    <x v="17"/>
    <x v="0"/>
    <x v="138"/>
    <d v="2011-10-09T00:00:00"/>
    <x v="10"/>
    <x v="1"/>
    <m/>
    <m/>
    <x v="0"/>
    <x v="0"/>
    <m/>
    <x v="0"/>
    <x v="5"/>
    <x v="614"/>
    <x v="17"/>
    <x v="0"/>
    <x v="0"/>
    <x v="138"/>
    <x v="1381"/>
  </r>
  <r>
    <x v="0"/>
    <n v="891"/>
    <x v="612"/>
    <x v="0"/>
    <s v="LM"/>
    <s v="S"/>
    <x v="195"/>
    <x v="3"/>
    <x v="179"/>
    <m/>
    <x v="133"/>
    <m/>
    <x v="0"/>
    <x v="0"/>
    <x v="127"/>
    <d v="2011-11-03T00:00:00"/>
    <x v="0"/>
    <x v="1"/>
    <s v="Competição Novos Diretores"/>
    <m/>
    <x v="0"/>
    <x v="1"/>
    <m/>
    <x v="0"/>
    <x v="5"/>
    <x v="614"/>
    <x v="0"/>
    <x v="0"/>
    <x v="0"/>
    <x v="127"/>
    <x v="1382"/>
  </r>
  <r>
    <x v="0"/>
    <n v="891"/>
    <x v="612"/>
    <x v="0"/>
    <s v="LM"/>
    <s v="S"/>
    <x v="195"/>
    <x v="3"/>
    <x v="133"/>
    <m/>
    <x v="101"/>
    <m/>
    <x v="3"/>
    <x v="0"/>
    <x v="108"/>
    <d v="2011-12-11T00:00:00"/>
    <x v="12"/>
    <x v="1"/>
    <s v="Longas Metragens SC4"/>
    <m/>
    <x v="0"/>
    <x v="0"/>
    <m/>
    <x v="0"/>
    <x v="5"/>
    <x v="614"/>
    <x v="3"/>
    <x v="0"/>
    <x v="1"/>
    <x v="108"/>
    <x v="1383"/>
  </r>
  <r>
    <x v="0"/>
    <n v="893"/>
    <x v="613"/>
    <x v="0"/>
    <s v="LM"/>
    <s v="S"/>
    <x v="452"/>
    <x v="2"/>
    <x v="82"/>
    <m/>
    <x v="62"/>
    <m/>
    <x v="3"/>
    <x v="0"/>
    <x v="72"/>
    <d v="2011-11-13T00:00:00"/>
    <x v="13"/>
    <x v="0"/>
    <m/>
    <m/>
    <x v="0"/>
    <x v="1"/>
    <m/>
    <x v="0"/>
    <x v="5"/>
    <x v="615"/>
    <x v="3"/>
    <x v="0"/>
    <x v="1"/>
    <x v="72"/>
    <x v="1384"/>
  </r>
  <r>
    <x v="0"/>
    <n v="894"/>
    <x v="614"/>
    <x v="1"/>
    <s v="LM"/>
    <s v="N"/>
    <x v="453"/>
    <x v="3"/>
    <x v="53"/>
    <m/>
    <x v="24"/>
    <m/>
    <x v="3"/>
    <x v="0"/>
    <x v="47"/>
    <d v="2011-07-31T00:00:00"/>
    <x v="8"/>
    <x v="0"/>
    <m/>
    <m/>
    <x v="0"/>
    <x v="1"/>
    <m/>
    <x v="0"/>
    <x v="1"/>
    <x v="616"/>
    <x v="3"/>
    <x v="0"/>
    <x v="1"/>
    <x v="47"/>
    <x v="1385"/>
  </r>
  <r>
    <x v="0"/>
    <n v="895"/>
    <x v="615"/>
    <x v="2"/>
    <s v="CM"/>
    <s v="N"/>
    <x v="92"/>
    <x v="2"/>
    <x v="349"/>
    <m/>
    <x v="22"/>
    <m/>
    <x v="3"/>
    <x v="0"/>
    <x v="192"/>
    <m/>
    <x v="2"/>
    <x v="1"/>
    <s v="Brevemente Livre"/>
    <m/>
    <x v="7"/>
    <x v="0"/>
    <m/>
    <x v="1"/>
    <x v="4"/>
    <x v="617"/>
    <x v="3"/>
    <x v="159"/>
    <x v="1"/>
    <x v="192"/>
    <x v="1386"/>
  </r>
  <r>
    <x v="0"/>
    <n v="895"/>
    <x v="615"/>
    <x v="2"/>
    <s v="CM"/>
    <s v="N"/>
    <x v="92"/>
    <x v="2"/>
    <x v="63"/>
    <m/>
    <x v="24"/>
    <m/>
    <x v="3"/>
    <x v="0"/>
    <x v="59"/>
    <d v="2011-05-01T00:00:00"/>
    <x v="4"/>
    <x v="1"/>
    <s v="Sessão Competitiva Curta 3"/>
    <m/>
    <x v="0"/>
    <x v="0"/>
    <m/>
    <x v="0"/>
    <x v="4"/>
    <x v="617"/>
    <x v="3"/>
    <x v="0"/>
    <x v="1"/>
    <x v="59"/>
    <x v="1387"/>
  </r>
  <r>
    <x v="0"/>
    <n v="895"/>
    <x v="615"/>
    <x v="2"/>
    <s v="CM"/>
    <s v="N"/>
    <x v="92"/>
    <x v="2"/>
    <x v="34"/>
    <m/>
    <x v="32"/>
    <m/>
    <x v="3"/>
    <x v="0"/>
    <x v="31"/>
    <d v="2011-05-15T00:00:00"/>
    <x v="6"/>
    <x v="1"/>
    <m/>
    <m/>
    <x v="0"/>
    <x v="0"/>
    <m/>
    <x v="0"/>
    <x v="4"/>
    <x v="617"/>
    <x v="3"/>
    <x v="0"/>
    <x v="1"/>
    <x v="31"/>
    <x v="1388"/>
  </r>
  <r>
    <x v="0"/>
    <n v="895"/>
    <x v="615"/>
    <x v="2"/>
    <s v="CM"/>
    <s v="N"/>
    <x v="92"/>
    <x v="2"/>
    <x v="67"/>
    <m/>
    <x v="23"/>
    <m/>
    <x v="3"/>
    <x v="0"/>
    <x v="63"/>
    <d v="2011-06-12T00:00:00"/>
    <x v="7"/>
    <x v="0"/>
    <m/>
    <s v="Sessão N Competitiva 5"/>
    <x v="0"/>
    <x v="0"/>
    <m/>
    <x v="0"/>
    <x v="4"/>
    <x v="617"/>
    <x v="3"/>
    <x v="0"/>
    <x v="1"/>
    <x v="63"/>
    <x v="1389"/>
  </r>
  <r>
    <x v="0"/>
    <n v="895"/>
    <x v="615"/>
    <x v="2"/>
    <s v="CM"/>
    <s v="N"/>
    <x v="92"/>
    <x v="2"/>
    <x v="22"/>
    <m/>
    <x v="22"/>
    <m/>
    <x v="3"/>
    <x v="0"/>
    <x v="20"/>
    <d v="2011-11-17T00:00:00"/>
    <x v="13"/>
    <x v="0"/>
    <m/>
    <s v="Caminhos Juniores"/>
    <x v="0"/>
    <x v="0"/>
    <m/>
    <x v="0"/>
    <x v="4"/>
    <x v="617"/>
    <x v="3"/>
    <x v="0"/>
    <x v="1"/>
    <x v="20"/>
    <x v="1390"/>
  </r>
  <r>
    <x v="0"/>
    <n v="895"/>
    <x v="615"/>
    <x v="2"/>
    <s v="CM"/>
    <s v="N"/>
    <x v="92"/>
    <x v="2"/>
    <x v="72"/>
    <m/>
    <x v="22"/>
    <m/>
    <x v="3"/>
    <x v="0"/>
    <x v="14"/>
    <d v="2011-11-26T00:00:00"/>
    <x v="13"/>
    <x v="0"/>
    <m/>
    <m/>
    <x v="0"/>
    <x v="1"/>
    <m/>
    <x v="0"/>
    <x v="4"/>
    <x v="617"/>
    <x v="3"/>
    <x v="0"/>
    <x v="1"/>
    <x v="14"/>
    <x v="1391"/>
  </r>
  <r>
    <x v="0"/>
    <n v="895"/>
    <x v="615"/>
    <x v="2"/>
    <s v="CM"/>
    <s v="N"/>
    <x v="92"/>
    <x v="2"/>
    <x v="21"/>
    <m/>
    <x v="21"/>
    <m/>
    <x v="3"/>
    <x v="0"/>
    <x v="15"/>
    <d v="2011-12-03T00:00:00"/>
    <x v="12"/>
    <x v="1"/>
    <s v="Curtas Animação"/>
    <m/>
    <x v="0"/>
    <x v="0"/>
    <m/>
    <x v="0"/>
    <x v="4"/>
    <x v="617"/>
    <x v="3"/>
    <x v="0"/>
    <x v="1"/>
    <x v="15"/>
    <x v="1392"/>
  </r>
  <r>
    <x v="0"/>
    <n v="895"/>
    <x v="615"/>
    <x v="2"/>
    <s v="CM"/>
    <s v="N"/>
    <x v="92"/>
    <x v="2"/>
    <x v="297"/>
    <m/>
    <x v="203"/>
    <m/>
    <x v="3"/>
    <x v="0"/>
    <x v="191"/>
    <m/>
    <x v="12"/>
    <x v="0"/>
    <m/>
    <m/>
    <x v="0"/>
    <x v="1"/>
    <m/>
    <x v="0"/>
    <x v="4"/>
    <x v="617"/>
    <x v="3"/>
    <x v="0"/>
    <x v="1"/>
    <x v="191"/>
    <x v="1393"/>
  </r>
  <r>
    <x v="0"/>
    <n v="896"/>
    <x v="616"/>
    <x v="0"/>
    <s v="LM"/>
    <s v="S"/>
    <x v="63"/>
    <x v="2"/>
    <x v="12"/>
    <m/>
    <x v="12"/>
    <m/>
    <x v="2"/>
    <x v="0"/>
    <x v="11"/>
    <d v="2011-09-27T00:00:00"/>
    <x v="9"/>
    <x v="0"/>
    <m/>
    <s v="Désir d'Eternité"/>
    <x v="0"/>
    <x v="1"/>
    <m/>
    <x v="0"/>
    <x v="5"/>
    <x v="618"/>
    <x v="2"/>
    <x v="0"/>
    <x v="0"/>
    <x v="11"/>
    <x v="1394"/>
  </r>
  <r>
    <x v="0"/>
    <n v="896"/>
    <x v="616"/>
    <x v="0"/>
    <s v="LM"/>
    <s v="S"/>
    <x v="63"/>
    <x v="2"/>
    <x v="46"/>
    <m/>
    <x v="24"/>
    <m/>
    <x v="3"/>
    <x v="0"/>
    <x v="41"/>
    <d v="2011-11-22T00:00:00"/>
    <x v="13"/>
    <x v="0"/>
    <m/>
    <s v="O Cinema à Volta de Cinco Artes, Cinco Artes à Volta do Cinema"/>
    <x v="0"/>
    <x v="0"/>
    <m/>
    <x v="0"/>
    <x v="5"/>
    <x v="618"/>
    <x v="3"/>
    <x v="0"/>
    <x v="1"/>
    <x v="41"/>
    <x v="1395"/>
  </r>
  <r>
    <x v="0"/>
    <n v="897"/>
    <x v="617"/>
    <x v="0"/>
    <s v="CM"/>
    <s v="N"/>
    <x v="454"/>
    <x v="2"/>
    <x v="65"/>
    <m/>
    <x v="51"/>
    <m/>
    <x v="14"/>
    <x v="0"/>
    <x v="61"/>
    <d v="2011-06-03T00:00:00"/>
    <x v="7"/>
    <x v="0"/>
    <m/>
    <m/>
    <x v="0"/>
    <x v="0"/>
    <m/>
    <x v="0"/>
    <x v="0"/>
    <x v="619"/>
    <x v="14"/>
    <x v="0"/>
    <x v="0"/>
    <x v="61"/>
    <x v="1396"/>
  </r>
  <r>
    <x v="0"/>
    <n v="897"/>
    <x v="617"/>
    <x v="0"/>
    <s v="CM"/>
    <s v="N"/>
    <x v="454"/>
    <x v="2"/>
    <x v="67"/>
    <m/>
    <x v="23"/>
    <m/>
    <x v="3"/>
    <x v="0"/>
    <x v="63"/>
    <d v="2011-06-12T00:00:00"/>
    <x v="7"/>
    <x v="1"/>
    <s v="Sessão Competitiva 2"/>
    <m/>
    <x v="0"/>
    <x v="0"/>
    <m/>
    <x v="0"/>
    <x v="0"/>
    <x v="619"/>
    <x v="3"/>
    <x v="0"/>
    <x v="1"/>
    <x v="63"/>
    <x v="1397"/>
  </r>
  <r>
    <x v="0"/>
    <n v="897"/>
    <x v="617"/>
    <x v="0"/>
    <s v="CM"/>
    <s v="N"/>
    <x v="454"/>
    <x v="2"/>
    <x v="95"/>
    <m/>
    <x v="74"/>
    <m/>
    <x v="1"/>
    <x v="0"/>
    <x v="86"/>
    <d v="2011-11-18T00:00:00"/>
    <x v="13"/>
    <x v="0"/>
    <m/>
    <s v="Noches Golfas"/>
    <x v="0"/>
    <x v="0"/>
    <m/>
    <x v="0"/>
    <x v="0"/>
    <x v="619"/>
    <x v="1"/>
    <x v="0"/>
    <x v="0"/>
    <x v="86"/>
    <x v="1398"/>
  </r>
  <r>
    <x v="0"/>
    <n v="899"/>
    <x v="618"/>
    <x v="2"/>
    <s v="CM"/>
    <s v="S"/>
    <x v="455"/>
    <x v="5"/>
    <x v="350"/>
    <m/>
    <x v="235"/>
    <m/>
    <x v="1"/>
    <x v="0"/>
    <x v="213"/>
    <d v="2011-05-18T00:00:00"/>
    <x v="6"/>
    <x v="1"/>
    <m/>
    <m/>
    <x v="142"/>
    <x v="0"/>
    <m/>
    <x v="1"/>
    <x v="4"/>
    <x v="620"/>
    <x v="1"/>
    <x v="160"/>
    <x v="0"/>
    <x v="213"/>
    <x v="1399"/>
  </r>
  <r>
    <x v="0"/>
    <n v="899"/>
    <x v="618"/>
    <x v="2"/>
    <s v="CM"/>
    <s v="S"/>
    <x v="455"/>
    <x v="5"/>
    <x v="122"/>
    <m/>
    <x v="93"/>
    <m/>
    <x v="2"/>
    <x v="0"/>
    <x v="100"/>
    <d v="2011-06-11T00:00:00"/>
    <x v="7"/>
    <x v="1"/>
    <s v="Courts Métrages en Compétition 3"/>
    <m/>
    <x v="0"/>
    <x v="0"/>
    <m/>
    <x v="0"/>
    <x v="4"/>
    <x v="620"/>
    <x v="2"/>
    <x v="0"/>
    <x v="0"/>
    <x v="100"/>
    <x v="1400"/>
  </r>
  <r>
    <x v="0"/>
    <n v="899"/>
    <x v="618"/>
    <x v="2"/>
    <s v="CM"/>
    <s v="S"/>
    <x v="455"/>
    <x v="5"/>
    <x v="68"/>
    <m/>
    <x v="53"/>
    <m/>
    <x v="3"/>
    <x v="0"/>
    <x v="64"/>
    <d v="2011-07-17T00:00:00"/>
    <x v="8"/>
    <x v="1"/>
    <s v="Competição Nacional"/>
    <m/>
    <x v="0"/>
    <x v="0"/>
    <m/>
    <x v="0"/>
    <x v="4"/>
    <x v="620"/>
    <x v="3"/>
    <x v="0"/>
    <x v="1"/>
    <x v="64"/>
    <x v="1401"/>
  </r>
  <r>
    <x v="0"/>
    <n v="899"/>
    <x v="618"/>
    <x v="2"/>
    <s v="CM"/>
    <s v="S"/>
    <x v="455"/>
    <x v="5"/>
    <x v="224"/>
    <m/>
    <x v="156"/>
    <m/>
    <x v="18"/>
    <x v="0"/>
    <x v="140"/>
    <d v="2011-07-24T00:00:00"/>
    <x v="8"/>
    <x v="1"/>
    <s v="Shorts Films - Professional"/>
    <m/>
    <x v="0"/>
    <x v="0"/>
    <m/>
    <x v="0"/>
    <x v="4"/>
    <x v="620"/>
    <x v="18"/>
    <x v="0"/>
    <x v="0"/>
    <x v="140"/>
    <x v="1402"/>
  </r>
  <r>
    <x v="0"/>
    <n v="899"/>
    <x v="618"/>
    <x v="2"/>
    <s v="CM"/>
    <s v="S"/>
    <x v="455"/>
    <x v="5"/>
    <x v="10"/>
    <m/>
    <x v="10"/>
    <m/>
    <x v="0"/>
    <x v="0"/>
    <x v="10"/>
    <d v="2011-09-25T00:00:00"/>
    <x v="9"/>
    <x v="1"/>
    <s v="Andorinha Curta Animação"/>
    <m/>
    <x v="0"/>
    <x v="0"/>
    <m/>
    <x v="0"/>
    <x v="4"/>
    <x v="620"/>
    <x v="0"/>
    <x v="0"/>
    <x v="0"/>
    <x v="10"/>
    <x v="1403"/>
  </r>
  <r>
    <x v="0"/>
    <n v="899"/>
    <x v="618"/>
    <x v="2"/>
    <s v="CM"/>
    <s v="S"/>
    <x v="455"/>
    <x v="5"/>
    <x v="351"/>
    <m/>
    <x v="236"/>
    <m/>
    <x v="5"/>
    <x v="0"/>
    <x v="214"/>
    <d v="2011-10-23T00:00:00"/>
    <x v="14"/>
    <x v="1"/>
    <m/>
    <m/>
    <x v="0"/>
    <x v="0"/>
    <m/>
    <x v="0"/>
    <x v="4"/>
    <x v="620"/>
    <x v="5"/>
    <x v="0"/>
    <x v="0"/>
    <x v="214"/>
    <x v="1404"/>
  </r>
  <r>
    <x v="0"/>
    <n v="899"/>
    <x v="618"/>
    <x v="2"/>
    <s v="CM"/>
    <s v="S"/>
    <x v="455"/>
    <x v="5"/>
    <x v="94"/>
    <m/>
    <x v="73"/>
    <m/>
    <x v="3"/>
    <x v="0"/>
    <x v="85"/>
    <d v="2011-10-30T00:00:00"/>
    <x v="14"/>
    <x v="0"/>
    <m/>
    <s v="Panorama da Curta Metragem Portuguesa"/>
    <x v="0"/>
    <x v="0"/>
    <m/>
    <x v="0"/>
    <x v="4"/>
    <x v="620"/>
    <x v="3"/>
    <x v="0"/>
    <x v="1"/>
    <x v="85"/>
    <x v="1405"/>
  </r>
  <r>
    <x v="0"/>
    <n v="899"/>
    <x v="618"/>
    <x v="2"/>
    <s v="CM"/>
    <s v="S"/>
    <x v="455"/>
    <x v="5"/>
    <x v="27"/>
    <m/>
    <x v="25"/>
    <m/>
    <x v="3"/>
    <x v="0"/>
    <x v="25"/>
    <d v="2011-11-13T00:00:00"/>
    <x v="13"/>
    <x v="1"/>
    <s v="Competição Internacional Curtas Metragens entre 5 e 25' e Competição Nacional: Prémio António Gaio"/>
    <m/>
    <x v="143"/>
    <x v="0"/>
    <m/>
    <x v="1"/>
    <x v="4"/>
    <x v="620"/>
    <x v="3"/>
    <x v="161"/>
    <x v="1"/>
    <x v="25"/>
    <x v="1406"/>
  </r>
  <r>
    <x v="0"/>
    <n v="899"/>
    <x v="618"/>
    <x v="2"/>
    <s v="CM"/>
    <s v="S"/>
    <x v="455"/>
    <x v="5"/>
    <x v="127"/>
    <m/>
    <x v="97"/>
    <m/>
    <x v="17"/>
    <x v="0"/>
    <x v="40"/>
    <d v="2011-11-12T00:00:00"/>
    <x v="13"/>
    <x v="0"/>
    <m/>
    <s v="Panorama 2"/>
    <x v="0"/>
    <x v="0"/>
    <m/>
    <x v="0"/>
    <x v="4"/>
    <x v="620"/>
    <x v="17"/>
    <x v="0"/>
    <x v="0"/>
    <x v="40"/>
    <x v="1407"/>
  </r>
  <r>
    <x v="0"/>
    <n v="899"/>
    <x v="618"/>
    <x v="2"/>
    <s v="CM"/>
    <s v="S"/>
    <x v="455"/>
    <x v="5"/>
    <x v="22"/>
    <m/>
    <x v="22"/>
    <m/>
    <x v="3"/>
    <x v="0"/>
    <x v="20"/>
    <d v="2011-11-17T00:00:00"/>
    <x v="13"/>
    <x v="1"/>
    <s v="Sessão Competitiva 12"/>
    <m/>
    <x v="0"/>
    <x v="0"/>
    <m/>
    <x v="0"/>
    <x v="4"/>
    <x v="620"/>
    <x v="3"/>
    <x v="0"/>
    <x v="1"/>
    <x v="20"/>
    <x v="1408"/>
  </r>
  <r>
    <x v="0"/>
    <n v="899"/>
    <x v="618"/>
    <x v="2"/>
    <s v="CM"/>
    <s v="S"/>
    <x v="455"/>
    <x v="5"/>
    <x v="352"/>
    <m/>
    <x v="147"/>
    <m/>
    <x v="1"/>
    <x v="0"/>
    <x v="72"/>
    <d v="2011-11-18T00:00:00"/>
    <x v="13"/>
    <x v="0"/>
    <m/>
    <m/>
    <x v="0"/>
    <x v="0"/>
    <m/>
    <x v="0"/>
    <x v="4"/>
    <x v="620"/>
    <x v="1"/>
    <x v="0"/>
    <x v="0"/>
    <x v="72"/>
    <x v="1409"/>
  </r>
  <r>
    <x v="0"/>
    <n v="899"/>
    <x v="618"/>
    <x v="2"/>
    <s v="CM"/>
    <s v="S"/>
    <x v="455"/>
    <x v="5"/>
    <x v="245"/>
    <m/>
    <x v="172"/>
    <m/>
    <x v="49"/>
    <x v="0"/>
    <x v="170"/>
    <d v="2011-11-20T00:00:00"/>
    <x v="13"/>
    <x v="1"/>
    <s v="Competition Programme 2"/>
    <m/>
    <x v="0"/>
    <x v="0"/>
    <m/>
    <x v="0"/>
    <x v="4"/>
    <x v="620"/>
    <x v="49"/>
    <x v="0"/>
    <x v="0"/>
    <x v="170"/>
    <x v="1410"/>
  </r>
  <r>
    <x v="0"/>
    <n v="899"/>
    <x v="618"/>
    <x v="2"/>
    <s v="CM"/>
    <s v="S"/>
    <x v="455"/>
    <x v="5"/>
    <x v="353"/>
    <m/>
    <x v="237"/>
    <m/>
    <x v="17"/>
    <x v="0"/>
    <x v="170"/>
    <d v="2011-11-20T00:00:00"/>
    <x v="13"/>
    <x v="1"/>
    <s v="International Short Film Competition"/>
    <m/>
    <x v="0"/>
    <x v="0"/>
    <m/>
    <x v="0"/>
    <x v="4"/>
    <x v="620"/>
    <x v="17"/>
    <x v="0"/>
    <x v="0"/>
    <x v="170"/>
    <x v="1411"/>
  </r>
  <r>
    <x v="0"/>
    <n v="900"/>
    <x v="619"/>
    <x v="0"/>
    <s v="CM"/>
    <s v="N"/>
    <x v="456"/>
    <x v="3"/>
    <x v="34"/>
    <m/>
    <x v="32"/>
    <m/>
    <x v="3"/>
    <x v="0"/>
    <x v="31"/>
    <d v="2011-05-15T00:00:00"/>
    <x v="6"/>
    <x v="1"/>
    <m/>
    <m/>
    <x v="0"/>
    <x v="0"/>
    <m/>
    <x v="0"/>
    <x v="0"/>
    <x v="621"/>
    <x v="3"/>
    <x v="0"/>
    <x v="1"/>
    <x v="31"/>
    <x v="1412"/>
  </r>
  <r>
    <x v="0"/>
    <n v="901"/>
    <x v="620"/>
    <x v="0"/>
    <s v="CM"/>
    <s v="N"/>
    <x v="89"/>
    <x v="9"/>
    <x v="62"/>
    <m/>
    <x v="23"/>
    <m/>
    <x v="3"/>
    <x v="0"/>
    <x v="58"/>
    <d v="2011-03-06T00:00:00"/>
    <x v="19"/>
    <x v="0"/>
    <m/>
    <s v="João Menezes 10 Anos"/>
    <x v="0"/>
    <x v="0"/>
    <m/>
    <x v="0"/>
    <x v="0"/>
    <x v="622"/>
    <x v="3"/>
    <x v="0"/>
    <x v="1"/>
    <x v="58"/>
    <x v="1413"/>
  </r>
  <r>
    <x v="0"/>
    <n v="902"/>
    <x v="621"/>
    <x v="4"/>
    <s v=""/>
    <s v=""/>
    <x v="457"/>
    <x v="2"/>
    <x v="62"/>
    <m/>
    <x v="23"/>
    <m/>
    <x v="3"/>
    <x v="0"/>
    <x v="58"/>
    <d v="2011-03-06T00:00:00"/>
    <x v="19"/>
    <x v="0"/>
    <m/>
    <s v="Panorama do Cinema Português"/>
    <x v="0"/>
    <x v="0"/>
    <m/>
    <x v="0"/>
    <x v="7"/>
    <x v="623"/>
    <x v="3"/>
    <x v="0"/>
    <x v="1"/>
    <x v="58"/>
    <x v="1414"/>
  </r>
  <r>
    <x v="0"/>
    <n v="905"/>
    <x v="622"/>
    <x v="0"/>
    <s v="CM"/>
    <s v="N"/>
    <x v="458"/>
    <x v="2"/>
    <x v="62"/>
    <m/>
    <x v="23"/>
    <m/>
    <x v="3"/>
    <x v="0"/>
    <x v="58"/>
    <d v="2011-03-06T00:00:00"/>
    <x v="19"/>
    <x v="0"/>
    <m/>
    <s v="Panorama do Cinema Português"/>
    <x v="0"/>
    <x v="0"/>
    <m/>
    <x v="0"/>
    <x v="0"/>
    <x v="624"/>
    <x v="3"/>
    <x v="0"/>
    <x v="1"/>
    <x v="58"/>
    <x v="1415"/>
  </r>
  <r>
    <x v="0"/>
    <n v="905"/>
    <x v="622"/>
    <x v="0"/>
    <s v="CM"/>
    <s v="N"/>
    <x v="458"/>
    <x v="2"/>
    <x v="63"/>
    <m/>
    <x v="24"/>
    <m/>
    <x v="3"/>
    <x v="0"/>
    <x v="59"/>
    <d v="2011-05-01T00:00:00"/>
    <x v="4"/>
    <x v="0"/>
    <m/>
    <s v="Olhares sobre Portugal"/>
    <x v="0"/>
    <x v="0"/>
    <m/>
    <x v="0"/>
    <x v="0"/>
    <x v="624"/>
    <x v="3"/>
    <x v="0"/>
    <x v="1"/>
    <x v="59"/>
    <x v="1416"/>
  </r>
  <r>
    <x v="0"/>
    <n v="905"/>
    <x v="622"/>
    <x v="0"/>
    <s v="CM"/>
    <s v="N"/>
    <x v="458"/>
    <x v="2"/>
    <x v="34"/>
    <m/>
    <x v="32"/>
    <m/>
    <x v="3"/>
    <x v="0"/>
    <x v="31"/>
    <d v="2011-05-15T00:00:00"/>
    <x v="6"/>
    <x v="1"/>
    <m/>
    <m/>
    <x v="0"/>
    <x v="0"/>
    <m/>
    <x v="0"/>
    <x v="0"/>
    <x v="624"/>
    <x v="3"/>
    <x v="0"/>
    <x v="1"/>
    <x v="31"/>
    <x v="1417"/>
  </r>
  <r>
    <x v="0"/>
    <n v="905"/>
    <x v="622"/>
    <x v="0"/>
    <s v="CM"/>
    <s v="N"/>
    <x v="458"/>
    <x v="2"/>
    <x v="66"/>
    <m/>
    <x v="52"/>
    <m/>
    <x v="3"/>
    <x v="0"/>
    <x v="62"/>
    <d v="2011-06-12T00:00:00"/>
    <x v="7"/>
    <x v="0"/>
    <m/>
    <s v="Curtos Escolas-Universidade Lusófona"/>
    <x v="0"/>
    <x v="0"/>
    <m/>
    <x v="0"/>
    <x v="0"/>
    <x v="624"/>
    <x v="3"/>
    <x v="0"/>
    <x v="1"/>
    <x v="62"/>
    <x v="1418"/>
  </r>
  <r>
    <x v="0"/>
    <n v="905"/>
    <x v="622"/>
    <x v="0"/>
    <s v="CM"/>
    <s v="N"/>
    <x v="458"/>
    <x v="2"/>
    <x v="78"/>
    <m/>
    <x v="59"/>
    <m/>
    <x v="3"/>
    <x v="0"/>
    <x v="66"/>
    <d v="2011-10-30T00:00:00"/>
    <x v="14"/>
    <x v="1"/>
    <s v="Competição Nacional"/>
    <m/>
    <x v="0"/>
    <x v="0"/>
    <m/>
    <x v="0"/>
    <x v="0"/>
    <x v="624"/>
    <x v="3"/>
    <x v="0"/>
    <x v="1"/>
    <x v="66"/>
    <x v="1419"/>
  </r>
  <r>
    <x v="0"/>
    <n v="905"/>
    <x v="622"/>
    <x v="0"/>
    <s v="CM"/>
    <s v="N"/>
    <x v="458"/>
    <x v="2"/>
    <x v="71"/>
    <m/>
    <x v="55"/>
    <m/>
    <x v="3"/>
    <x v="0"/>
    <x v="66"/>
    <d v="2011-10-29T00:00:00"/>
    <x v="14"/>
    <x v="0"/>
    <m/>
    <m/>
    <x v="0"/>
    <x v="1"/>
    <m/>
    <x v="0"/>
    <x v="0"/>
    <x v="624"/>
    <x v="3"/>
    <x v="0"/>
    <x v="1"/>
    <x v="66"/>
    <x v="1420"/>
  </r>
  <r>
    <x v="0"/>
    <n v="905"/>
    <x v="622"/>
    <x v="0"/>
    <s v="CM"/>
    <s v="N"/>
    <x v="458"/>
    <x v="2"/>
    <x v="21"/>
    <m/>
    <x v="21"/>
    <m/>
    <x v="3"/>
    <x v="0"/>
    <x v="15"/>
    <d v="2011-12-03T00:00:00"/>
    <x v="12"/>
    <x v="1"/>
    <s v="Prémio Universidades"/>
    <m/>
    <x v="144"/>
    <x v="0"/>
    <m/>
    <x v="1"/>
    <x v="0"/>
    <x v="624"/>
    <x v="3"/>
    <x v="162"/>
    <x v="1"/>
    <x v="15"/>
    <x v="1421"/>
  </r>
  <r>
    <x v="0"/>
    <n v="906"/>
    <x v="623"/>
    <x v="4"/>
    <s v=""/>
    <s v=""/>
    <x v="459"/>
    <x v="2"/>
    <x v="62"/>
    <m/>
    <x v="23"/>
    <m/>
    <x v="3"/>
    <x v="0"/>
    <x v="58"/>
    <d v="2011-03-06T00:00:00"/>
    <x v="19"/>
    <x v="0"/>
    <m/>
    <s v="Panorama do Cinema Português"/>
    <x v="0"/>
    <x v="0"/>
    <m/>
    <x v="0"/>
    <x v="7"/>
    <x v="625"/>
    <x v="3"/>
    <x v="0"/>
    <x v="1"/>
    <x v="58"/>
    <x v="1422"/>
  </r>
  <r>
    <x v="0"/>
    <n v="906"/>
    <x v="623"/>
    <x v="4"/>
    <s v=""/>
    <s v=""/>
    <x v="459"/>
    <x v="2"/>
    <x v="22"/>
    <m/>
    <x v="22"/>
    <m/>
    <x v="3"/>
    <x v="0"/>
    <x v="20"/>
    <d v="2011-11-17T00:00:00"/>
    <x v="13"/>
    <x v="1"/>
    <s v="Sessão Competitiva 5"/>
    <m/>
    <x v="0"/>
    <x v="0"/>
    <m/>
    <x v="0"/>
    <x v="7"/>
    <x v="625"/>
    <x v="3"/>
    <x v="0"/>
    <x v="1"/>
    <x v="20"/>
    <x v="1423"/>
  </r>
  <r>
    <x v="0"/>
    <n v="907"/>
    <x v="624"/>
    <x v="1"/>
    <s v="CM"/>
    <s v=""/>
    <x v="460"/>
    <x v="2"/>
    <x v="88"/>
    <m/>
    <x v="67"/>
    <m/>
    <x v="3"/>
    <x v="0"/>
    <x v="79"/>
    <d v="2011-10-15T00:00:00"/>
    <x v="14"/>
    <x v="1"/>
    <s v="Competição Lusófona"/>
    <m/>
    <x v="0"/>
    <x v="0"/>
    <m/>
    <x v="0"/>
    <x v="2"/>
    <x v="626"/>
    <x v="3"/>
    <x v="0"/>
    <x v="1"/>
    <x v="79"/>
    <x v="1424"/>
  </r>
  <r>
    <x v="0"/>
    <n v="907"/>
    <x v="624"/>
    <x v="1"/>
    <s v="CM"/>
    <s v=""/>
    <x v="460"/>
    <x v="2"/>
    <x v="71"/>
    <m/>
    <x v="55"/>
    <m/>
    <x v="3"/>
    <x v="0"/>
    <x v="66"/>
    <d v="2011-10-29T00:00:00"/>
    <x v="14"/>
    <x v="0"/>
    <m/>
    <m/>
    <x v="0"/>
    <x v="1"/>
    <m/>
    <x v="0"/>
    <x v="2"/>
    <x v="626"/>
    <x v="3"/>
    <x v="0"/>
    <x v="1"/>
    <x v="66"/>
    <x v="1425"/>
  </r>
  <r>
    <x v="0"/>
    <n v="908"/>
    <x v="625"/>
    <x v="0"/>
    <s v="LM"/>
    <s v=""/>
    <x v="461"/>
    <x v="36"/>
    <x v="354"/>
    <m/>
    <x v="34"/>
    <m/>
    <x v="11"/>
    <x v="0"/>
    <x v="215"/>
    <m/>
    <x v="12"/>
    <x v="0"/>
    <m/>
    <m/>
    <x v="0"/>
    <x v="1"/>
    <m/>
    <x v="0"/>
    <x v="5"/>
    <x v="627"/>
    <x v="11"/>
    <x v="0"/>
    <x v="0"/>
    <x v="215"/>
    <x v="1426"/>
  </r>
  <r>
    <x v="0"/>
    <n v="909"/>
    <x v="626"/>
    <x v="0"/>
    <s v="LM"/>
    <s v="S"/>
    <x v="462"/>
    <x v="5"/>
    <x v="355"/>
    <m/>
    <x v="238"/>
    <m/>
    <x v="63"/>
    <x v="0"/>
    <x v="216"/>
    <d v="2011-02-07T00:00:00"/>
    <x v="18"/>
    <x v="0"/>
    <m/>
    <s v="Debuter"/>
    <x v="0"/>
    <x v="0"/>
    <m/>
    <x v="0"/>
    <x v="5"/>
    <x v="628"/>
    <x v="63"/>
    <x v="0"/>
    <x v="0"/>
    <x v="216"/>
    <x v="1427"/>
  </r>
  <r>
    <x v="0"/>
    <n v="909"/>
    <x v="626"/>
    <x v="0"/>
    <s v="LM"/>
    <s v="S"/>
    <x v="462"/>
    <x v="5"/>
    <x v="66"/>
    <m/>
    <x v="52"/>
    <m/>
    <x v="3"/>
    <x v="0"/>
    <x v="62"/>
    <d v="2011-06-12T00:00:00"/>
    <x v="7"/>
    <x v="0"/>
    <m/>
    <s v="Cinema Português"/>
    <x v="0"/>
    <x v="0"/>
    <m/>
    <x v="0"/>
    <x v="5"/>
    <x v="628"/>
    <x v="3"/>
    <x v="0"/>
    <x v="1"/>
    <x v="62"/>
    <x v="1428"/>
  </r>
  <r>
    <x v="0"/>
    <n v="909"/>
    <x v="626"/>
    <x v="0"/>
    <s v="LM"/>
    <s v="S"/>
    <x v="462"/>
    <x v="5"/>
    <x v="281"/>
    <m/>
    <x v="23"/>
    <m/>
    <x v="3"/>
    <x v="0"/>
    <x v="165"/>
    <d v="2011-10-08T00:00:00"/>
    <x v="14"/>
    <x v="0"/>
    <m/>
    <m/>
    <x v="0"/>
    <x v="1"/>
    <m/>
    <x v="0"/>
    <x v="5"/>
    <x v="628"/>
    <x v="3"/>
    <x v="0"/>
    <x v="1"/>
    <x v="165"/>
    <x v="1429"/>
  </r>
  <r>
    <x v="0"/>
    <n v="911"/>
    <x v="627"/>
    <x v="4"/>
    <s v=""/>
    <s v=""/>
    <x v="251"/>
    <x v="2"/>
    <x v="133"/>
    <m/>
    <x v="101"/>
    <m/>
    <x v="3"/>
    <x v="0"/>
    <x v="108"/>
    <d v="2011-12-11T00:00:00"/>
    <x v="12"/>
    <x v="1"/>
    <s v="Sessão Competitiva de Curtas Metragens 7"/>
    <m/>
    <x v="0"/>
    <x v="0"/>
    <m/>
    <x v="0"/>
    <x v="7"/>
    <x v="629"/>
    <x v="3"/>
    <x v="0"/>
    <x v="1"/>
    <x v="108"/>
    <x v="1430"/>
  </r>
  <r>
    <x v="0"/>
    <n v="912"/>
    <x v="628"/>
    <x v="4"/>
    <s v=""/>
    <s v=""/>
    <x v="129"/>
    <x v="2"/>
    <x v="0"/>
    <m/>
    <x v="0"/>
    <m/>
    <x v="0"/>
    <x v="0"/>
    <x v="0"/>
    <d v="2011-11-06T00:00:00"/>
    <x v="0"/>
    <x v="0"/>
    <m/>
    <s v="Foco Portugal: Programa Onda Curta"/>
    <x v="0"/>
    <x v="0"/>
    <m/>
    <x v="0"/>
    <x v="7"/>
    <x v="630"/>
    <x v="0"/>
    <x v="0"/>
    <x v="0"/>
    <x v="0"/>
    <x v="1431"/>
  </r>
  <r>
    <x v="0"/>
    <n v="913"/>
    <x v="629"/>
    <x v="0"/>
    <s v="CM"/>
    <s v="S"/>
    <x v="319"/>
    <x v="2"/>
    <x v="192"/>
    <m/>
    <x v="140"/>
    <m/>
    <x v="3"/>
    <x v="0"/>
    <x v="140"/>
    <d v="2011-07-24T00:00:00"/>
    <x v="8"/>
    <x v="1"/>
    <s v="Curta Metragem"/>
    <m/>
    <x v="7"/>
    <x v="0"/>
    <m/>
    <x v="1"/>
    <x v="0"/>
    <x v="631"/>
    <x v="3"/>
    <x v="163"/>
    <x v="1"/>
    <x v="140"/>
    <x v="1432"/>
  </r>
  <r>
    <x v="0"/>
    <n v="913"/>
    <x v="629"/>
    <x v="0"/>
    <s v="CM"/>
    <s v="S"/>
    <x v="319"/>
    <x v="2"/>
    <x v="165"/>
    <m/>
    <x v="65"/>
    <m/>
    <x v="9"/>
    <x v="0"/>
    <x v="111"/>
    <m/>
    <x v="16"/>
    <x v="0"/>
    <m/>
    <m/>
    <x v="0"/>
    <x v="1"/>
    <m/>
    <x v="0"/>
    <x v="0"/>
    <x v="631"/>
    <x v="9"/>
    <x v="0"/>
    <x v="0"/>
    <x v="111"/>
    <x v="1433"/>
  </r>
  <r>
    <x v="0"/>
    <n v="913"/>
    <x v="629"/>
    <x v="0"/>
    <s v="CM"/>
    <s v="S"/>
    <x v="319"/>
    <x v="2"/>
    <x v="299"/>
    <m/>
    <x v="205"/>
    <m/>
    <x v="0"/>
    <x v="0"/>
    <x v="133"/>
    <d v="2011-09-17T00:00:00"/>
    <x v="9"/>
    <x v="1"/>
    <s v="Mostra Competiiva de Vídeo"/>
    <m/>
    <x v="0"/>
    <x v="0"/>
    <m/>
    <x v="0"/>
    <x v="0"/>
    <x v="631"/>
    <x v="0"/>
    <x v="0"/>
    <x v="0"/>
    <x v="133"/>
    <x v="1434"/>
  </r>
  <r>
    <x v="0"/>
    <n v="913"/>
    <x v="629"/>
    <x v="0"/>
    <s v="CM"/>
    <s v="S"/>
    <x v="319"/>
    <x v="2"/>
    <x v="356"/>
    <m/>
    <x v="239"/>
    <m/>
    <x v="59"/>
    <x v="0"/>
    <x v="217"/>
    <d v="2011-10-16T00:00:00"/>
    <x v="10"/>
    <x v="1"/>
    <s v="Short Films"/>
    <m/>
    <x v="0"/>
    <x v="0"/>
    <m/>
    <x v="0"/>
    <x v="0"/>
    <x v="631"/>
    <x v="59"/>
    <x v="0"/>
    <x v="0"/>
    <x v="217"/>
    <x v="1435"/>
  </r>
  <r>
    <x v="0"/>
    <n v="913"/>
    <x v="629"/>
    <x v="0"/>
    <s v="CM"/>
    <s v="S"/>
    <x v="319"/>
    <x v="2"/>
    <x v="126"/>
    <m/>
    <x v="96"/>
    <m/>
    <x v="1"/>
    <x v="0"/>
    <x v="103"/>
    <d v="2011-10-23T00:00:00"/>
    <x v="14"/>
    <x v="1"/>
    <s v="Competitión Cortometrajes ficción"/>
    <m/>
    <x v="0"/>
    <x v="0"/>
    <m/>
    <x v="0"/>
    <x v="0"/>
    <x v="631"/>
    <x v="1"/>
    <x v="0"/>
    <x v="0"/>
    <x v="103"/>
    <x v="1436"/>
  </r>
  <r>
    <x v="0"/>
    <n v="913"/>
    <x v="629"/>
    <x v="0"/>
    <s v="CM"/>
    <s v="S"/>
    <x v="319"/>
    <x v="2"/>
    <x v="94"/>
    <m/>
    <x v="73"/>
    <m/>
    <x v="3"/>
    <x v="0"/>
    <x v="85"/>
    <d v="2011-10-30T00:00:00"/>
    <x v="14"/>
    <x v="1"/>
    <s v="Sessão Competitiva nº 5"/>
    <s v="Curtas Metragens Portuguesas "/>
    <x v="0"/>
    <x v="0"/>
    <m/>
    <x v="0"/>
    <x v="0"/>
    <x v="631"/>
    <x v="3"/>
    <x v="0"/>
    <x v="1"/>
    <x v="85"/>
    <x v="1437"/>
  </r>
  <r>
    <x v="0"/>
    <n v="913"/>
    <x v="629"/>
    <x v="0"/>
    <s v="CM"/>
    <s v="S"/>
    <x v="319"/>
    <x v="2"/>
    <x v="78"/>
    <m/>
    <x v="59"/>
    <m/>
    <x v="3"/>
    <x v="0"/>
    <x v="66"/>
    <d v="2011-10-30T00:00:00"/>
    <x v="14"/>
    <x v="1"/>
    <s v="Competição Nacional"/>
    <m/>
    <x v="0"/>
    <x v="0"/>
    <m/>
    <x v="0"/>
    <x v="0"/>
    <x v="631"/>
    <x v="3"/>
    <x v="0"/>
    <x v="1"/>
    <x v="66"/>
    <x v="1438"/>
  </r>
  <r>
    <x v="0"/>
    <n v="913"/>
    <x v="629"/>
    <x v="0"/>
    <s v="CM"/>
    <s v="S"/>
    <x v="319"/>
    <x v="2"/>
    <x v="71"/>
    <m/>
    <x v="55"/>
    <m/>
    <x v="3"/>
    <x v="0"/>
    <x v="66"/>
    <d v="2011-10-29T00:00:00"/>
    <x v="14"/>
    <x v="0"/>
    <m/>
    <m/>
    <x v="0"/>
    <x v="1"/>
    <m/>
    <x v="0"/>
    <x v="0"/>
    <x v="631"/>
    <x v="3"/>
    <x v="0"/>
    <x v="1"/>
    <x v="66"/>
    <x v="1439"/>
  </r>
  <r>
    <x v="0"/>
    <n v="913"/>
    <x v="629"/>
    <x v="0"/>
    <s v="CM"/>
    <s v="S"/>
    <x v="319"/>
    <x v="2"/>
    <x v="14"/>
    <m/>
    <x v="14"/>
    <m/>
    <x v="3"/>
    <x v="0"/>
    <x v="13"/>
    <d v="2011-11-05T00:00:00"/>
    <x v="0"/>
    <x v="1"/>
    <s v="Competição Curtas Metragens"/>
    <m/>
    <x v="0"/>
    <x v="0"/>
    <m/>
    <x v="0"/>
    <x v="0"/>
    <x v="631"/>
    <x v="3"/>
    <x v="0"/>
    <x v="1"/>
    <x v="13"/>
    <x v="1440"/>
  </r>
  <r>
    <x v="0"/>
    <n v="913"/>
    <x v="629"/>
    <x v="0"/>
    <s v="CM"/>
    <s v="S"/>
    <x v="319"/>
    <x v="2"/>
    <x v="22"/>
    <m/>
    <x v="22"/>
    <m/>
    <x v="3"/>
    <x v="0"/>
    <x v="20"/>
    <d v="2011-11-17T00:00:00"/>
    <x v="13"/>
    <x v="1"/>
    <s v="Sessão Competitiva 1"/>
    <m/>
    <x v="145"/>
    <x v="0"/>
    <m/>
    <x v="1"/>
    <x v="0"/>
    <x v="631"/>
    <x v="3"/>
    <x v="164"/>
    <x v="1"/>
    <x v="20"/>
    <x v="1441"/>
  </r>
  <r>
    <x v="0"/>
    <n v="914"/>
    <x v="630"/>
    <x v="4"/>
    <s v=""/>
    <s v=""/>
    <x v="463"/>
    <x v="2"/>
    <x v="34"/>
    <m/>
    <x v="32"/>
    <m/>
    <x v="3"/>
    <x v="0"/>
    <x v="31"/>
    <d v="2011-05-15T00:00:00"/>
    <x v="6"/>
    <x v="1"/>
    <m/>
    <m/>
    <x v="146"/>
    <x v="0"/>
    <m/>
    <x v="1"/>
    <x v="7"/>
    <x v="632"/>
    <x v="3"/>
    <x v="165"/>
    <x v="1"/>
    <x v="31"/>
    <x v="1442"/>
  </r>
  <r>
    <x v="0"/>
    <n v="915"/>
    <x v="631"/>
    <x v="3"/>
    <s v="CM"/>
    <s v=""/>
    <x v="464"/>
    <x v="2"/>
    <x v="0"/>
    <m/>
    <x v="0"/>
    <m/>
    <x v="0"/>
    <x v="0"/>
    <x v="0"/>
    <d v="2011-11-06T00:00:00"/>
    <x v="0"/>
    <x v="0"/>
    <m/>
    <s v="Foco Portugal: Programa IndieLisboa"/>
    <x v="0"/>
    <x v="0"/>
    <m/>
    <x v="0"/>
    <x v="6"/>
    <x v="633"/>
    <x v="0"/>
    <x v="0"/>
    <x v="0"/>
    <x v="0"/>
    <x v="1443"/>
  </r>
  <r>
    <x v="0"/>
    <n v="916"/>
    <x v="632"/>
    <x v="1"/>
    <s v="CM"/>
    <s v="N"/>
    <x v="29"/>
    <x v="5"/>
    <x v="63"/>
    <m/>
    <x v="24"/>
    <m/>
    <x v="3"/>
    <x v="0"/>
    <x v="59"/>
    <d v="2011-05-01T00:00:00"/>
    <x v="4"/>
    <x v="0"/>
    <m/>
    <s v="Olhares sobre Portugal"/>
    <x v="0"/>
    <x v="0"/>
    <m/>
    <x v="0"/>
    <x v="2"/>
    <x v="634"/>
    <x v="3"/>
    <x v="0"/>
    <x v="1"/>
    <x v="59"/>
    <x v="1444"/>
  </r>
  <r>
    <x v="0"/>
    <n v="918"/>
    <x v="633"/>
    <x v="4"/>
    <s v=""/>
    <s v=""/>
    <x v="465"/>
    <x v="2"/>
    <x v="107"/>
    <m/>
    <x v="83"/>
    <m/>
    <x v="3"/>
    <x v="0"/>
    <x v="25"/>
    <d v="2011-11-10T00:00:00"/>
    <x v="13"/>
    <x v="1"/>
    <m/>
    <m/>
    <x v="0"/>
    <x v="0"/>
    <m/>
    <x v="0"/>
    <x v="7"/>
    <x v="635"/>
    <x v="3"/>
    <x v="0"/>
    <x v="1"/>
    <x v="25"/>
    <x v="1445"/>
  </r>
  <r>
    <x v="0"/>
    <n v="919"/>
    <x v="634"/>
    <x v="4"/>
    <s v=""/>
    <s v=""/>
    <x v="466"/>
    <x v="2"/>
    <x v="22"/>
    <m/>
    <x v="22"/>
    <m/>
    <x v="3"/>
    <x v="0"/>
    <x v="20"/>
    <d v="2011-11-17T00:00:00"/>
    <x v="13"/>
    <x v="1"/>
    <s v="Ensaios Visuais 2"/>
    <m/>
    <x v="0"/>
    <x v="0"/>
    <m/>
    <x v="0"/>
    <x v="7"/>
    <x v="636"/>
    <x v="3"/>
    <x v="0"/>
    <x v="1"/>
    <x v="20"/>
    <x v="1446"/>
  </r>
  <r>
    <x v="0"/>
    <n v="920"/>
    <x v="635"/>
    <x v="0"/>
    <s v="CM"/>
    <s v="N"/>
    <x v="467"/>
    <x v="4"/>
    <x v="93"/>
    <m/>
    <x v="72"/>
    <m/>
    <x v="15"/>
    <x v="0"/>
    <x v="84"/>
    <d v="2011-09-03T00:00:00"/>
    <x v="9"/>
    <x v="0"/>
    <m/>
    <s v="Focus on Gabriel Abrantes"/>
    <x v="0"/>
    <x v="0"/>
    <m/>
    <x v="0"/>
    <x v="0"/>
    <x v="637"/>
    <x v="15"/>
    <x v="0"/>
    <x v="0"/>
    <x v="84"/>
    <x v="1447"/>
  </r>
  <r>
    <x v="0"/>
    <n v="920"/>
    <x v="635"/>
    <x v="0"/>
    <s v="CM"/>
    <s v="N"/>
    <x v="467"/>
    <x v="4"/>
    <x v="96"/>
    <m/>
    <x v="75"/>
    <m/>
    <x v="15"/>
    <x v="0"/>
    <x v="87"/>
    <m/>
    <x v="12"/>
    <x v="0"/>
    <m/>
    <m/>
    <x v="0"/>
    <x v="1"/>
    <m/>
    <x v="0"/>
    <x v="0"/>
    <x v="637"/>
    <x v="15"/>
    <x v="0"/>
    <x v="0"/>
    <x v="87"/>
    <x v="1448"/>
  </r>
  <r>
    <x v="0"/>
    <n v="921"/>
    <x v="636"/>
    <x v="1"/>
    <s v="CM"/>
    <s v="N"/>
    <x v="468"/>
    <x v="2"/>
    <x v="178"/>
    <m/>
    <x v="25"/>
    <m/>
    <x v="3"/>
    <x v="0"/>
    <x v="44"/>
    <d v="2011-07-03T00:00:00"/>
    <x v="17"/>
    <x v="1"/>
    <s v="Sessão Competitiva Documentário 4"/>
    <m/>
    <x v="0"/>
    <x v="0"/>
    <m/>
    <x v="0"/>
    <x v="2"/>
    <x v="638"/>
    <x v="3"/>
    <x v="0"/>
    <x v="1"/>
    <x v="44"/>
    <x v="1449"/>
  </r>
  <r>
    <x v="0"/>
    <n v="922"/>
    <x v="637"/>
    <x v="1"/>
    <s v="CM"/>
    <s v="N"/>
    <x v="138"/>
    <x v="5"/>
    <x v="156"/>
    <m/>
    <x v="49"/>
    <m/>
    <x v="3"/>
    <x v="0"/>
    <x v="185"/>
    <m/>
    <x v="1"/>
    <x v="0"/>
    <m/>
    <m/>
    <x v="0"/>
    <x v="1"/>
    <m/>
    <x v="0"/>
    <x v="2"/>
    <x v="639"/>
    <x v="3"/>
    <x v="0"/>
    <x v="1"/>
    <x v="185"/>
    <x v="1450"/>
  </r>
  <r>
    <x v="0"/>
    <n v="922"/>
    <x v="637"/>
    <x v="1"/>
    <s v="CM"/>
    <s v="N"/>
    <x v="138"/>
    <x v="5"/>
    <x v="81"/>
    <m/>
    <x v="61"/>
    <m/>
    <x v="2"/>
    <x v="0"/>
    <x v="71"/>
    <d v="2011-02-12T00:00:00"/>
    <x v="1"/>
    <x v="0"/>
    <m/>
    <s v="Décibels 1"/>
    <x v="0"/>
    <x v="0"/>
    <m/>
    <x v="0"/>
    <x v="2"/>
    <x v="639"/>
    <x v="2"/>
    <x v="0"/>
    <x v="0"/>
    <x v="71"/>
    <x v="1451"/>
  </r>
  <r>
    <x v="0"/>
    <n v="925"/>
    <x v="638"/>
    <x v="4"/>
    <s v=""/>
    <s v=""/>
    <x v="178"/>
    <x v="2"/>
    <x v="133"/>
    <m/>
    <x v="101"/>
    <m/>
    <x v="3"/>
    <x v="0"/>
    <x v="108"/>
    <d v="2011-12-11T00:00:00"/>
    <x v="12"/>
    <x v="0"/>
    <m/>
    <s v="Sangue Novo - Carlos Conceição"/>
    <x v="0"/>
    <x v="0"/>
    <m/>
    <x v="0"/>
    <x v="7"/>
    <x v="640"/>
    <x v="3"/>
    <x v="0"/>
    <x v="1"/>
    <x v="108"/>
    <x v="1452"/>
  </r>
  <r>
    <x v="0"/>
    <n v="926"/>
    <x v="639"/>
    <x v="4"/>
    <s v=""/>
    <s v=""/>
    <x v="469"/>
    <x v="2"/>
    <x v="161"/>
    <m/>
    <x v="35"/>
    <m/>
    <x v="2"/>
    <x v="0"/>
    <x v="127"/>
    <d v="2011-10-29T00:00:00"/>
    <x v="14"/>
    <x v="0"/>
    <m/>
    <s v="Rencontre avec Roschdy Zem, Sami Bouagila, Pascal Elbé: Films"/>
    <x v="0"/>
    <x v="0"/>
    <m/>
    <x v="0"/>
    <x v="7"/>
    <x v="641"/>
    <x v="2"/>
    <x v="0"/>
    <x v="0"/>
    <x v="127"/>
    <x v="1453"/>
  </r>
  <r>
    <x v="0"/>
    <n v="927"/>
    <x v="640"/>
    <x v="4"/>
    <s v=""/>
    <s v=""/>
    <x v="470"/>
    <x v="2"/>
    <x v="23"/>
    <m/>
    <x v="23"/>
    <m/>
    <x v="3"/>
    <x v="0"/>
    <x v="21"/>
    <d v="2011-09-23T00:00:00"/>
    <x v="9"/>
    <x v="0"/>
    <m/>
    <m/>
    <x v="0"/>
    <x v="1"/>
    <m/>
    <x v="0"/>
    <x v="7"/>
    <x v="642"/>
    <x v="3"/>
    <x v="0"/>
    <x v="1"/>
    <x v="21"/>
    <x v="1454"/>
  </r>
  <r>
    <x v="0"/>
    <n v="929"/>
    <x v="641"/>
    <x v="1"/>
    <s v="LM"/>
    <s v="N"/>
    <x v="85"/>
    <x v="1"/>
    <x v="357"/>
    <m/>
    <x v="5"/>
    <m/>
    <x v="3"/>
    <x v="0"/>
    <x v="181"/>
    <d v="2011-02-09T00:00:00"/>
    <x v="18"/>
    <x v="0"/>
    <m/>
    <m/>
    <x v="0"/>
    <x v="1"/>
    <m/>
    <x v="0"/>
    <x v="1"/>
    <x v="643"/>
    <x v="3"/>
    <x v="0"/>
    <x v="1"/>
    <x v="181"/>
    <x v="1455"/>
  </r>
  <r>
    <x v="0"/>
    <n v="930"/>
    <x v="642"/>
    <x v="0"/>
    <s v="LM"/>
    <s v="S"/>
    <x v="18"/>
    <x v="2"/>
    <x v="171"/>
    <m/>
    <x v="82"/>
    <m/>
    <x v="21"/>
    <x v="0"/>
    <x v="130"/>
    <d v="2011-03-30T00:00:00"/>
    <x v="2"/>
    <x v="0"/>
    <m/>
    <m/>
    <x v="0"/>
    <x v="1"/>
    <m/>
    <x v="0"/>
    <x v="5"/>
    <x v="644"/>
    <x v="21"/>
    <x v="0"/>
    <x v="0"/>
    <x v="130"/>
    <x v="1456"/>
  </r>
  <r>
    <x v="0"/>
    <n v="930"/>
    <x v="642"/>
    <x v="0"/>
    <s v="LM"/>
    <s v="S"/>
    <x v="18"/>
    <x v="2"/>
    <x v="167"/>
    <m/>
    <x v="127"/>
    <m/>
    <x v="38"/>
    <x v="0"/>
    <x v="3"/>
    <d v="2011-04-07T00:00:00"/>
    <x v="3"/>
    <x v="0"/>
    <m/>
    <m/>
    <x v="0"/>
    <x v="0"/>
    <m/>
    <x v="0"/>
    <x v="5"/>
    <x v="644"/>
    <x v="38"/>
    <x v="0"/>
    <x v="0"/>
    <x v="3"/>
    <x v="1457"/>
  </r>
  <r>
    <x v="0"/>
    <n v="930"/>
    <x v="642"/>
    <x v="0"/>
    <s v="LM"/>
    <s v="S"/>
    <x v="18"/>
    <x v="2"/>
    <x v="47"/>
    <m/>
    <x v="42"/>
    <m/>
    <x v="12"/>
    <x v="0"/>
    <x v="42"/>
    <d v="2011-05-22T00:00:00"/>
    <x v="6"/>
    <x v="0"/>
    <m/>
    <m/>
    <x v="0"/>
    <x v="1"/>
    <m/>
    <x v="0"/>
    <x v="5"/>
    <x v="644"/>
    <x v="12"/>
    <x v="0"/>
    <x v="0"/>
    <x v="42"/>
    <x v="1458"/>
  </r>
  <r>
    <x v="0"/>
    <n v="931"/>
    <x v="643"/>
    <x v="4"/>
    <s v=""/>
    <s v=""/>
    <x v="471"/>
    <x v="2"/>
    <x v="76"/>
    <m/>
    <x v="58"/>
    <m/>
    <x v="17"/>
    <x v="0"/>
    <x v="67"/>
    <d v="2011-11-30T00:00:00"/>
    <x v="13"/>
    <x v="0"/>
    <m/>
    <m/>
    <x v="0"/>
    <x v="0"/>
    <m/>
    <x v="0"/>
    <x v="7"/>
    <x v="645"/>
    <x v="17"/>
    <x v="0"/>
    <x v="0"/>
    <x v="67"/>
    <x v="1459"/>
  </r>
  <r>
    <x v="0"/>
    <n v="932"/>
    <x v="644"/>
    <x v="2"/>
    <s v="CM"/>
    <s v="S"/>
    <x v="472"/>
    <x v="5"/>
    <x v="146"/>
    <m/>
    <x v="24"/>
    <m/>
    <x v="3"/>
    <x v="0"/>
    <x v="112"/>
    <d v="2011-05-15T00:00:00"/>
    <x v="6"/>
    <x v="1"/>
    <s v="Competição Internacional - Curtas Metragens"/>
    <m/>
    <x v="147"/>
    <x v="0"/>
    <m/>
    <x v="1"/>
    <x v="4"/>
    <x v="646"/>
    <x v="3"/>
    <x v="166"/>
    <x v="1"/>
    <x v="112"/>
    <x v="1460"/>
  </r>
  <r>
    <x v="0"/>
    <n v="932"/>
    <x v="644"/>
    <x v="2"/>
    <s v="CM"/>
    <s v="S"/>
    <x v="472"/>
    <x v="5"/>
    <x v="48"/>
    <m/>
    <x v="24"/>
    <m/>
    <x v="3"/>
    <x v="0"/>
    <x v="21"/>
    <d v="2011-09-11T00:00:00"/>
    <x v="9"/>
    <x v="1"/>
    <s v="Prémio Motelx . Melhor Curta de Terror Portuguesa"/>
    <m/>
    <x v="0"/>
    <x v="0"/>
    <m/>
    <x v="0"/>
    <x v="4"/>
    <x v="646"/>
    <x v="3"/>
    <x v="0"/>
    <x v="1"/>
    <x v="21"/>
    <x v="1461"/>
  </r>
  <r>
    <x v="0"/>
    <n v="932"/>
    <x v="644"/>
    <x v="2"/>
    <s v="CM"/>
    <s v="S"/>
    <x v="472"/>
    <x v="5"/>
    <x v="273"/>
    <m/>
    <x v="115"/>
    <m/>
    <x v="36"/>
    <x v="0"/>
    <x v="184"/>
    <m/>
    <x v="14"/>
    <x v="0"/>
    <m/>
    <m/>
    <x v="0"/>
    <x v="1"/>
    <m/>
    <x v="0"/>
    <x v="4"/>
    <x v="646"/>
    <x v="36"/>
    <x v="0"/>
    <x v="0"/>
    <x v="184"/>
    <x v="1462"/>
  </r>
  <r>
    <x v="0"/>
    <n v="932"/>
    <x v="644"/>
    <x v="2"/>
    <s v="CM"/>
    <s v="S"/>
    <x v="472"/>
    <x v="5"/>
    <x v="94"/>
    <m/>
    <x v="73"/>
    <m/>
    <x v="3"/>
    <x v="0"/>
    <x v="85"/>
    <d v="2011-10-30T00:00:00"/>
    <x v="14"/>
    <x v="0"/>
    <m/>
    <s v="Panorama da Curta Metragem Portuguesa"/>
    <x v="0"/>
    <x v="0"/>
    <m/>
    <x v="0"/>
    <x v="4"/>
    <x v="646"/>
    <x v="3"/>
    <x v="0"/>
    <x v="1"/>
    <x v="85"/>
    <x v="1463"/>
  </r>
  <r>
    <x v="0"/>
    <n v="932"/>
    <x v="644"/>
    <x v="2"/>
    <s v="CM"/>
    <s v="S"/>
    <x v="472"/>
    <x v="5"/>
    <x v="78"/>
    <m/>
    <x v="59"/>
    <m/>
    <x v="3"/>
    <x v="0"/>
    <x v="66"/>
    <d v="2011-10-30T00:00:00"/>
    <x v="14"/>
    <x v="1"/>
    <s v="Competição Nacional"/>
    <m/>
    <x v="0"/>
    <x v="0"/>
    <m/>
    <x v="0"/>
    <x v="4"/>
    <x v="646"/>
    <x v="3"/>
    <x v="0"/>
    <x v="1"/>
    <x v="66"/>
    <x v="1464"/>
  </r>
  <r>
    <x v="0"/>
    <n v="932"/>
    <x v="644"/>
    <x v="2"/>
    <s v="CM"/>
    <s v="S"/>
    <x v="472"/>
    <x v="5"/>
    <x v="14"/>
    <m/>
    <x v="14"/>
    <m/>
    <x v="3"/>
    <x v="0"/>
    <x v="13"/>
    <d v="2011-11-05T00:00:00"/>
    <x v="0"/>
    <x v="1"/>
    <s v="Competição Curtas Metragens"/>
    <m/>
    <x v="0"/>
    <x v="0"/>
    <m/>
    <x v="0"/>
    <x v="4"/>
    <x v="646"/>
    <x v="3"/>
    <x v="0"/>
    <x v="1"/>
    <x v="13"/>
    <x v="1465"/>
  </r>
  <r>
    <x v="0"/>
    <n v="932"/>
    <x v="644"/>
    <x v="2"/>
    <s v="CM"/>
    <s v="S"/>
    <x v="472"/>
    <x v="5"/>
    <x v="22"/>
    <m/>
    <x v="22"/>
    <m/>
    <x v="3"/>
    <x v="0"/>
    <x v="20"/>
    <d v="2011-11-17T00:00:00"/>
    <x v="13"/>
    <x v="1"/>
    <s v="Sessão Competitiva 9"/>
    <m/>
    <x v="0"/>
    <x v="0"/>
    <m/>
    <x v="0"/>
    <x v="4"/>
    <x v="646"/>
    <x v="3"/>
    <x v="0"/>
    <x v="1"/>
    <x v="20"/>
    <x v="1466"/>
  </r>
  <r>
    <x v="0"/>
    <n v="934"/>
    <x v="645"/>
    <x v="0"/>
    <s v="LM"/>
    <s v="S"/>
    <x v="40"/>
    <x v="37"/>
    <x v="3"/>
    <m/>
    <x v="3"/>
    <m/>
    <x v="2"/>
    <x v="0"/>
    <x v="3"/>
    <d v="2011-04-03T00:00:00"/>
    <x v="3"/>
    <x v="0"/>
    <m/>
    <s v="Au Sud de l'Europe - Portugal: Teresa Villaverde Intégrale"/>
    <x v="0"/>
    <x v="0"/>
    <m/>
    <x v="0"/>
    <x v="5"/>
    <x v="647"/>
    <x v="2"/>
    <x v="0"/>
    <x v="0"/>
    <x v="3"/>
    <x v="1467"/>
  </r>
  <r>
    <x v="0"/>
    <n v="935"/>
    <x v="646"/>
    <x v="2"/>
    <s v="CM"/>
    <s v="S"/>
    <x v="281"/>
    <x v="2"/>
    <x v="61"/>
    <m/>
    <x v="50"/>
    <m/>
    <x v="13"/>
    <x v="0"/>
    <x v="57"/>
    <d v="2011-02-25T00:00:00"/>
    <x v="1"/>
    <x v="0"/>
    <m/>
    <m/>
    <x v="0"/>
    <x v="1"/>
    <m/>
    <x v="0"/>
    <x v="4"/>
    <x v="648"/>
    <x v="13"/>
    <x v="0"/>
    <x v="0"/>
    <x v="57"/>
    <x v="1468"/>
  </r>
  <r>
    <x v="0"/>
    <n v="935"/>
    <x v="646"/>
    <x v="2"/>
    <s v="CM"/>
    <s v="S"/>
    <x v="281"/>
    <x v="2"/>
    <x v="358"/>
    <m/>
    <x v="240"/>
    <m/>
    <x v="58"/>
    <x v="0"/>
    <x v="123"/>
    <d v="2011-03-13T00:00:00"/>
    <x v="2"/>
    <x v="1"/>
    <s v="Compétition Internationale - Courts-métrages 6"/>
    <m/>
    <x v="0"/>
    <x v="0"/>
    <m/>
    <x v="0"/>
    <x v="4"/>
    <x v="648"/>
    <x v="58"/>
    <x v="0"/>
    <x v="0"/>
    <x v="123"/>
    <x v="1469"/>
  </r>
  <r>
    <x v="0"/>
    <n v="935"/>
    <x v="646"/>
    <x v="2"/>
    <s v="CM"/>
    <s v="S"/>
    <x v="281"/>
    <x v="2"/>
    <x v="30"/>
    <m/>
    <x v="28"/>
    <m/>
    <x v="8"/>
    <x v="0"/>
    <x v="28"/>
    <d v="2011-03-20T00:00:00"/>
    <x v="2"/>
    <x v="0"/>
    <m/>
    <s v="Animation 3 - Lost &amp; Longing"/>
    <x v="0"/>
    <x v="0"/>
    <m/>
    <x v="0"/>
    <x v="4"/>
    <x v="648"/>
    <x v="8"/>
    <x v="0"/>
    <x v="0"/>
    <x v="28"/>
    <x v="1470"/>
  </r>
  <r>
    <x v="0"/>
    <n v="935"/>
    <x v="646"/>
    <x v="2"/>
    <s v="CM"/>
    <s v="S"/>
    <x v="281"/>
    <x v="2"/>
    <x v="19"/>
    <m/>
    <x v="19"/>
    <m/>
    <x v="0"/>
    <x v="0"/>
    <x v="18"/>
    <d v="2011-05-15T00:00:00"/>
    <x v="6"/>
    <x v="0"/>
    <m/>
    <s v="Mostras Paralelas - FAIAL FILMES FEST"/>
    <x v="0"/>
    <x v="0"/>
    <m/>
    <x v="0"/>
    <x v="4"/>
    <x v="648"/>
    <x v="0"/>
    <x v="0"/>
    <x v="0"/>
    <x v="18"/>
    <x v="1471"/>
  </r>
  <r>
    <x v="0"/>
    <n v="935"/>
    <x v="646"/>
    <x v="2"/>
    <s v="CM"/>
    <s v="S"/>
    <x v="281"/>
    <x v="2"/>
    <x v="169"/>
    <m/>
    <x v="129"/>
    <m/>
    <x v="1"/>
    <x v="0"/>
    <x v="97"/>
    <d v="2011-05-14T00:00:00"/>
    <x v="6"/>
    <x v="1"/>
    <m/>
    <m/>
    <x v="148"/>
    <x v="0"/>
    <m/>
    <x v="1"/>
    <x v="4"/>
    <x v="648"/>
    <x v="1"/>
    <x v="167"/>
    <x v="0"/>
    <x v="97"/>
    <x v="1472"/>
  </r>
  <r>
    <x v="0"/>
    <n v="935"/>
    <x v="646"/>
    <x v="2"/>
    <s v="CM"/>
    <s v="S"/>
    <x v="281"/>
    <x v="2"/>
    <x v="34"/>
    <m/>
    <x v="32"/>
    <m/>
    <x v="3"/>
    <x v="0"/>
    <x v="31"/>
    <d v="2011-05-15T00:00:00"/>
    <x v="6"/>
    <x v="1"/>
    <m/>
    <m/>
    <x v="127"/>
    <x v="0"/>
    <m/>
    <x v="1"/>
    <x v="4"/>
    <x v="648"/>
    <x v="3"/>
    <x v="168"/>
    <x v="1"/>
    <x v="31"/>
    <x v="1473"/>
  </r>
  <r>
    <x v="0"/>
    <n v="935"/>
    <x v="646"/>
    <x v="2"/>
    <s v="CM"/>
    <s v="S"/>
    <x v="281"/>
    <x v="2"/>
    <x v="55"/>
    <m/>
    <x v="45"/>
    <m/>
    <x v="3"/>
    <x v="0"/>
    <x v="175"/>
    <d v="2011-06-16T00:00:00"/>
    <x v="7"/>
    <x v="0"/>
    <m/>
    <s v="11º Programa: As Escolhas de Pedro Serrazina"/>
    <x v="0"/>
    <x v="1"/>
    <m/>
    <x v="0"/>
    <x v="4"/>
    <x v="648"/>
    <x v="3"/>
    <x v="0"/>
    <x v="1"/>
    <x v="175"/>
    <x v="1474"/>
  </r>
  <r>
    <x v="0"/>
    <n v="935"/>
    <x v="646"/>
    <x v="2"/>
    <s v="CM"/>
    <s v="S"/>
    <x v="281"/>
    <x v="2"/>
    <x v="66"/>
    <m/>
    <x v="52"/>
    <m/>
    <x v="3"/>
    <x v="0"/>
    <x v="62"/>
    <d v="2011-06-12T00:00:00"/>
    <x v="7"/>
    <x v="0"/>
    <m/>
    <s v="Curtas Sadinas Premiadas 2011 - Animação"/>
    <x v="0"/>
    <x v="0"/>
    <m/>
    <x v="0"/>
    <x v="4"/>
    <x v="648"/>
    <x v="3"/>
    <x v="0"/>
    <x v="1"/>
    <x v="62"/>
    <x v="1475"/>
  </r>
  <r>
    <x v="0"/>
    <n v="935"/>
    <x v="646"/>
    <x v="2"/>
    <s v="CM"/>
    <s v="S"/>
    <x v="281"/>
    <x v="2"/>
    <x v="122"/>
    <m/>
    <x v="93"/>
    <m/>
    <x v="2"/>
    <x v="0"/>
    <x v="100"/>
    <d v="2011-06-11T00:00:00"/>
    <x v="7"/>
    <x v="0"/>
    <m/>
    <s v="Courts Métrages hors Compétition 2"/>
    <x v="0"/>
    <x v="0"/>
    <m/>
    <x v="0"/>
    <x v="4"/>
    <x v="648"/>
    <x v="2"/>
    <x v="0"/>
    <x v="0"/>
    <x v="100"/>
    <x v="1476"/>
  </r>
  <r>
    <x v="0"/>
    <n v="935"/>
    <x v="646"/>
    <x v="2"/>
    <s v="CM"/>
    <s v="S"/>
    <x v="281"/>
    <x v="2"/>
    <x v="35"/>
    <m/>
    <x v="33"/>
    <m/>
    <x v="2"/>
    <x v="0"/>
    <x v="32"/>
    <d v="2011-06-19T00:00:00"/>
    <x v="7"/>
    <x v="0"/>
    <m/>
    <s v="Films récents, inédits et en avant-première"/>
    <x v="0"/>
    <x v="0"/>
    <m/>
    <x v="0"/>
    <x v="4"/>
    <x v="648"/>
    <x v="2"/>
    <x v="0"/>
    <x v="0"/>
    <x v="32"/>
    <x v="1477"/>
  </r>
  <r>
    <x v="0"/>
    <n v="935"/>
    <x v="646"/>
    <x v="2"/>
    <s v="CM"/>
    <s v="S"/>
    <x v="281"/>
    <x v="2"/>
    <x v="220"/>
    <m/>
    <x v="154"/>
    <m/>
    <x v="0"/>
    <x v="0"/>
    <x v="160"/>
    <d v="2011-07-31T00:00:00"/>
    <x v="8"/>
    <x v="1"/>
    <s v="Competição internacional - Curtas Metragens 5"/>
    <m/>
    <x v="0"/>
    <x v="0"/>
    <m/>
    <x v="0"/>
    <x v="4"/>
    <x v="648"/>
    <x v="0"/>
    <x v="0"/>
    <x v="0"/>
    <x v="160"/>
    <x v="1478"/>
  </r>
  <r>
    <x v="0"/>
    <n v="935"/>
    <x v="646"/>
    <x v="2"/>
    <s v="CM"/>
    <s v="S"/>
    <x v="281"/>
    <x v="2"/>
    <x v="223"/>
    <m/>
    <x v="155"/>
    <m/>
    <x v="16"/>
    <x v="0"/>
    <x v="160"/>
    <d v="2011-07-23T00:00:00"/>
    <x v="8"/>
    <x v="1"/>
    <s v="International Competition"/>
    <m/>
    <x v="0"/>
    <x v="0"/>
    <m/>
    <x v="0"/>
    <x v="4"/>
    <x v="648"/>
    <x v="16"/>
    <x v="0"/>
    <x v="0"/>
    <x v="160"/>
    <x v="1479"/>
  </r>
  <r>
    <x v="0"/>
    <n v="935"/>
    <x v="646"/>
    <x v="2"/>
    <s v="CM"/>
    <s v="S"/>
    <x v="281"/>
    <x v="2"/>
    <x v="234"/>
    <m/>
    <x v="164"/>
    <m/>
    <x v="5"/>
    <x v="0"/>
    <x v="200"/>
    <d v="2011-08-15T00:00:00"/>
    <x v="16"/>
    <x v="1"/>
    <m/>
    <m/>
    <x v="0"/>
    <x v="0"/>
    <m/>
    <x v="0"/>
    <x v="4"/>
    <x v="648"/>
    <x v="5"/>
    <x v="0"/>
    <x v="0"/>
    <x v="200"/>
    <x v="1480"/>
  </r>
  <r>
    <x v="0"/>
    <n v="935"/>
    <x v="646"/>
    <x v="2"/>
    <s v="CM"/>
    <s v="S"/>
    <x v="281"/>
    <x v="2"/>
    <x v="359"/>
    <m/>
    <x v="241"/>
    <m/>
    <x v="5"/>
    <x v="0"/>
    <x v="194"/>
    <d v="2011-09-11T00:00:00"/>
    <x v="9"/>
    <x v="1"/>
    <s v="Shortfilmprogram 2 (8 years)"/>
    <m/>
    <x v="149"/>
    <x v="0"/>
    <m/>
    <x v="1"/>
    <x v="4"/>
    <x v="648"/>
    <x v="5"/>
    <x v="169"/>
    <x v="0"/>
    <x v="194"/>
    <x v="1481"/>
  </r>
  <r>
    <x v="0"/>
    <n v="935"/>
    <x v="646"/>
    <x v="2"/>
    <s v="CM"/>
    <s v="S"/>
    <x v="281"/>
    <x v="2"/>
    <x v="237"/>
    <m/>
    <x v="115"/>
    <m/>
    <x v="36"/>
    <x v="0"/>
    <x v="168"/>
    <d v="2011-09-25T00:00:00"/>
    <x v="9"/>
    <x v="0"/>
    <m/>
    <m/>
    <x v="0"/>
    <x v="0"/>
    <m/>
    <x v="0"/>
    <x v="4"/>
    <x v="648"/>
    <x v="36"/>
    <x v="0"/>
    <x v="0"/>
    <x v="168"/>
    <x v="1482"/>
  </r>
  <r>
    <x v="0"/>
    <n v="935"/>
    <x v="646"/>
    <x v="2"/>
    <s v="CM"/>
    <s v="S"/>
    <x v="281"/>
    <x v="2"/>
    <x v="141"/>
    <m/>
    <x v="107"/>
    <m/>
    <x v="31"/>
    <x v="0"/>
    <x v="114"/>
    <d v="2011-09-25T00:00:00"/>
    <x v="9"/>
    <x v="1"/>
    <s v="Animation"/>
    <m/>
    <x v="0"/>
    <x v="0"/>
    <m/>
    <x v="0"/>
    <x v="4"/>
    <x v="648"/>
    <x v="31"/>
    <x v="0"/>
    <x v="0"/>
    <x v="114"/>
    <x v="1483"/>
  </r>
  <r>
    <x v="0"/>
    <n v="935"/>
    <x v="646"/>
    <x v="2"/>
    <s v="CM"/>
    <s v="S"/>
    <x v="281"/>
    <x v="2"/>
    <x v="10"/>
    <m/>
    <x v="10"/>
    <m/>
    <x v="0"/>
    <x v="0"/>
    <x v="10"/>
    <d v="2011-09-25T00:00:00"/>
    <x v="9"/>
    <x v="1"/>
    <s v="Andorinha Curta Animação"/>
    <m/>
    <x v="150"/>
    <x v="0"/>
    <m/>
    <x v="1"/>
    <x v="4"/>
    <x v="648"/>
    <x v="0"/>
    <x v="170"/>
    <x v="0"/>
    <x v="10"/>
    <x v="1484"/>
  </r>
  <r>
    <x v="0"/>
    <n v="935"/>
    <x v="646"/>
    <x v="2"/>
    <s v="CM"/>
    <s v="S"/>
    <x v="281"/>
    <x v="2"/>
    <x v="240"/>
    <m/>
    <x v="169"/>
    <m/>
    <x v="43"/>
    <x v="0"/>
    <x v="169"/>
    <d v="2011-10-03T00:00:00"/>
    <x v="10"/>
    <x v="0"/>
    <m/>
    <s v="Panorama"/>
    <x v="0"/>
    <x v="0"/>
    <m/>
    <x v="0"/>
    <x v="4"/>
    <x v="648"/>
    <x v="43"/>
    <x v="0"/>
    <x v="0"/>
    <x v="169"/>
    <x v="1485"/>
  </r>
  <r>
    <x v="0"/>
    <n v="935"/>
    <x v="646"/>
    <x v="2"/>
    <s v="CM"/>
    <s v="S"/>
    <x v="281"/>
    <x v="2"/>
    <x v="94"/>
    <m/>
    <x v="73"/>
    <m/>
    <x v="3"/>
    <x v="0"/>
    <x v="85"/>
    <d v="2011-10-30T00:00:00"/>
    <x v="14"/>
    <x v="0"/>
    <m/>
    <s v="Panorama da Curta Metragem Portuguesa"/>
    <x v="0"/>
    <x v="0"/>
    <m/>
    <x v="0"/>
    <x v="4"/>
    <x v="648"/>
    <x v="3"/>
    <x v="0"/>
    <x v="1"/>
    <x v="85"/>
    <x v="1486"/>
  </r>
  <r>
    <x v="0"/>
    <n v="935"/>
    <x v="646"/>
    <x v="2"/>
    <s v="CM"/>
    <s v="S"/>
    <x v="281"/>
    <x v="2"/>
    <x v="360"/>
    <m/>
    <x v="242"/>
    <m/>
    <x v="17"/>
    <x v="0"/>
    <x v="80"/>
    <d v="2011-10-28T00:00:00"/>
    <x v="14"/>
    <x v="0"/>
    <m/>
    <m/>
    <x v="0"/>
    <x v="0"/>
    <m/>
    <x v="0"/>
    <x v="4"/>
    <x v="648"/>
    <x v="17"/>
    <x v="0"/>
    <x v="0"/>
    <x v="80"/>
    <x v="1487"/>
  </r>
  <r>
    <x v="0"/>
    <n v="935"/>
    <x v="646"/>
    <x v="2"/>
    <s v="CM"/>
    <s v="S"/>
    <x v="281"/>
    <x v="2"/>
    <x v="361"/>
    <m/>
    <x v="243"/>
    <m/>
    <x v="64"/>
    <x v="0"/>
    <x v="0"/>
    <d v="2011-11-07T00:00:00"/>
    <x v="0"/>
    <x v="1"/>
    <s v="Vencedores: Family Values"/>
    <m/>
    <x v="0"/>
    <x v="0"/>
    <m/>
    <x v="0"/>
    <x v="4"/>
    <x v="648"/>
    <x v="64"/>
    <x v="0"/>
    <x v="0"/>
    <x v="0"/>
    <x v="1488"/>
  </r>
  <r>
    <x v="0"/>
    <n v="935"/>
    <x v="646"/>
    <x v="2"/>
    <s v="CM"/>
    <s v="S"/>
    <x v="281"/>
    <x v="2"/>
    <x v="244"/>
    <m/>
    <x v="171"/>
    <m/>
    <x v="48"/>
    <x v="0"/>
    <x v="41"/>
    <d v="2011-11-20T00:00:00"/>
    <x v="13"/>
    <x v="1"/>
    <s v="Shorts Competition"/>
    <m/>
    <x v="0"/>
    <x v="0"/>
    <m/>
    <x v="0"/>
    <x v="4"/>
    <x v="648"/>
    <x v="48"/>
    <x v="0"/>
    <x v="0"/>
    <x v="41"/>
    <x v="1489"/>
  </r>
  <r>
    <x v="0"/>
    <n v="935"/>
    <x v="646"/>
    <x v="2"/>
    <s v="CM"/>
    <s v="S"/>
    <x v="281"/>
    <x v="2"/>
    <x v="136"/>
    <m/>
    <x v="103"/>
    <m/>
    <x v="31"/>
    <x v="0"/>
    <x v="14"/>
    <d v="2011-11-27T00:00:00"/>
    <x v="13"/>
    <x v="1"/>
    <s v="Seas and Sailors"/>
    <m/>
    <x v="0"/>
    <x v="0"/>
    <m/>
    <x v="0"/>
    <x v="4"/>
    <x v="648"/>
    <x v="31"/>
    <x v="0"/>
    <x v="0"/>
    <x v="14"/>
    <x v="1490"/>
  </r>
  <r>
    <x v="0"/>
    <n v="939"/>
    <x v="647"/>
    <x v="4"/>
    <s v=""/>
    <s v=""/>
    <x v="47"/>
    <x v="2"/>
    <x v="99"/>
    <m/>
    <x v="78"/>
    <m/>
    <x v="20"/>
    <x v="0"/>
    <x v="69"/>
    <d v="2011-11-13T00:00:00"/>
    <x v="13"/>
    <x v="0"/>
    <m/>
    <s v="Focus on Edgar Pêra - Programme 1"/>
    <x v="0"/>
    <x v="0"/>
    <m/>
    <x v="0"/>
    <x v="7"/>
    <x v="649"/>
    <x v="20"/>
    <x v="0"/>
    <x v="0"/>
    <x v="69"/>
    <x v="1491"/>
  </r>
  <r>
    <x v="0"/>
    <n v="940"/>
    <x v="648"/>
    <x v="0"/>
    <s v="CM"/>
    <s v="N"/>
    <x v="473"/>
    <x v="2"/>
    <x v="80"/>
    <m/>
    <x v="60"/>
    <m/>
    <x v="3"/>
    <x v="0"/>
    <x v="70"/>
    <d v="2011-11-13T00:00:00"/>
    <x v="13"/>
    <x v="0"/>
    <m/>
    <s v="Encontros das Escolas Europeias de Cinema"/>
    <x v="0"/>
    <x v="0"/>
    <m/>
    <x v="0"/>
    <x v="0"/>
    <x v="650"/>
    <x v="3"/>
    <x v="0"/>
    <x v="1"/>
    <x v="70"/>
    <x v="1492"/>
  </r>
  <r>
    <x v="0"/>
    <n v="940"/>
    <x v="648"/>
    <x v="0"/>
    <s v="CM"/>
    <s v="N"/>
    <x v="473"/>
    <x v="2"/>
    <x v="21"/>
    <m/>
    <x v="21"/>
    <m/>
    <x v="3"/>
    <x v="0"/>
    <x v="15"/>
    <d v="2011-12-03T00:00:00"/>
    <x v="12"/>
    <x v="1"/>
    <s v="Prémio Universidades"/>
    <m/>
    <x v="0"/>
    <x v="0"/>
    <m/>
    <x v="0"/>
    <x v="0"/>
    <x v="650"/>
    <x v="3"/>
    <x v="0"/>
    <x v="1"/>
    <x v="15"/>
    <x v="1493"/>
  </r>
  <r>
    <x v="0"/>
    <n v="1231"/>
    <x v="649"/>
    <x v="0"/>
    <s v="LM"/>
    <s v="N"/>
    <x v="63"/>
    <x v="7"/>
    <x v="91"/>
    <m/>
    <x v="70"/>
    <m/>
    <x v="18"/>
    <x v="0"/>
    <x v="82"/>
    <d v="2011-05-06T00:00:00"/>
    <x v="4"/>
    <x v="0"/>
    <m/>
    <s v="Focus On: Portuguese Cinema 2- Before and After Revolution"/>
    <x v="0"/>
    <x v="0"/>
    <m/>
    <x v="0"/>
    <x v="5"/>
    <x v="651"/>
    <x v="18"/>
    <x v="0"/>
    <x v="0"/>
    <x v="82"/>
    <x v="1494"/>
  </r>
  <r>
    <x v="0"/>
    <n v="943"/>
    <x v="650"/>
    <x v="2"/>
    <s v="CM"/>
    <s v="S"/>
    <x v="11"/>
    <x v="18"/>
    <x v="257"/>
    <m/>
    <x v="178"/>
    <m/>
    <x v="37"/>
    <x v="0"/>
    <x v="5"/>
    <d v="2011-05-25T00:00:00"/>
    <x v="4"/>
    <x v="0"/>
    <m/>
    <m/>
    <x v="0"/>
    <x v="0"/>
    <m/>
    <x v="0"/>
    <x v="4"/>
    <x v="652"/>
    <x v="37"/>
    <x v="0"/>
    <x v="0"/>
    <x v="5"/>
    <x v="1495"/>
  </r>
  <r>
    <x v="0"/>
    <n v="943"/>
    <x v="650"/>
    <x v="2"/>
    <s v="CM"/>
    <s v="S"/>
    <x v="11"/>
    <x v="18"/>
    <x v="40"/>
    <m/>
    <x v="37"/>
    <m/>
    <x v="3"/>
    <x v="0"/>
    <x v="36"/>
    <m/>
    <x v="13"/>
    <x v="0"/>
    <m/>
    <m/>
    <x v="0"/>
    <x v="1"/>
    <m/>
    <x v="0"/>
    <x v="4"/>
    <x v="652"/>
    <x v="3"/>
    <x v="0"/>
    <x v="1"/>
    <x v="36"/>
    <x v="1496"/>
  </r>
  <r>
    <x v="0"/>
    <n v="944"/>
    <x v="651"/>
    <x v="1"/>
    <s v="LM"/>
    <s v=""/>
    <x v="348"/>
    <x v="2"/>
    <x v="55"/>
    <m/>
    <x v="45"/>
    <m/>
    <x v="3"/>
    <x v="0"/>
    <x v="74"/>
    <d v="2011-05-25T00:00:00"/>
    <x v="6"/>
    <x v="0"/>
    <m/>
    <s v="10º Programa: As Escolhas de Alberto Seixas Santos"/>
    <x v="0"/>
    <x v="1"/>
    <m/>
    <x v="0"/>
    <x v="1"/>
    <x v="653"/>
    <x v="3"/>
    <x v="0"/>
    <x v="1"/>
    <x v="74"/>
    <x v="1497"/>
  </r>
  <r>
    <x v="0"/>
    <n v="947"/>
    <x v="652"/>
    <x v="4"/>
    <s v=""/>
    <s v=""/>
    <x v="77"/>
    <x v="2"/>
    <x v="180"/>
    <m/>
    <x v="134"/>
    <m/>
    <x v="41"/>
    <x v="0"/>
    <x v="21"/>
    <d v="2011-09-14T00:00:00"/>
    <x v="9"/>
    <x v="0"/>
    <m/>
    <m/>
    <x v="0"/>
    <x v="1"/>
    <m/>
    <x v="0"/>
    <x v="7"/>
    <x v="654"/>
    <x v="41"/>
    <x v="0"/>
    <x v="0"/>
    <x v="21"/>
    <x v="1498"/>
  </r>
  <r>
    <x v="0"/>
    <n v="949"/>
    <x v="653"/>
    <x v="1"/>
    <s v="LM"/>
    <s v="S"/>
    <x v="25"/>
    <x v="13"/>
    <x v="102"/>
    <m/>
    <x v="24"/>
    <m/>
    <x v="3"/>
    <x v="0"/>
    <x v="90"/>
    <d v="2011-07-20T00:00:00"/>
    <x v="17"/>
    <x v="0"/>
    <m/>
    <m/>
    <x v="0"/>
    <x v="1"/>
    <m/>
    <x v="0"/>
    <x v="1"/>
    <x v="655"/>
    <x v="3"/>
    <x v="0"/>
    <x v="1"/>
    <x v="90"/>
    <x v="1499"/>
  </r>
  <r>
    <x v="0"/>
    <n v="949"/>
    <x v="653"/>
    <x v="1"/>
    <s v="LM"/>
    <s v="S"/>
    <x v="25"/>
    <x v="13"/>
    <x v="362"/>
    <m/>
    <x v="24"/>
    <m/>
    <x v="3"/>
    <x v="0"/>
    <x v="176"/>
    <d v="2011-09-26T00:00:00"/>
    <x v="28"/>
    <x v="0"/>
    <m/>
    <m/>
    <x v="0"/>
    <x v="1"/>
    <m/>
    <x v="0"/>
    <x v="1"/>
    <x v="655"/>
    <x v="3"/>
    <x v="0"/>
    <x v="1"/>
    <x v="176"/>
    <x v="1500"/>
  </r>
  <r>
    <x v="0"/>
    <n v="950"/>
    <x v="654"/>
    <x v="4"/>
    <s v=""/>
    <s v=""/>
    <x v="284"/>
    <x v="2"/>
    <x v="0"/>
    <m/>
    <x v="0"/>
    <m/>
    <x v="0"/>
    <x v="0"/>
    <x v="0"/>
    <d v="2011-11-06T00:00:00"/>
    <x v="0"/>
    <x v="0"/>
    <m/>
    <s v="Foco Portugal: Programa IndieLisboa"/>
    <x v="0"/>
    <x v="0"/>
    <m/>
    <x v="0"/>
    <x v="7"/>
    <x v="656"/>
    <x v="0"/>
    <x v="0"/>
    <x v="0"/>
    <x v="0"/>
    <x v="1501"/>
  </r>
  <r>
    <x v="0"/>
    <n v="951"/>
    <x v="655"/>
    <x v="4"/>
    <s v=""/>
    <s v="S"/>
    <x v="474"/>
    <x v="2"/>
    <x v="268"/>
    <m/>
    <x v="0"/>
    <m/>
    <x v="0"/>
    <x v="0"/>
    <x v="32"/>
    <d v="2011-06-26T00:00:00"/>
    <x v="7"/>
    <x v="1"/>
    <s v="Mostra Competitiva VIDEOSUL -  curtas e médias-metragens de ficção"/>
    <m/>
    <x v="0"/>
    <x v="0"/>
    <m/>
    <x v="0"/>
    <x v="7"/>
    <x v="657"/>
    <x v="0"/>
    <x v="0"/>
    <x v="0"/>
    <x v="32"/>
    <x v="1502"/>
  </r>
  <r>
    <x v="0"/>
    <n v="952"/>
    <x v="656"/>
    <x v="1"/>
    <s v="CM"/>
    <s v="N"/>
    <x v="20"/>
    <x v="1"/>
    <x v="91"/>
    <m/>
    <x v="70"/>
    <m/>
    <x v="18"/>
    <x v="0"/>
    <x v="82"/>
    <d v="2011-05-06T00:00:00"/>
    <x v="4"/>
    <x v="0"/>
    <m/>
    <s v="Cinemascape: World Cinema Shorts"/>
    <x v="0"/>
    <x v="0"/>
    <m/>
    <x v="0"/>
    <x v="2"/>
    <x v="658"/>
    <x v="18"/>
    <x v="0"/>
    <x v="0"/>
    <x v="82"/>
    <x v="1503"/>
  </r>
  <r>
    <x v="0"/>
    <n v="952"/>
    <x v="656"/>
    <x v="1"/>
    <s v="CM"/>
    <s v="N"/>
    <x v="20"/>
    <x v="1"/>
    <x v="68"/>
    <m/>
    <x v="53"/>
    <m/>
    <x v="3"/>
    <x v="0"/>
    <x v="64"/>
    <d v="2011-07-17T00:00:00"/>
    <x v="8"/>
    <x v="0"/>
    <m/>
    <s v="Panorama Nacional"/>
    <x v="0"/>
    <x v="0"/>
    <m/>
    <x v="0"/>
    <x v="2"/>
    <x v="658"/>
    <x v="3"/>
    <x v="0"/>
    <x v="1"/>
    <x v="64"/>
    <x v="1504"/>
  </r>
  <r>
    <x v="0"/>
    <n v="954"/>
    <x v="657"/>
    <x v="0"/>
    <s v="CM"/>
    <s v="N"/>
    <x v="45"/>
    <x v="2"/>
    <x v="209"/>
    <m/>
    <x v="72"/>
    <m/>
    <x v="15"/>
    <x v="0"/>
    <x v="154"/>
    <d v="2011-09-10T00:00:00"/>
    <x v="20"/>
    <x v="1"/>
    <s v="Orizzonti"/>
    <m/>
    <x v="0"/>
    <x v="1"/>
    <m/>
    <x v="0"/>
    <x v="0"/>
    <x v="659"/>
    <x v="15"/>
    <x v="0"/>
    <x v="0"/>
    <x v="154"/>
    <x v="1505"/>
  </r>
  <r>
    <x v="0"/>
    <n v="954"/>
    <x v="657"/>
    <x v="0"/>
    <s v="CM"/>
    <s v="N"/>
    <x v="45"/>
    <x v="2"/>
    <x v="148"/>
    <m/>
    <x v="113"/>
    <m/>
    <x v="7"/>
    <x v="0"/>
    <x v="119"/>
    <d v="2011-10-14T00:00:00"/>
    <x v="10"/>
    <x v="0"/>
    <m/>
    <s v="Cinema of Our Time"/>
    <x v="0"/>
    <x v="0"/>
    <m/>
    <x v="0"/>
    <x v="0"/>
    <x v="659"/>
    <x v="7"/>
    <x v="0"/>
    <x v="0"/>
    <x v="119"/>
    <x v="1506"/>
  </r>
  <r>
    <x v="0"/>
    <n v="954"/>
    <x v="657"/>
    <x v="0"/>
    <s v="CM"/>
    <s v="N"/>
    <x v="45"/>
    <x v="2"/>
    <x v="149"/>
    <m/>
    <x v="114"/>
    <m/>
    <x v="35"/>
    <x v="0"/>
    <x v="23"/>
    <d v="2011-11-02T00:00:00"/>
    <x v="0"/>
    <x v="0"/>
    <m/>
    <s v="Feature Films"/>
    <x v="0"/>
    <x v="0"/>
    <m/>
    <x v="0"/>
    <x v="0"/>
    <x v="659"/>
    <x v="35"/>
    <x v="0"/>
    <x v="0"/>
    <x v="23"/>
    <x v="1507"/>
  </r>
  <r>
    <x v="0"/>
    <n v="954"/>
    <x v="657"/>
    <x v="0"/>
    <s v="CM"/>
    <s v="N"/>
    <x v="45"/>
    <x v="2"/>
    <x v="151"/>
    <m/>
    <x v="116"/>
    <m/>
    <x v="1"/>
    <x v="0"/>
    <x v="34"/>
    <d v="2011-11-26T00:00:00"/>
    <x v="13"/>
    <x v="0"/>
    <m/>
    <s v="Llendes"/>
    <x v="0"/>
    <x v="0"/>
    <m/>
    <x v="0"/>
    <x v="0"/>
    <x v="659"/>
    <x v="1"/>
    <x v="0"/>
    <x v="0"/>
    <x v="34"/>
    <x v="1508"/>
  </r>
  <r>
    <x v="0"/>
    <n v="954"/>
    <x v="657"/>
    <x v="0"/>
    <s v="CM"/>
    <s v="N"/>
    <x v="45"/>
    <x v="2"/>
    <x v="280"/>
    <m/>
    <x v="196"/>
    <m/>
    <x v="2"/>
    <x v="0"/>
    <x v="93"/>
    <d v="2011-12-04T00:00:00"/>
    <x v="11"/>
    <x v="0"/>
    <m/>
    <s v="Séance Spéciale Hors Compétition"/>
    <x v="0"/>
    <x v="0"/>
    <m/>
    <x v="0"/>
    <x v="0"/>
    <x v="659"/>
    <x v="2"/>
    <x v="0"/>
    <x v="0"/>
    <x v="93"/>
    <x v="1509"/>
  </r>
  <r>
    <x v="0"/>
    <n v="954"/>
    <x v="657"/>
    <x v="0"/>
    <s v="CM"/>
    <s v="N"/>
    <x v="45"/>
    <x v="2"/>
    <x v="96"/>
    <m/>
    <x v="75"/>
    <m/>
    <x v="15"/>
    <x v="0"/>
    <x v="87"/>
    <m/>
    <x v="12"/>
    <x v="0"/>
    <m/>
    <m/>
    <x v="0"/>
    <x v="1"/>
    <m/>
    <x v="0"/>
    <x v="0"/>
    <x v="659"/>
    <x v="15"/>
    <x v="0"/>
    <x v="0"/>
    <x v="87"/>
    <x v="1510"/>
  </r>
  <r>
    <x v="0"/>
    <n v="956"/>
    <x v="658"/>
    <x v="4"/>
    <s v=""/>
    <s v=""/>
    <x v="475"/>
    <x v="2"/>
    <x v="34"/>
    <m/>
    <x v="32"/>
    <m/>
    <x v="3"/>
    <x v="0"/>
    <x v="31"/>
    <d v="2011-05-15T00:00:00"/>
    <x v="6"/>
    <x v="1"/>
    <m/>
    <m/>
    <x v="0"/>
    <x v="0"/>
    <m/>
    <x v="0"/>
    <x v="7"/>
    <x v="660"/>
    <x v="3"/>
    <x v="0"/>
    <x v="1"/>
    <x v="31"/>
    <x v="1511"/>
  </r>
  <r>
    <x v="0"/>
    <n v="958"/>
    <x v="659"/>
    <x v="4"/>
    <s v=""/>
    <s v=""/>
    <x v="476"/>
    <x v="2"/>
    <x v="24"/>
    <m/>
    <x v="24"/>
    <m/>
    <x v="3"/>
    <x v="0"/>
    <x v="22"/>
    <d v="2011-09-24T00:00:00"/>
    <x v="9"/>
    <x v="0"/>
    <m/>
    <s v="Queer Art"/>
    <x v="0"/>
    <x v="0"/>
    <m/>
    <x v="0"/>
    <x v="7"/>
    <x v="661"/>
    <x v="3"/>
    <x v="0"/>
    <x v="1"/>
    <x v="22"/>
    <x v="1512"/>
  </r>
  <r>
    <x v="0"/>
    <n v="961"/>
    <x v="660"/>
    <x v="1"/>
    <s v="LM"/>
    <s v="N"/>
    <x v="90"/>
    <x v="18"/>
    <x v="221"/>
    <m/>
    <x v="5"/>
    <m/>
    <x v="3"/>
    <x v="0"/>
    <x v="218"/>
    <m/>
    <x v="1"/>
    <x v="0"/>
    <m/>
    <m/>
    <x v="0"/>
    <x v="1"/>
    <m/>
    <x v="0"/>
    <x v="1"/>
    <x v="662"/>
    <x v="3"/>
    <x v="0"/>
    <x v="1"/>
    <x v="218"/>
    <x v="1513"/>
  </r>
  <r>
    <x v="0"/>
    <n v="961"/>
    <x v="660"/>
    <x v="1"/>
    <s v="LM"/>
    <s v="N"/>
    <x v="90"/>
    <x v="18"/>
    <x v="62"/>
    <m/>
    <x v="23"/>
    <m/>
    <x v="3"/>
    <x v="0"/>
    <x v="58"/>
    <d v="2011-03-06T00:00:00"/>
    <x v="19"/>
    <x v="0"/>
    <m/>
    <s v="Homenagem a Paulo Trancoso"/>
    <x v="0"/>
    <x v="0"/>
    <m/>
    <x v="0"/>
    <x v="1"/>
    <x v="662"/>
    <x v="3"/>
    <x v="0"/>
    <x v="1"/>
    <x v="58"/>
    <x v="1514"/>
  </r>
  <r>
    <x v="0"/>
    <n v="961"/>
    <x v="660"/>
    <x v="1"/>
    <s v="LM"/>
    <s v="N"/>
    <x v="90"/>
    <x v="18"/>
    <x v="9"/>
    <m/>
    <x v="9"/>
    <m/>
    <x v="3"/>
    <x v="0"/>
    <x v="219"/>
    <m/>
    <x v="2"/>
    <x v="0"/>
    <m/>
    <m/>
    <x v="0"/>
    <x v="1"/>
    <m/>
    <x v="0"/>
    <x v="1"/>
    <x v="662"/>
    <x v="3"/>
    <x v="0"/>
    <x v="1"/>
    <x v="219"/>
    <x v="1515"/>
  </r>
  <r>
    <x v="0"/>
    <n v="961"/>
    <x v="660"/>
    <x v="1"/>
    <s v="LM"/>
    <s v="N"/>
    <x v="90"/>
    <x v="18"/>
    <x v="363"/>
    <m/>
    <x v="244"/>
    <m/>
    <x v="15"/>
    <x v="0"/>
    <x v="82"/>
    <d v="2011-05-06T00:00:00"/>
    <x v="4"/>
    <x v="1"/>
    <s v="Concorso"/>
    <m/>
    <x v="151"/>
    <x v="0"/>
    <m/>
    <x v="1"/>
    <x v="1"/>
    <x v="662"/>
    <x v="15"/>
    <x v="171"/>
    <x v="0"/>
    <x v="82"/>
    <x v="1516"/>
  </r>
  <r>
    <x v="0"/>
    <n v="961"/>
    <x v="660"/>
    <x v="1"/>
    <s v="LM"/>
    <s v="N"/>
    <x v="90"/>
    <x v="18"/>
    <x v="89"/>
    <m/>
    <x v="68"/>
    <m/>
    <x v="1"/>
    <x v="0"/>
    <x v="80"/>
    <d v="2011-10-28T00:00:00"/>
    <x v="14"/>
    <x v="0"/>
    <m/>
    <s v="Foco Documental Portugués"/>
    <x v="0"/>
    <x v="1"/>
    <m/>
    <x v="0"/>
    <x v="1"/>
    <x v="662"/>
    <x v="1"/>
    <x v="0"/>
    <x v="0"/>
    <x v="80"/>
    <x v="1517"/>
  </r>
  <r>
    <x v="0"/>
    <n v="963"/>
    <x v="661"/>
    <x v="0"/>
    <s v="CM"/>
    <s v="S"/>
    <x v="235"/>
    <x v="27"/>
    <x v="3"/>
    <m/>
    <x v="3"/>
    <m/>
    <x v="2"/>
    <x v="0"/>
    <x v="3"/>
    <d v="2011-04-03T00:00:00"/>
    <x v="3"/>
    <x v="0"/>
    <m/>
    <s v="Au Sud de l'Europe - Portugal"/>
    <x v="0"/>
    <x v="0"/>
    <m/>
    <x v="0"/>
    <x v="0"/>
    <x v="663"/>
    <x v="2"/>
    <x v="0"/>
    <x v="0"/>
    <x v="3"/>
    <x v="1518"/>
  </r>
  <r>
    <x v="0"/>
    <n v="964"/>
    <x v="662"/>
    <x v="1"/>
    <s v="LM"/>
    <s v="N"/>
    <x v="311"/>
    <x v="5"/>
    <x v="118"/>
    <m/>
    <x v="24"/>
    <m/>
    <x v="3"/>
    <x v="0"/>
    <x v="99"/>
    <d v="2011-12-03T00:00:00"/>
    <x v="11"/>
    <x v="0"/>
    <m/>
    <m/>
    <x v="0"/>
    <x v="1"/>
    <m/>
    <x v="0"/>
    <x v="1"/>
    <x v="664"/>
    <x v="3"/>
    <x v="0"/>
    <x v="1"/>
    <x v="99"/>
    <x v="1519"/>
  </r>
  <r>
    <x v="0"/>
    <n v="965"/>
    <x v="663"/>
    <x v="0"/>
    <s v="CM"/>
    <s v="N"/>
    <x v="477"/>
    <x v="5"/>
    <x v="34"/>
    <m/>
    <x v="32"/>
    <m/>
    <x v="3"/>
    <x v="0"/>
    <x v="31"/>
    <d v="2011-05-15T00:00:00"/>
    <x v="6"/>
    <x v="1"/>
    <m/>
    <m/>
    <x v="0"/>
    <x v="0"/>
    <m/>
    <x v="0"/>
    <x v="0"/>
    <x v="665"/>
    <x v="3"/>
    <x v="0"/>
    <x v="1"/>
    <x v="31"/>
    <x v="1520"/>
  </r>
  <r>
    <x v="0"/>
    <n v="965"/>
    <x v="663"/>
    <x v="0"/>
    <s v="CM"/>
    <s v="N"/>
    <x v="477"/>
    <x v="5"/>
    <x v="68"/>
    <m/>
    <x v="53"/>
    <m/>
    <x v="3"/>
    <x v="0"/>
    <x v="64"/>
    <d v="2011-07-17T00:00:00"/>
    <x v="8"/>
    <x v="1"/>
    <s v="Take One!"/>
    <m/>
    <x v="0"/>
    <x v="0"/>
    <m/>
    <x v="0"/>
    <x v="0"/>
    <x v="665"/>
    <x v="3"/>
    <x v="0"/>
    <x v="1"/>
    <x v="64"/>
    <x v="1521"/>
  </r>
  <r>
    <x v="0"/>
    <n v="966"/>
    <x v="664"/>
    <x v="4"/>
    <s v=""/>
    <s v=""/>
    <x v="478"/>
    <x v="2"/>
    <x v="161"/>
    <m/>
    <x v="35"/>
    <m/>
    <x v="2"/>
    <x v="0"/>
    <x v="127"/>
    <d v="2011-10-29T00:00:00"/>
    <x v="14"/>
    <x v="0"/>
    <m/>
    <s v="Filmer en région Documentaire 4"/>
    <x v="0"/>
    <x v="0"/>
    <m/>
    <x v="0"/>
    <x v="7"/>
    <x v="666"/>
    <x v="2"/>
    <x v="0"/>
    <x v="0"/>
    <x v="127"/>
    <x v="1522"/>
  </r>
  <r>
    <x v="0"/>
    <n v="967"/>
    <x v="665"/>
    <x v="4"/>
    <s v=""/>
    <s v=""/>
    <x v="479"/>
    <x v="2"/>
    <x v="76"/>
    <m/>
    <x v="58"/>
    <m/>
    <x v="17"/>
    <x v="0"/>
    <x v="67"/>
    <d v="2011-11-30T00:00:00"/>
    <x v="13"/>
    <x v="0"/>
    <m/>
    <m/>
    <x v="0"/>
    <x v="0"/>
    <m/>
    <x v="0"/>
    <x v="7"/>
    <x v="667"/>
    <x v="17"/>
    <x v="0"/>
    <x v="0"/>
    <x v="67"/>
    <x v="1523"/>
  </r>
  <r>
    <x v="0"/>
    <n v="968"/>
    <x v="666"/>
    <x v="2"/>
    <s v="CM"/>
    <s v="S"/>
    <x v="480"/>
    <x v="1"/>
    <x v="61"/>
    <m/>
    <x v="50"/>
    <m/>
    <x v="13"/>
    <x v="0"/>
    <x v="57"/>
    <d v="2011-02-25T00:00:00"/>
    <x v="1"/>
    <x v="0"/>
    <m/>
    <m/>
    <x v="0"/>
    <x v="1"/>
    <m/>
    <x v="0"/>
    <x v="4"/>
    <x v="668"/>
    <x v="13"/>
    <x v="0"/>
    <x v="0"/>
    <x v="57"/>
    <x v="1524"/>
  </r>
  <r>
    <x v="0"/>
    <n v="968"/>
    <x v="666"/>
    <x v="2"/>
    <s v="CM"/>
    <s v="S"/>
    <x v="480"/>
    <x v="1"/>
    <x v="26"/>
    <m/>
    <x v="24"/>
    <m/>
    <x v="3"/>
    <x v="0"/>
    <x v="24"/>
    <d v="2011-03-27T00:00:00"/>
    <x v="2"/>
    <x v="0"/>
    <m/>
    <s v="Retrospectiva &quot;20 Anos da ANIMANOSTRA&quot;"/>
    <x v="0"/>
    <x v="0"/>
    <m/>
    <x v="0"/>
    <x v="4"/>
    <x v="668"/>
    <x v="3"/>
    <x v="0"/>
    <x v="1"/>
    <x v="24"/>
    <x v="1525"/>
  </r>
  <r>
    <x v="0"/>
    <n v="968"/>
    <x v="666"/>
    <x v="2"/>
    <s v="CM"/>
    <s v="S"/>
    <x v="480"/>
    <x v="1"/>
    <x v="34"/>
    <m/>
    <x v="32"/>
    <m/>
    <x v="3"/>
    <x v="0"/>
    <x v="31"/>
    <d v="2011-05-15T00:00:00"/>
    <x v="6"/>
    <x v="1"/>
    <m/>
    <m/>
    <x v="0"/>
    <x v="0"/>
    <m/>
    <x v="0"/>
    <x v="4"/>
    <x v="668"/>
    <x v="3"/>
    <x v="0"/>
    <x v="1"/>
    <x v="31"/>
    <x v="1526"/>
  </r>
  <r>
    <x v="0"/>
    <n v="968"/>
    <x v="666"/>
    <x v="2"/>
    <s v="CM"/>
    <s v="S"/>
    <x v="480"/>
    <x v="1"/>
    <x v="119"/>
    <m/>
    <x v="91"/>
    <m/>
    <x v="28"/>
    <x v="0"/>
    <x v="33"/>
    <d v="2011-06-25T00:00:00"/>
    <x v="7"/>
    <x v="0"/>
    <m/>
    <m/>
    <x v="0"/>
    <x v="1"/>
    <m/>
    <x v="0"/>
    <x v="4"/>
    <x v="668"/>
    <x v="28"/>
    <x v="0"/>
    <x v="0"/>
    <x v="33"/>
    <x v="1527"/>
  </r>
  <r>
    <x v="0"/>
    <n v="968"/>
    <x v="666"/>
    <x v="2"/>
    <s v="CM"/>
    <s v="S"/>
    <x v="480"/>
    <x v="1"/>
    <x v="124"/>
    <m/>
    <x v="95"/>
    <m/>
    <x v="2"/>
    <x v="0"/>
    <x v="9"/>
    <d v="2011-07-09T00:00:00"/>
    <x v="8"/>
    <x v="0"/>
    <m/>
    <s v="L'Animation à l'Honneur - Programmation Casa da Animação 1ère Partie"/>
    <x v="0"/>
    <x v="1"/>
    <m/>
    <x v="0"/>
    <x v="4"/>
    <x v="668"/>
    <x v="2"/>
    <x v="0"/>
    <x v="0"/>
    <x v="9"/>
    <x v="1528"/>
  </r>
  <r>
    <x v="0"/>
    <n v="969"/>
    <x v="667"/>
    <x v="2"/>
    <s v="CM"/>
    <s v="S"/>
    <x v="73"/>
    <x v="1"/>
    <x v="61"/>
    <m/>
    <x v="50"/>
    <m/>
    <x v="13"/>
    <x v="0"/>
    <x v="57"/>
    <d v="2011-02-25T00:00:00"/>
    <x v="1"/>
    <x v="0"/>
    <m/>
    <m/>
    <x v="0"/>
    <x v="1"/>
    <m/>
    <x v="0"/>
    <x v="4"/>
    <x v="669"/>
    <x v="13"/>
    <x v="0"/>
    <x v="0"/>
    <x v="57"/>
    <x v="1529"/>
  </r>
  <r>
    <x v="0"/>
    <n v="969"/>
    <x v="667"/>
    <x v="2"/>
    <s v="CM"/>
    <s v="S"/>
    <x v="73"/>
    <x v="1"/>
    <x v="33"/>
    <m/>
    <x v="31"/>
    <m/>
    <x v="10"/>
    <x v="0"/>
    <x v="30"/>
    <d v="2011-04-03T00:00:00"/>
    <x v="3"/>
    <x v="0"/>
    <m/>
    <m/>
    <x v="0"/>
    <x v="0"/>
    <m/>
    <x v="0"/>
    <x v="4"/>
    <x v="669"/>
    <x v="10"/>
    <x v="0"/>
    <x v="0"/>
    <x v="30"/>
    <x v="1530"/>
  </r>
  <r>
    <x v="0"/>
    <n v="971"/>
    <x v="668"/>
    <x v="4"/>
    <s v=""/>
    <s v=""/>
    <x v="481"/>
    <x v="2"/>
    <x v="26"/>
    <m/>
    <x v="24"/>
    <m/>
    <x v="3"/>
    <x v="0"/>
    <x v="24"/>
    <d v="2011-03-27T00:00:00"/>
    <x v="2"/>
    <x v="0"/>
    <m/>
    <s v="Retrospectiva &quot;20 Anos da ANIMANOSTRA&quot;"/>
    <x v="0"/>
    <x v="0"/>
    <m/>
    <x v="0"/>
    <x v="7"/>
    <x v="670"/>
    <x v="3"/>
    <x v="0"/>
    <x v="1"/>
    <x v="24"/>
    <x v="1531"/>
  </r>
  <r>
    <x v="0"/>
    <n v="974"/>
    <x v="669"/>
    <x v="0"/>
    <s v="CM"/>
    <s v="S"/>
    <x v="316"/>
    <x v="13"/>
    <x v="30"/>
    <m/>
    <x v="28"/>
    <m/>
    <x v="8"/>
    <x v="0"/>
    <x v="28"/>
    <d v="2011-03-20T00:00:00"/>
    <x v="2"/>
    <x v="0"/>
    <m/>
    <s v="A Portuguesa 1 - Journeys"/>
    <x v="0"/>
    <x v="0"/>
    <m/>
    <x v="0"/>
    <x v="0"/>
    <x v="671"/>
    <x v="8"/>
    <x v="0"/>
    <x v="0"/>
    <x v="28"/>
    <x v="1532"/>
  </r>
  <r>
    <x v="0"/>
    <n v="976"/>
    <x v="670"/>
    <x v="0"/>
    <s v="CM"/>
    <s v="N"/>
    <x v="482"/>
    <x v="3"/>
    <x v="68"/>
    <m/>
    <x v="53"/>
    <m/>
    <x v="3"/>
    <x v="0"/>
    <x v="64"/>
    <d v="2011-07-17T00:00:00"/>
    <x v="8"/>
    <x v="1"/>
    <s v="Competição Nacional"/>
    <m/>
    <x v="85"/>
    <x v="0"/>
    <m/>
    <x v="1"/>
    <x v="0"/>
    <x v="672"/>
    <x v="3"/>
    <x v="100"/>
    <x v="1"/>
    <x v="64"/>
    <x v="1533"/>
  </r>
  <r>
    <x v="0"/>
    <n v="976"/>
    <x v="670"/>
    <x v="0"/>
    <s v="CM"/>
    <s v="N"/>
    <x v="482"/>
    <x v="3"/>
    <x v="133"/>
    <m/>
    <x v="101"/>
    <m/>
    <x v="3"/>
    <x v="0"/>
    <x v="108"/>
    <d v="2011-12-11T00:00:00"/>
    <x v="12"/>
    <x v="1"/>
    <s v="Sessão Competitiva de Curtas Metragens 1"/>
    <m/>
    <x v="0"/>
    <x v="0"/>
    <m/>
    <x v="0"/>
    <x v="0"/>
    <x v="672"/>
    <x v="3"/>
    <x v="0"/>
    <x v="1"/>
    <x v="108"/>
    <x v="1534"/>
  </r>
  <r>
    <x v="0"/>
    <n v="977"/>
    <x v="671"/>
    <x v="0"/>
    <s v="LM"/>
    <s v="S"/>
    <x v="374"/>
    <x v="20"/>
    <x v="300"/>
    <m/>
    <x v="206"/>
    <m/>
    <x v="3"/>
    <x v="0"/>
    <x v="21"/>
    <d v="2011-11-09T00:00:00"/>
    <x v="27"/>
    <x v="0"/>
    <m/>
    <m/>
    <x v="0"/>
    <x v="1"/>
    <m/>
    <x v="0"/>
    <x v="5"/>
    <x v="673"/>
    <x v="3"/>
    <x v="0"/>
    <x v="1"/>
    <x v="21"/>
    <x v="1535"/>
  </r>
  <r>
    <x v="0"/>
    <n v="978"/>
    <x v="672"/>
    <x v="1"/>
    <s v="LM"/>
    <s v="S"/>
    <x v="483"/>
    <x v="5"/>
    <x v="55"/>
    <m/>
    <x v="45"/>
    <m/>
    <x v="3"/>
    <x v="0"/>
    <x v="164"/>
    <d v="2011-04-27T00:00:00"/>
    <x v="5"/>
    <x v="0"/>
    <m/>
    <s v="9º Programa: As Escolhas de Catarina Mourão"/>
    <x v="0"/>
    <x v="1"/>
    <m/>
    <x v="0"/>
    <x v="1"/>
    <x v="674"/>
    <x v="3"/>
    <x v="0"/>
    <x v="1"/>
    <x v="164"/>
    <x v="1536"/>
  </r>
  <r>
    <x v="0"/>
    <n v="979"/>
    <x v="673"/>
    <x v="0"/>
    <s v="LM"/>
    <s v="S"/>
    <x v="439"/>
    <x v="27"/>
    <x v="228"/>
    <m/>
    <x v="159"/>
    <m/>
    <x v="46"/>
    <x v="0"/>
    <x v="39"/>
    <d v="2011-11-20T00:00:00"/>
    <x v="0"/>
    <x v="0"/>
    <m/>
    <m/>
    <x v="0"/>
    <x v="0"/>
    <m/>
    <x v="0"/>
    <x v="5"/>
    <x v="675"/>
    <x v="46"/>
    <x v="0"/>
    <x v="0"/>
    <x v="39"/>
    <x v="1537"/>
  </r>
  <r>
    <x v="0"/>
    <n v="979"/>
    <x v="673"/>
    <x v="0"/>
    <s v="LM"/>
    <s v="S"/>
    <x v="439"/>
    <x v="27"/>
    <x v="364"/>
    <m/>
    <x v="245"/>
    <m/>
    <x v="21"/>
    <x v="8"/>
    <x v="78"/>
    <m/>
    <x v="30"/>
    <x v="0"/>
    <m/>
    <m/>
    <x v="0"/>
    <x v="1"/>
    <s v="Junho a Novº"/>
    <x v="0"/>
    <x v="5"/>
    <x v="675"/>
    <x v="21"/>
    <x v="0"/>
    <x v="0"/>
    <x v="78"/>
    <x v="1538"/>
  </r>
  <r>
    <x v="0"/>
    <n v="981"/>
    <x v="674"/>
    <x v="0"/>
    <s v="CM"/>
    <s v="N"/>
    <x v="298"/>
    <x v="5"/>
    <x v="165"/>
    <m/>
    <x v="65"/>
    <m/>
    <x v="9"/>
    <x v="0"/>
    <x v="111"/>
    <m/>
    <x v="16"/>
    <x v="0"/>
    <m/>
    <m/>
    <x v="0"/>
    <x v="1"/>
    <m/>
    <x v="0"/>
    <x v="0"/>
    <x v="676"/>
    <x v="9"/>
    <x v="0"/>
    <x v="0"/>
    <x v="111"/>
    <x v="1539"/>
  </r>
  <r>
    <x v="0"/>
    <n v="981"/>
    <x v="674"/>
    <x v="0"/>
    <s v="CM"/>
    <s v="N"/>
    <x v="298"/>
    <x v="5"/>
    <x v="21"/>
    <m/>
    <x v="21"/>
    <m/>
    <x v="3"/>
    <x v="0"/>
    <x v="15"/>
    <d v="2011-12-03T00:00:00"/>
    <x v="12"/>
    <x v="1"/>
    <s v="Curtas Ficção"/>
    <m/>
    <x v="0"/>
    <x v="0"/>
    <m/>
    <x v="0"/>
    <x v="0"/>
    <x v="676"/>
    <x v="3"/>
    <x v="0"/>
    <x v="1"/>
    <x v="15"/>
    <x v="1540"/>
  </r>
  <r>
    <x v="0"/>
    <n v="986"/>
    <x v="675"/>
    <x v="1"/>
    <s v="CM"/>
    <s v="N"/>
    <x v="484"/>
    <x v="5"/>
    <x v="23"/>
    <m/>
    <x v="23"/>
    <m/>
    <x v="3"/>
    <x v="0"/>
    <x v="21"/>
    <d v="2011-09-23T00:00:00"/>
    <x v="9"/>
    <x v="0"/>
    <m/>
    <m/>
    <x v="0"/>
    <x v="1"/>
    <m/>
    <x v="0"/>
    <x v="2"/>
    <x v="677"/>
    <x v="3"/>
    <x v="0"/>
    <x v="1"/>
    <x v="21"/>
    <x v="1541"/>
  </r>
  <r>
    <x v="0"/>
    <n v="987"/>
    <x v="676"/>
    <x v="4"/>
    <s v=""/>
    <s v=""/>
    <x v="151"/>
    <x v="2"/>
    <x v="133"/>
    <m/>
    <x v="101"/>
    <m/>
    <x v="3"/>
    <x v="0"/>
    <x v="108"/>
    <d v="2011-12-11T00:00:00"/>
    <x v="12"/>
    <x v="0"/>
    <m/>
    <s v="Pedro Hestnes - Homenagem Póstuma"/>
    <x v="0"/>
    <x v="0"/>
    <m/>
    <x v="0"/>
    <x v="7"/>
    <x v="678"/>
    <x v="3"/>
    <x v="0"/>
    <x v="1"/>
    <x v="108"/>
    <x v="1542"/>
  </r>
  <r>
    <x v="0"/>
    <n v="989"/>
    <x v="677"/>
    <x v="0"/>
    <s v="CM"/>
    <s v="S"/>
    <x v="485"/>
    <x v="5"/>
    <x v="19"/>
    <m/>
    <x v="19"/>
    <m/>
    <x v="0"/>
    <x v="0"/>
    <x v="18"/>
    <d v="2011-05-15T00:00:00"/>
    <x v="6"/>
    <x v="0"/>
    <m/>
    <s v="Mostras Paralelas - FAIAL FILMES FEST"/>
    <x v="0"/>
    <x v="0"/>
    <m/>
    <x v="0"/>
    <x v="0"/>
    <x v="679"/>
    <x v="0"/>
    <x v="0"/>
    <x v="0"/>
    <x v="18"/>
    <x v="1543"/>
  </r>
  <r>
    <x v="0"/>
    <n v="989"/>
    <x v="677"/>
    <x v="0"/>
    <s v="CM"/>
    <s v="S"/>
    <x v="485"/>
    <x v="5"/>
    <x v="93"/>
    <m/>
    <x v="72"/>
    <m/>
    <x v="15"/>
    <x v="0"/>
    <x v="84"/>
    <d v="2011-09-03T00:00:00"/>
    <x v="9"/>
    <x v="1"/>
    <s v="Off International 4"/>
    <m/>
    <x v="0"/>
    <x v="0"/>
    <m/>
    <x v="0"/>
    <x v="0"/>
    <x v="679"/>
    <x v="15"/>
    <x v="0"/>
    <x v="0"/>
    <x v="84"/>
    <x v="1544"/>
  </r>
  <r>
    <x v="0"/>
    <n v="989"/>
    <x v="677"/>
    <x v="0"/>
    <s v="CM"/>
    <s v="S"/>
    <x v="485"/>
    <x v="5"/>
    <x v="10"/>
    <m/>
    <x v="10"/>
    <m/>
    <x v="0"/>
    <x v="0"/>
    <x v="10"/>
    <d v="2011-09-25T00:00:00"/>
    <x v="9"/>
    <x v="1"/>
    <s v="Andorinha Curta  Ficção"/>
    <m/>
    <x v="0"/>
    <x v="0"/>
    <m/>
    <x v="0"/>
    <x v="0"/>
    <x v="679"/>
    <x v="0"/>
    <x v="0"/>
    <x v="0"/>
    <x v="10"/>
    <x v="1545"/>
  </r>
  <r>
    <x v="0"/>
    <n v="989"/>
    <x v="677"/>
    <x v="0"/>
    <s v="CM"/>
    <s v="S"/>
    <x v="485"/>
    <x v="5"/>
    <x v="78"/>
    <m/>
    <x v="59"/>
    <m/>
    <x v="3"/>
    <x v="0"/>
    <x v="66"/>
    <d v="2011-10-30T00:00:00"/>
    <x v="14"/>
    <x v="1"/>
    <s v="Competição Nacional"/>
    <m/>
    <x v="0"/>
    <x v="0"/>
    <m/>
    <x v="0"/>
    <x v="0"/>
    <x v="679"/>
    <x v="3"/>
    <x v="0"/>
    <x v="1"/>
    <x v="66"/>
    <x v="1546"/>
  </r>
  <r>
    <x v="0"/>
    <n v="989"/>
    <x v="677"/>
    <x v="0"/>
    <s v="CM"/>
    <s v="S"/>
    <x v="485"/>
    <x v="5"/>
    <x v="0"/>
    <m/>
    <x v="0"/>
    <m/>
    <x v="0"/>
    <x v="0"/>
    <x v="0"/>
    <d v="2011-11-06T00:00:00"/>
    <x v="0"/>
    <x v="0"/>
    <m/>
    <s v="Foco Portugal: Programa Onda Curta"/>
    <x v="0"/>
    <x v="0"/>
    <m/>
    <x v="0"/>
    <x v="0"/>
    <x v="679"/>
    <x v="0"/>
    <x v="0"/>
    <x v="0"/>
    <x v="0"/>
    <x v="1547"/>
  </r>
  <r>
    <x v="0"/>
    <n v="989"/>
    <x v="677"/>
    <x v="0"/>
    <s v="CM"/>
    <s v="S"/>
    <x v="485"/>
    <x v="5"/>
    <x v="103"/>
    <m/>
    <x v="80"/>
    <m/>
    <x v="2"/>
    <x v="0"/>
    <x v="91"/>
    <d v="2012-12-10T00:00:00"/>
    <x v="12"/>
    <x v="0"/>
    <m/>
    <s v="Carnets de Voyage 1: Onda Curta RTP2"/>
    <x v="0"/>
    <x v="0"/>
    <m/>
    <x v="0"/>
    <x v="0"/>
    <x v="679"/>
    <x v="2"/>
    <x v="0"/>
    <x v="0"/>
    <x v="91"/>
    <x v="1548"/>
  </r>
  <r>
    <x v="0"/>
    <n v="990"/>
    <x v="678"/>
    <x v="0"/>
    <s v="CM"/>
    <s v="N"/>
    <x v="486"/>
    <x v="3"/>
    <x v="112"/>
    <m/>
    <x v="23"/>
    <m/>
    <x v="3"/>
    <x v="0"/>
    <x v="97"/>
    <d v="2011-05-14T00:00:00"/>
    <x v="6"/>
    <x v="1"/>
    <s v="Competição Vídeo 3"/>
    <m/>
    <x v="152"/>
    <x v="0"/>
    <m/>
    <x v="1"/>
    <x v="0"/>
    <x v="680"/>
    <x v="3"/>
    <x v="172"/>
    <x v="1"/>
    <x v="97"/>
    <x v="1549"/>
  </r>
  <r>
    <x v="0"/>
    <n v="990"/>
    <x v="678"/>
    <x v="0"/>
    <s v="CM"/>
    <s v="N"/>
    <x v="486"/>
    <x v="3"/>
    <x v="25"/>
    <m/>
    <x v="24"/>
    <m/>
    <x v="3"/>
    <x v="0"/>
    <x v="23"/>
    <d v="2011-10-30T00:00:00"/>
    <x v="14"/>
    <x v="1"/>
    <s v="Competição Portuguesa - Curtas"/>
    <m/>
    <x v="0"/>
    <x v="0"/>
    <m/>
    <x v="0"/>
    <x v="0"/>
    <x v="680"/>
    <x v="3"/>
    <x v="0"/>
    <x v="1"/>
    <x v="23"/>
    <x v="1550"/>
  </r>
  <r>
    <x v="0"/>
    <n v="990"/>
    <x v="678"/>
    <x v="0"/>
    <s v="CM"/>
    <s v="N"/>
    <x v="486"/>
    <x v="3"/>
    <x v="22"/>
    <m/>
    <x v="22"/>
    <m/>
    <x v="3"/>
    <x v="0"/>
    <x v="20"/>
    <d v="2011-11-17T00:00:00"/>
    <x v="13"/>
    <x v="1"/>
    <s v="Ensaios Visuais 3"/>
    <m/>
    <x v="153"/>
    <x v="0"/>
    <m/>
    <x v="1"/>
    <x v="0"/>
    <x v="680"/>
    <x v="3"/>
    <x v="173"/>
    <x v="1"/>
    <x v="20"/>
    <x v="1551"/>
  </r>
  <r>
    <x v="0"/>
    <n v="889"/>
    <x v="679"/>
    <x v="2"/>
    <s v="LM"/>
    <s v="N"/>
    <x v="487"/>
    <x v="5"/>
    <x v="63"/>
    <m/>
    <x v="24"/>
    <m/>
    <x v="3"/>
    <x v="0"/>
    <x v="59"/>
    <d v="2011-05-01T00:00:00"/>
    <x v="4"/>
    <x v="0"/>
    <m/>
    <s v="Sessão Especial Infantil"/>
    <x v="0"/>
    <x v="0"/>
    <m/>
    <x v="0"/>
    <x v="10"/>
    <x v="681"/>
    <x v="3"/>
    <x v="0"/>
    <x v="1"/>
    <x v="59"/>
    <x v="1552"/>
  </r>
  <r>
    <x v="0"/>
    <n v="991"/>
    <x v="680"/>
    <x v="1"/>
    <s v="CM"/>
    <s v="N"/>
    <x v="488"/>
    <x v="18"/>
    <x v="265"/>
    <m/>
    <x v="186"/>
    <m/>
    <x v="3"/>
    <x v="0"/>
    <x v="176"/>
    <d v="2011-07-31T00:00:00"/>
    <x v="8"/>
    <x v="0"/>
    <m/>
    <m/>
    <x v="0"/>
    <x v="1"/>
    <m/>
    <x v="0"/>
    <x v="2"/>
    <x v="682"/>
    <x v="3"/>
    <x v="0"/>
    <x v="1"/>
    <x v="176"/>
    <x v="1553"/>
  </r>
  <r>
    <x v="0"/>
    <n v="992"/>
    <x v="681"/>
    <x v="4"/>
    <s v=""/>
    <s v=""/>
    <x v="489"/>
    <x v="2"/>
    <x v="184"/>
    <m/>
    <x v="135"/>
    <m/>
    <x v="2"/>
    <x v="0"/>
    <x v="97"/>
    <d v="2011-05-22T00:00:00"/>
    <x v="6"/>
    <x v="0"/>
    <m/>
    <s v="Semaine de la Critique - Nisi Masa (Istambul Express Project)"/>
    <x v="0"/>
    <x v="0"/>
    <m/>
    <x v="0"/>
    <x v="7"/>
    <x v="683"/>
    <x v="2"/>
    <x v="0"/>
    <x v="0"/>
    <x v="97"/>
    <x v="1554"/>
  </r>
  <r>
    <x v="0"/>
    <n v="993"/>
    <x v="682"/>
    <x v="0"/>
    <s v="LM"/>
    <s v="S"/>
    <x v="490"/>
    <x v="3"/>
    <x v="188"/>
    <m/>
    <x v="0"/>
    <m/>
    <x v="0"/>
    <x v="0"/>
    <x v="77"/>
    <d v="2011-10-18T00:00:00"/>
    <x v="14"/>
    <x v="0"/>
    <m/>
    <s v="Expectativa"/>
    <x v="0"/>
    <x v="0"/>
    <m/>
    <x v="0"/>
    <x v="5"/>
    <x v="684"/>
    <x v="0"/>
    <x v="0"/>
    <x v="0"/>
    <x v="77"/>
    <x v="1555"/>
  </r>
  <r>
    <x v="0"/>
    <n v="994"/>
    <x v="683"/>
    <x v="4"/>
    <s v=""/>
    <s v=""/>
    <x v="491"/>
    <x v="2"/>
    <x v="107"/>
    <m/>
    <x v="83"/>
    <m/>
    <x v="3"/>
    <x v="0"/>
    <x v="25"/>
    <d v="2011-11-10T00:00:00"/>
    <x v="13"/>
    <x v="1"/>
    <m/>
    <m/>
    <x v="0"/>
    <x v="0"/>
    <m/>
    <x v="0"/>
    <x v="7"/>
    <x v="685"/>
    <x v="3"/>
    <x v="0"/>
    <x v="1"/>
    <x v="25"/>
    <x v="1556"/>
  </r>
  <r>
    <x v="0"/>
    <n v="997"/>
    <x v="684"/>
    <x v="0"/>
    <s v="CM"/>
    <s v="N"/>
    <x v="37"/>
    <x v="5"/>
    <x v="68"/>
    <m/>
    <x v="53"/>
    <m/>
    <x v="3"/>
    <x v="0"/>
    <x v="64"/>
    <d v="2011-07-17T00:00:00"/>
    <x v="8"/>
    <x v="1"/>
    <s v="Competição Experimental"/>
    <m/>
    <x v="0"/>
    <x v="0"/>
    <m/>
    <x v="0"/>
    <x v="0"/>
    <x v="686"/>
    <x v="3"/>
    <x v="0"/>
    <x v="1"/>
    <x v="64"/>
    <x v="1557"/>
  </r>
  <r>
    <x v="0"/>
    <n v="999"/>
    <x v="685"/>
    <x v="4"/>
    <s v=""/>
    <s v=""/>
    <x v="492"/>
    <x v="2"/>
    <x v="70"/>
    <m/>
    <x v="38"/>
    <m/>
    <x v="3"/>
    <x v="0"/>
    <x v="19"/>
    <d v="2011-09-11T00:00:00"/>
    <x v="9"/>
    <x v="1"/>
    <s v="2ª Sessão Competitiva"/>
    <m/>
    <x v="0"/>
    <x v="0"/>
    <m/>
    <x v="0"/>
    <x v="7"/>
    <x v="687"/>
    <x v="3"/>
    <x v="0"/>
    <x v="1"/>
    <x v="19"/>
    <x v="1558"/>
  </r>
  <r>
    <x v="0"/>
    <n v="1001"/>
    <x v="686"/>
    <x v="1"/>
    <s v="CM"/>
    <s v="N"/>
    <x v="468"/>
    <x v="3"/>
    <x v="25"/>
    <m/>
    <x v="24"/>
    <m/>
    <x v="3"/>
    <x v="0"/>
    <x v="23"/>
    <d v="2011-10-30T00:00:00"/>
    <x v="14"/>
    <x v="1"/>
    <s v="Competição Portuguesa - Curtas"/>
    <m/>
    <x v="154"/>
    <x v="0"/>
    <m/>
    <x v="1"/>
    <x v="2"/>
    <x v="688"/>
    <x v="3"/>
    <x v="174"/>
    <x v="1"/>
    <x v="23"/>
    <x v="1559"/>
  </r>
  <r>
    <x v="0"/>
    <n v="1001"/>
    <x v="686"/>
    <x v="1"/>
    <s v="CM"/>
    <s v="N"/>
    <x v="468"/>
    <x v="3"/>
    <x v="22"/>
    <m/>
    <x v="22"/>
    <m/>
    <x v="3"/>
    <x v="0"/>
    <x v="20"/>
    <d v="2011-11-17T00:00:00"/>
    <x v="13"/>
    <x v="1"/>
    <s v="Sessão Competitiva 14"/>
    <m/>
    <x v="0"/>
    <x v="0"/>
    <m/>
    <x v="0"/>
    <x v="2"/>
    <x v="688"/>
    <x v="3"/>
    <x v="0"/>
    <x v="1"/>
    <x v="20"/>
    <x v="1560"/>
  </r>
  <r>
    <x v="0"/>
    <n v="1001"/>
    <x v="686"/>
    <x v="1"/>
    <s v="CM"/>
    <s v="N"/>
    <x v="468"/>
    <x v="3"/>
    <x v="133"/>
    <m/>
    <x v="101"/>
    <m/>
    <x v="3"/>
    <x v="0"/>
    <x v="108"/>
    <d v="2011-12-11T00:00:00"/>
    <x v="12"/>
    <x v="1"/>
    <s v="Sessão Competitiva de Curtas Metragens 1"/>
    <m/>
    <x v="0"/>
    <x v="0"/>
    <m/>
    <x v="0"/>
    <x v="2"/>
    <x v="688"/>
    <x v="3"/>
    <x v="0"/>
    <x v="1"/>
    <x v="108"/>
    <x v="1561"/>
  </r>
  <r>
    <x v="0"/>
    <n v="1002"/>
    <x v="687"/>
    <x v="0"/>
    <s v="CM"/>
    <s v="N"/>
    <x v="493"/>
    <x v="2"/>
    <x v="120"/>
    <m/>
    <x v="83"/>
    <m/>
    <x v="3"/>
    <x v="0"/>
    <x v="16"/>
    <d v="2011-12-04T00:00:00"/>
    <x v="12"/>
    <x v="1"/>
    <s v="Cineastas: Ficção"/>
    <m/>
    <x v="0"/>
    <x v="0"/>
    <m/>
    <x v="0"/>
    <x v="0"/>
    <x v="689"/>
    <x v="3"/>
    <x v="0"/>
    <x v="1"/>
    <x v="16"/>
    <x v="1562"/>
  </r>
  <r>
    <x v="0"/>
    <n v="1003"/>
    <x v="688"/>
    <x v="4"/>
    <s v=""/>
    <s v=""/>
    <x v="494"/>
    <x v="2"/>
    <x v="63"/>
    <m/>
    <x v="24"/>
    <m/>
    <x v="3"/>
    <x v="0"/>
    <x v="59"/>
    <d v="2011-05-01T00:00:00"/>
    <x v="4"/>
    <x v="0"/>
    <m/>
    <s v="Cinema para a Inclusão"/>
    <x v="0"/>
    <x v="0"/>
    <m/>
    <x v="0"/>
    <x v="7"/>
    <x v="690"/>
    <x v="3"/>
    <x v="0"/>
    <x v="1"/>
    <x v="59"/>
    <x v="1563"/>
  </r>
  <r>
    <x v="0"/>
    <n v="1004"/>
    <x v="689"/>
    <x v="0"/>
    <s v="CM"/>
    <s v="N"/>
    <x v="495"/>
    <x v="3"/>
    <x v="97"/>
    <m/>
    <x v="76"/>
    <m/>
    <x v="3"/>
    <x v="0"/>
    <x v="86"/>
    <d v="2011-11-19T00:00:00"/>
    <x v="13"/>
    <x v="1"/>
    <s v="Première Madeira"/>
    <m/>
    <x v="0"/>
    <x v="0"/>
    <m/>
    <x v="0"/>
    <x v="0"/>
    <x v="691"/>
    <x v="3"/>
    <x v="0"/>
    <x v="1"/>
    <x v="86"/>
    <x v="1564"/>
  </r>
  <r>
    <x v="0"/>
    <n v="1007"/>
    <x v="690"/>
    <x v="4"/>
    <s v=""/>
    <s v=""/>
    <x v="496"/>
    <x v="2"/>
    <x v="34"/>
    <m/>
    <x v="32"/>
    <m/>
    <x v="3"/>
    <x v="0"/>
    <x v="31"/>
    <d v="2011-05-15T00:00:00"/>
    <x v="6"/>
    <x v="1"/>
    <m/>
    <m/>
    <x v="0"/>
    <x v="0"/>
    <m/>
    <x v="0"/>
    <x v="7"/>
    <x v="692"/>
    <x v="3"/>
    <x v="0"/>
    <x v="1"/>
    <x v="31"/>
    <x v="1565"/>
  </r>
  <r>
    <x v="0"/>
    <n v="1008"/>
    <x v="691"/>
    <x v="4"/>
    <s v=""/>
    <s v=""/>
    <x v="35"/>
    <x v="2"/>
    <x v="81"/>
    <m/>
    <x v="61"/>
    <m/>
    <x v="2"/>
    <x v="0"/>
    <x v="71"/>
    <d v="2011-02-12T00:00:00"/>
    <x v="1"/>
    <x v="0"/>
    <m/>
    <s v="Décibels 1"/>
    <x v="0"/>
    <x v="0"/>
    <m/>
    <x v="0"/>
    <x v="7"/>
    <x v="693"/>
    <x v="2"/>
    <x v="0"/>
    <x v="0"/>
    <x v="71"/>
    <x v="1566"/>
  </r>
  <r>
    <x v="0"/>
    <n v="1009"/>
    <x v="692"/>
    <x v="4"/>
    <s v=""/>
    <s v=""/>
    <x v="497"/>
    <x v="2"/>
    <x v="26"/>
    <m/>
    <x v="24"/>
    <m/>
    <x v="3"/>
    <x v="0"/>
    <x v="24"/>
    <d v="2011-03-27T00:00:00"/>
    <x v="2"/>
    <x v="1"/>
    <s v="Curtíssimas"/>
    <m/>
    <x v="0"/>
    <x v="0"/>
    <m/>
    <x v="0"/>
    <x v="7"/>
    <x v="694"/>
    <x v="3"/>
    <x v="0"/>
    <x v="1"/>
    <x v="24"/>
    <x v="1567"/>
  </r>
  <r>
    <x v="0"/>
    <n v="1010"/>
    <x v="693"/>
    <x v="4"/>
    <s v=""/>
    <s v=""/>
    <x v="497"/>
    <x v="2"/>
    <x v="26"/>
    <m/>
    <x v="24"/>
    <m/>
    <x v="3"/>
    <x v="0"/>
    <x v="24"/>
    <d v="2011-03-27T00:00:00"/>
    <x v="2"/>
    <x v="1"/>
    <s v="Curtíssimas"/>
    <m/>
    <x v="0"/>
    <x v="0"/>
    <m/>
    <x v="0"/>
    <x v="7"/>
    <x v="695"/>
    <x v="3"/>
    <x v="0"/>
    <x v="1"/>
    <x v="24"/>
    <x v="1568"/>
  </r>
  <r>
    <x v="0"/>
    <n v="1011"/>
    <x v="694"/>
    <x v="4"/>
    <s v=""/>
    <s v=""/>
    <x v="205"/>
    <x v="2"/>
    <x v="26"/>
    <m/>
    <x v="24"/>
    <m/>
    <x v="3"/>
    <x v="0"/>
    <x v="24"/>
    <d v="2011-03-27T00:00:00"/>
    <x v="2"/>
    <x v="1"/>
    <s v="Curtíssimas"/>
    <m/>
    <x v="0"/>
    <x v="0"/>
    <m/>
    <x v="0"/>
    <x v="7"/>
    <x v="696"/>
    <x v="3"/>
    <x v="0"/>
    <x v="1"/>
    <x v="24"/>
    <x v="1569"/>
  </r>
  <r>
    <x v="0"/>
    <n v="1014"/>
    <x v="695"/>
    <x v="1"/>
    <s v="LM"/>
    <s v="N"/>
    <x v="47"/>
    <x v="5"/>
    <x v="156"/>
    <m/>
    <x v="49"/>
    <m/>
    <x v="3"/>
    <x v="0"/>
    <x v="220"/>
    <m/>
    <x v="15"/>
    <x v="0"/>
    <m/>
    <m/>
    <x v="0"/>
    <x v="1"/>
    <m/>
    <x v="0"/>
    <x v="1"/>
    <x v="697"/>
    <x v="3"/>
    <x v="0"/>
    <x v="1"/>
    <x v="220"/>
    <x v="1570"/>
  </r>
  <r>
    <x v="0"/>
    <n v="1014"/>
    <x v="695"/>
    <x v="1"/>
    <s v="LM"/>
    <s v="N"/>
    <x v="47"/>
    <x v="5"/>
    <x v="221"/>
    <m/>
    <x v="5"/>
    <m/>
    <x v="3"/>
    <x v="0"/>
    <x v="185"/>
    <m/>
    <x v="1"/>
    <x v="0"/>
    <m/>
    <m/>
    <x v="0"/>
    <x v="1"/>
    <m/>
    <x v="0"/>
    <x v="1"/>
    <x v="697"/>
    <x v="3"/>
    <x v="0"/>
    <x v="1"/>
    <x v="185"/>
    <x v="1571"/>
  </r>
  <r>
    <x v="0"/>
    <n v="1016"/>
    <x v="696"/>
    <x v="0"/>
    <s v="CM"/>
    <s v="N"/>
    <x v="498"/>
    <x v="2"/>
    <x v="62"/>
    <m/>
    <x v="23"/>
    <m/>
    <x v="3"/>
    <x v="0"/>
    <x v="58"/>
    <d v="2011-03-06T00:00:00"/>
    <x v="19"/>
    <x v="0"/>
    <m/>
    <s v="Panorama do Cinema Português"/>
    <x v="0"/>
    <x v="0"/>
    <m/>
    <x v="0"/>
    <x v="0"/>
    <x v="698"/>
    <x v="3"/>
    <x v="0"/>
    <x v="1"/>
    <x v="58"/>
    <x v="1572"/>
  </r>
  <r>
    <x v="0"/>
    <n v="1015"/>
    <x v="696"/>
    <x v="0"/>
    <s v="CM"/>
    <s v="N"/>
    <x v="499"/>
    <x v="2"/>
    <x v="22"/>
    <m/>
    <x v="22"/>
    <m/>
    <x v="3"/>
    <x v="0"/>
    <x v="20"/>
    <d v="2011-11-17T00:00:00"/>
    <x v="13"/>
    <x v="1"/>
    <s v="Sessão Competitiva 6"/>
    <m/>
    <x v="0"/>
    <x v="0"/>
    <m/>
    <x v="0"/>
    <x v="0"/>
    <x v="699"/>
    <x v="3"/>
    <x v="0"/>
    <x v="1"/>
    <x v="20"/>
    <x v="1573"/>
  </r>
  <r>
    <x v="0"/>
    <n v="1017"/>
    <x v="697"/>
    <x v="4"/>
    <s v=""/>
    <s v=""/>
    <x v="500"/>
    <x v="2"/>
    <x v="77"/>
    <m/>
    <x v="32"/>
    <m/>
    <x v="3"/>
    <x v="0"/>
    <x v="68"/>
    <m/>
    <x v="16"/>
    <x v="0"/>
    <m/>
    <m/>
    <x v="0"/>
    <x v="1"/>
    <m/>
    <x v="0"/>
    <x v="7"/>
    <x v="700"/>
    <x v="3"/>
    <x v="0"/>
    <x v="1"/>
    <x v="68"/>
    <x v="1574"/>
  </r>
  <r>
    <x v="0"/>
    <n v="1021"/>
    <x v="698"/>
    <x v="0"/>
    <s v="CM"/>
    <s v="N"/>
    <x v="501"/>
    <x v="2"/>
    <x v="62"/>
    <m/>
    <x v="23"/>
    <m/>
    <x v="3"/>
    <x v="0"/>
    <x v="58"/>
    <d v="2011-03-06T00:00:00"/>
    <x v="19"/>
    <x v="0"/>
    <m/>
    <s v="Panorama do Cinema Português"/>
    <x v="0"/>
    <x v="0"/>
    <m/>
    <x v="0"/>
    <x v="0"/>
    <x v="701"/>
    <x v="3"/>
    <x v="0"/>
    <x v="1"/>
    <x v="58"/>
    <x v="1575"/>
  </r>
  <r>
    <x v="0"/>
    <n v="1021"/>
    <x v="698"/>
    <x v="0"/>
    <s v="CM"/>
    <s v="N"/>
    <x v="501"/>
    <x v="2"/>
    <x v="63"/>
    <m/>
    <x v="24"/>
    <m/>
    <x v="3"/>
    <x v="0"/>
    <x v="59"/>
    <d v="2011-05-01T00:00:00"/>
    <x v="4"/>
    <x v="1"/>
    <s v="Sessão Competitiva Curta 3"/>
    <m/>
    <x v="0"/>
    <x v="0"/>
    <m/>
    <x v="0"/>
    <x v="0"/>
    <x v="701"/>
    <x v="3"/>
    <x v="0"/>
    <x v="1"/>
    <x v="59"/>
    <x v="1576"/>
  </r>
  <r>
    <x v="0"/>
    <n v="1021"/>
    <x v="698"/>
    <x v="0"/>
    <s v="CM"/>
    <s v="N"/>
    <x v="501"/>
    <x v="2"/>
    <x v="34"/>
    <m/>
    <x v="32"/>
    <m/>
    <x v="3"/>
    <x v="0"/>
    <x v="31"/>
    <d v="2011-05-15T00:00:00"/>
    <x v="6"/>
    <x v="1"/>
    <m/>
    <m/>
    <x v="0"/>
    <x v="0"/>
    <m/>
    <x v="0"/>
    <x v="0"/>
    <x v="701"/>
    <x v="3"/>
    <x v="0"/>
    <x v="1"/>
    <x v="31"/>
    <x v="1577"/>
  </r>
  <r>
    <x v="0"/>
    <n v="1021"/>
    <x v="698"/>
    <x v="0"/>
    <s v="CM"/>
    <s v="N"/>
    <x v="501"/>
    <x v="2"/>
    <x v="65"/>
    <m/>
    <x v="51"/>
    <m/>
    <x v="14"/>
    <x v="0"/>
    <x v="61"/>
    <d v="2011-06-03T00:00:00"/>
    <x v="7"/>
    <x v="0"/>
    <m/>
    <m/>
    <x v="0"/>
    <x v="0"/>
    <m/>
    <x v="0"/>
    <x v="0"/>
    <x v="701"/>
    <x v="14"/>
    <x v="0"/>
    <x v="0"/>
    <x v="61"/>
    <x v="1578"/>
  </r>
  <r>
    <x v="0"/>
    <n v="1021"/>
    <x v="698"/>
    <x v="0"/>
    <s v="CM"/>
    <s v="N"/>
    <x v="501"/>
    <x v="2"/>
    <x v="66"/>
    <m/>
    <x v="52"/>
    <m/>
    <x v="3"/>
    <x v="0"/>
    <x v="62"/>
    <d v="2011-06-12T00:00:00"/>
    <x v="7"/>
    <x v="0"/>
    <m/>
    <s v="Curtos Escolas-Universidade Lusófona"/>
    <x v="0"/>
    <x v="0"/>
    <m/>
    <x v="0"/>
    <x v="0"/>
    <x v="701"/>
    <x v="3"/>
    <x v="0"/>
    <x v="1"/>
    <x v="62"/>
    <x v="1579"/>
  </r>
  <r>
    <x v="0"/>
    <n v="1021"/>
    <x v="698"/>
    <x v="0"/>
    <s v="CM"/>
    <s v="N"/>
    <x v="501"/>
    <x v="2"/>
    <x v="67"/>
    <m/>
    <x v="23"/>
    <m/>
    <x v="3"/>
    <x v="0"/>
    <x v="63"/>
    <d v="2011-06-12T00:00:00"/>
    <x v="7"/>
    <x v="1"/>
    <s v="Sessão Competitiva 2"/>
    <m/>
    <x v="0"/>
    <x v="0"/>
    <m/>
    <x v="0"/>
    <x v="0"/>
    <x v="701"/>
    <x v="3"/>
    <x v="0"/>
    <x v="1"/>
    <x v="63"/>
    <x v="1580"/>
  </r>
  <r>
    <x v="0"/>
    <n v="1021"/>
    <x v="698"/>
    <x v="0"/>
    <s v="CM"/>
    <s v="N"/>
    <x v="501"/>
    <x v="2"/>
    <x v="222"/>
    <m/>
    <x v="24"/>
    <m/>
    <x v="3"/>
    <x v="0"/>
    <x v="161"/>
    <m/>
    <x v="7"/>
    <x v="1"/>
    <s v="Categoria Prémio Sony Escolas HD"/>
    <m/>
    <x v="155"/>
    <x v="2"/>
    <m/>
    <x v="1"/>
    <x v="0"/>
    <x v="701"/>
    <x v="3"/>
    <x v="175"/>
    <x v="1"/>
    <x v="161"/>
    <x v="1581"/>
  </r>
  <r>
    <x v="0"/>
    <n v="1021"/>
    <x v="698"/>
    <x v="0"/>
    <s v="CM"/>
    <s v="N"/>
    <x v="501"/>
    <x v="2"/>
    <x v="192"/>
    <m/>
    <x v="140"/>
    <m/>
    <x v="3"/>
    <x v="0"/>
    <x v="142"/>
    <d v="2011-07-24T00:00:00"/>
    <x v="8"/>
    <x v="1"/>
    <s v="Trailers in Motion"/>
    <m/>
    <x v="7"/>
    <x v="0"/>
    <m/>
    <x v="1"/>
    <x v="0"/>
    <x v="701"/>
    <x v="3"/>
    <x v="176"/>
    <x v="1"/>
    <x v="142"/>
    <x v="1582"/>
  </r>
  <r>
    <x v="0"/>
    <n v="1021"/>
    <x v="698"/>
    <x v="0"/>
    <s v="CM"/>
    <s v="N"/>
    <x v="501"/>
    <x v="2"/>
    <x v="139"/>
    <m/>
    <x v="106"/>
    <m/>
    <x v="15"/>
    <x v="0"/>
    <x v="109"/>
    <d v="2011-07-30T00:00:00"/>
    <x v="8"/>
    <x v="1"/>
    <s v="UNICEF"/>
    <m/>
    <x v="0"/>
    <x v="0"/>
    <m/>
    <x v="0"/>
    <x v="0"/>
    <x v="701"/>
    <x v="15"/>
    <x v="0"/>
    <x v="0"/>
    <x v="109"/>
    <x v="1583"/>
  </r>
  <r>
    <x v="0"/>
    <n v="1021"/>
    <x v="698"/>
    <x v="0"/>
    <s v="CM"/>
    <s v="N"/>
    <x v="501"/>
    <x v="2"/>
    <x v="88"/>
    <m/>
    <x v="67"/>
    <m/>
    <x v="3"/>
    <x v="0"/>
    <x v="79"/>
    <d v="2011-10-15T00:00:00"/>
    <x v="14"/>
    <x v="0"/>
    <m/>
    <s v="Panorama Infantil"/>
    <x v="0"/>
    <x v="0"/>
    <m/>
    <x v="0"/>
    <x v="0"/>
    <x v="701"/>
    <x v="3"/>
    <x v="0"/>
    <x v="1"/>
    <x v="79"/>
    <x v="1584"/>
  </r>
  <r>
    <x v="0"/>
    <n v="1021"/>
    <x v="698"/>
    <x v="0"/>
    <s v="CM"/>
    <s v="N"/>
    <x v="501"/>
    <x v="2"/>
    <x v="22"/>
    <m/>
    <x v="22"/>
    <m/>
    <x v="3"/>
    <x v="0"/>
    <x v="20"/>
    <d v="2011-11-17T00:00:00"/>
    <x v="13"/>
    <x v="1"/>
    <s v="Ensaios Visuais 4"/>
    <m/>
    <x v="0"/>
    <x v="0"/>
    <m/>
    <x v="0"/>
    <x v="0"/>
    <x v="701"/>
    <x v="3"/>
    <x v="0"/>
    <x v="1"/>
    <x v="20"/>
    <x v="1585"/>
  </r>
  <r>
    <x v="0"/>
    <n v="1021"/>
    <x v="698"/>
    <x v="0"/>
    <s v="CM"/>
    <s v="N"/>
    <x v="501"/>
    <x v="2"/>
    <x v="72"/>
    <m/>
    <x v="22"/>
    <m/>
    <x v="3"/>
    <x v="0"/>
    <x v="14"/>
    <d v="2011-11-26T00:00:00"/>
    <x v="13"/>
    <x v="0"/>
    <m/>
    <m/>
    <x v="0"/>
    <x v="1"/>
    <m/>
    <x v="0"/>
    <x v="0"/>
    <x v="701"/>
    <x v="3"/>
    <x v="0"/>
    <x v="1"/>
    <x v="14"/>
    <x v="1586"/>
  </r>
  <r>
    <x v="0"/>
    <n v="1360"/>
    <x v="699"/>
    <x v="0"/>
    <s v="LM"/>
    <s v="S"/>
    <x v="10"/>
    <x v="13"/>
    <x v="38"/>
    <m/>
    <x v="36"/>
    <m/>
    <x v="3"/>
    <x v="0"/>
    <x v="34"/>
    <d v="2011-11-19T00:00:00"/>
    <x v="13"/>
    <x v="0"/>
    <m/>
    <s v="Integral da Ficção de Manuel Mozos"/>
    <x v="0"/>
    <x v="1"/>
    <m/>
    <x v="0"/>
    <x v="5"/>
    <x v="702"/>
    <x v="3"/>
    <x v="0"/>
    <x v="1"/>
    <x v="34"/>
    <x v="1587"/>
  </r>
  <r>
    <x v="0"/>
    <n v="1022"/>
    <x v="700"/>
    <x v="0"/>
    <s v="LM"/>
    <s v="S"/>
    <x v="374"/>
    <x v="2"/>
    <x v="55"/>
    <m/>
    <x v="45"/>
    <m/>
    <x v="3"/>
    <x v="0"/>
    <x v="221"/>
    <d v="2011-03-02T00:00:00"/>
    <x v="19"/>
    <x v="0"/>
    <m/>
    <s v="7º Programa: As Escolhas de José Nascimento"/>
    <x v="0"/>
    <x v="1"/>
    <m/>
    <x v="0"/>
    <x v="5"/>
    <x v="703"/>
    <x v="3"/>
    <x v="0"/>
    <x v="1"/>
    <x v="221"/>
    <x v="1588"/>
  </r>
  <r>
    <x v="0"/>
    <n v="1022"/>
    <x v="700"/>
    <x v="0"/>
    <s v="LM"/>
    <s v="S"/>
    <x v="374"/>
    <x v="2"/>
    <x v="300"/>
    <m/>
    <x v="206"/>
    <m/>
    <x v="3"/>
    <x v="0"/>
    <x v="21"/>
    <d v="2011-11-09T00:00:00"/>
    <x v="27"/>
    <x v="0"/>
    <m/>
    <m/>
    <x v="0"/>
    <x v="1"/>
    <m/>
    <x v="0"/>
    <x v="5"/>
    <x v="703"/>
    <x v="3"/>
    <x v="0"/>
    <x v="1"/>
    <x v="21"/>
    <x v="1589"/>
  </r>
  <r>
    <x v="0"/>
    <n v="1023"/>
    <x v="701"/>
    <x v="4"/>
    <s v=""/>
    <s v=""/>
    <x v="91"/>
    <x v="2"/>
    <x v="120"/>
    <m/>
    <x v="83"/>
    <m/>
    <x v="3"/>
    <x v="0"/>
    <x v="16"/>
    <d v="2011-12-04T00:00:00"/>
    <x v="12"/>
    <x v="1"/>
    <s v="Cinéfilos: Documentários"/>
    <m/>
    <x v="0"/>
    <x v="0"/>
    <m/>
    <x v="0"/>
    <x v="7"/>
    <x v="704"/>
    <x v="3"/>
    <x v="0"/>
    <x v="1"/>
    <x v="16"/>
    <x v="1590"/>
  </r>
  <r>
    <x v="0"/>
    <n v="1024"/>
    <x v="702"/>
    <x v="4"/>
    <s v="LM"/>
    <s v=""/>
    <x v="461"/>
    <x v="26"/>
    <x v="109"/>
    <m/>
    <x v="23"/>
    <m/>
    <x v="3"/>
    <x v="0"/>
    <x v="115"/>
    <d v="2011-06-05T00:00:00"/>
    <x v="23"/>
    <x v="0"/>
    <m/>
    <s v="Momento XIX"/>
    <x v="0"/>
    <x v="1"/>
    <m/>
    <x v="0"/>
    <x v="13"/>
    <x v="705"/>
    <x v="3"/>
    <x v="0"/>
    <x v="1"/>
    <x v="115"/>
    <x v="1591"/>
  </r>
  <r>
    <x v="0"/>
    <n v="1024"/>
    <x v="702"/>
    <x v="4"/>
    <s v="LM"/>
    <s v=""/>
    <x v="461"/>
    <x v="26"/>
    <x v="55"/>
    <m/>
    <x v="45"/>
    <m/>
    <x v="3"/>
    <x v="0"/>
    <x v="210"/>
    <d v="2011-11-16T00:00:00"/>
    <x v="0"/>
    <x v="0"/>
    <m/>
    <s v="13º Programa: As Escolhas de Margarida Gil"/>
    <x v="0"/>
    <x v="1"/>
    <m/>
    <x v="0"/>
    <x v="13"/>
    <x v="705"/>
    <x v="3"/>
    <x v="0"/>
    <x v="1"/>
    <x v="210"/>
    <x v="1592"/>
  </r>
  <r>
    <x v="0"/>
    <n v="1025"/>
    <x v="703"/>
    <x v="2"/>
    <s v="CM"/>
    <s v="S"/>
    <x v="33"/>
    <x v="3"/>
    <x v="94"/>
    <m/>
    <x v="73"/>
    <m/>
    <x v="3"/>
    <x v="0"/>
    <x v="85"/>
    <d v="2011-10-30T00:00:00"/>
    <x v="14"/>
    <x v="0"/>
    <m/>
    <s v="Panorama da Curta Metragem Portuguesa"/>
    <x v="0"/>
    <x v="0"/>
    <m/>
    <x v="0"/>
    <x v="4"/>
    <x v="706"/>
    <x v="3"/>
    <x v="0"/>
    <x v="1"/>
    <x v="85"/>
    <x v="1593"/>
  </r>
  <r>
    <x v="0"/>
    <n v="1026"/>
    <x v="704"/>
    <x v="1"/>
    <s v="LM"/>
    <s v="S"/>
    <x v="362"/>
    <x v="2"/>
    <x v="146"/>
    <m/>
    <x v="24"/>
    <m/>
    <x v="3"/>
    <x v="0"/>
    <x v="112"/>
    <d v="2011-05-15T00:00:00"/>
    <x v="6"/>
    <x v="0"/>
    <m/>
    <s v="Sessões Especiais"/>
    <x v="0"/>
    <x v="0"/>
    <m/>
    <x v="0"/>
    <x v="1"/>
    <x v="707"/>
    <x v="3"/>
    <x v="0"/>
    <x v="1"/>
    <x v="112"/>
    <x v="1594"/>
  </r>
  <r>
    <x v="0"/>
    <n v="1026"/>
    <x v="704"/>
    <x v="1"/>
    <s v="LM"/>
    <s v="S"/>
    <x v="362"/>
    <x v="2"/>
    <x v="58"/>
    <m/>
    <x v="47"/>
    <m/>
    <x v="3"/>
    <x v="0"/>
    <x v="53"/>
    <d v="2011-09-04T00:00:00"/>
    <x v="9"/>
    <x v="0"/>
    <m/>
    <m/>
    <x v="0"/>
    <x v="1"/>
    <m/>
    <x v="0"/>
    <x v="1"/>
    <x v="707"/>
    <x v="3"/>
    <x v="0"/>
    <x v="1"/>
    <x v="53"/>
    <x v="1595"/>
  </r>
  <r>
    <x v="0"/>
    <n v="1026"/>
    <x v="704"/>
    <x v="1"/>
    <s v="LM"/>
    <s v="S"/>
    <x v="362"/>
    <x v="2"/>
    <x v="9"/>
    <m/>
    <x v="9"/>
    <m/>
    <x v="3"/>
    <x v="0"/>
    <x v="22"/>
    <m/>
    <x v="9"/>
    <x v="0"/>
    <m/>
    <m/>
    <x v="0"/>
    <x v="1"/>
    <m/>
    <x v="0"/>
    <x v="1"/>
    <x v="707"/>
    <x v="3"/>
    <x v="0"/>
    <x v="1"/>
    <x v="22"/>
    <x v="1596"/>
  </r>
  <r>
    <x v="0"/>
    <n v="1026"/>
    <x v="704"/>
    <x v="1"/>
    <s v="LM"/>
    <s v="S"/>
    <x v="362"/>
    <x v="2"/>
    <x v="162"/>
    <m/>
    <x v="124"/>
    <m/>
    <x v="3"/>
    <x v="0"/>
    <x v="217"/>
    <m/>
    <x v="9"/>
    <x v="0"/>
    <m/>
    <m/>
    <x v="0"/>
    <x v="1"/>
    <m/>
    <x v="0"/>
    <x v="1"/>
    <x v="707"/>
    <x v="3"/>
    <x v="0"/>
    <x v="1"/>
    <x v="217"/>
    <x v="1597"/>
  </r>
  <r>
    <x v="0"/>
    <n v="1026"/>
    <x v="704"/>
    <x v="1"/>
    <s v="LM"/>
    <s v="S"/>
    <x v="362"/>
    <x v="2"/>
    <x v="179"/>
    <m/>
    <x v="133"/>
    <m/>
    <x v="0"/>
    <x v="0"/>
    <x v="127"/>
    <d v="2011-11-03T00:00:00"/>
    <x v="0"/>
    <x v="1"/>
    <s v="Competição Novos Diretores"/>
    <m/>
    <x v="0"/>
    <x v="1"/>
    <m/>
    <x v="0"/>
    <x v="1"/>
    <x v="707"/>
    <x v="0"/>
    <x v="0"/>
    <x v="0"/>
    <x v="127"/>
    <x v="1598"/>
  </r>
  <r>
    <x v="0"/>
    <n v="1026"/>
    <x v="704"/>
    <x v="1"/>
    <s v="LM"/>
    <s v="S"/>
    <x v="362"/>
    <x v="2"/>
    <x v="15"/>
    <m/>
    <x v="15"/>
    <m/>
    <x v="3"/>
    <x v="0"/>
    <x v="14"/>
    <d v="2011-12-20T00:00:00"/>
    <x v="11"/>
    <x v="0"/>
    <m/>
    <m/>
    <x v="0"/>
    <x v="1"/>
    <m/>
    <x v="0"/>
    <x v="1"/>
    <x v="707"/>
    <x v="3"/>
    <x v="0"/>
    <x v="1"/>
    <x v="14"/>
    <x v="1599"/>
  </r>
  <r>
    <x v="0"/>
    <n v="1026"/>
    <x v="704"/>
    <x v="1"/>
    <s v="LM"/>
    <s v="S"/>
    <x v="362"/>
    <x v="2"/>
    <x v="365"/>
    <m/>
    <x v="99"/>
    <m/>
    <x v="3"/>
    <x v="0"/>
    <x v="222"/>
    <m/>
    <x v="12"/>
    <x v="0"/>
    <m/>
    <m/>
    <x v="0"/>
    <x v="1"/>
    <m/>
    <x v="0"/>
    <x v="1"/>
    <x v="707"/>
    <x v="3"/>
    <x v="0"/>
    <x v="1"/>
    <x v="222"/>
    <x v="1600"/>
  </r>
  <r>
    <x v="0"/>
    <n v="1027"/>
    <x v="705"/>
    <x v="0"/>
    <s v="LM"/>
    <s v="S"/>
    <x v="420"/>
    <x v="5"/>
    <x v="62"/>
    <m/>
    <x v="23"/>
    <m/>
    <x v="3"/>
    <x v="0"/>
    <x v="58"/>
    <d v="2011-03-06T00:00:00"/>
    <x v="19"/>
    <x v="0"/>
    <m/>
    <s v="Panorama do Cinema Português"/>
    <x v="0"/>
    <x v="0"/>
    <m/>
    <x v="0"/>
    <x v="5"/>
    <x v="708"/>
    <x v="3"/>
    <x v="0"/>
    <x v="1"/>
    <x v="58"/>
    <x v="1601"/>
  </r>
  <r>
    <x v="0"/>
    <n v="1027"/>
    <x v="705"/>
    <x v="0"/>
    <s v="LM"/>
    <s v="S"/>
    <x v="420"/>
    <x v="5"/>
    <x v="66"/>
    <m/>
    <x v="52"/>
    <m/>
    <x v="3"/>
    <x v="0"/>
    <x v="62"/>
    <d v="2011-06-12T00:00:00"/>
    <x v="7"/>
    <x v="0"/>
    <m/>
    <s v="Cinema Português"/>
    <x v="0"/>
    <x v="0"/>
    <m/>
    <x v="0"/>
    <x v="5"/>
    <x v="708"/>
    <x v="3"/>
    <x v="0"/>
    <x v="1"/>
    <x v="62"/>
    <x v="1602"/>
  </r>
  <r>
    <x v="0"/>
    <n v="1027"/>
    <x v="705"/>
    <x v="0"/>
    <s v="LM"/>
    <s v="S"/>
    <x v="420"/>
    <x v="5"/>
    <x v="107"/>
    <m/>
    <x v="83"/>
    <m/>
    <x v="3"/>
    <x v="0"/>
    <x v="25"/>
    <d v="2011-11-10T00:00:00"/>
    <x v="13"/>
    <x v="1"/>
    <m/>
    <m/>
    <x v="156"/>
    <x v="0"/>
    <m/>
    <x v="1"/>
    <x v="5"/>
    <x v="708"/>
    <x v="3"/>
    <x v="177"/>
    <x v="1"/>
    <x v="25"/>
    <x v="1603"/>
  </r>
  <r>
    <x v="0"/>
    <n v="1027"/>
    <x v="705"/>
    <x v="0"/>
    <s v="LM"/>
    <s v="S"/>
    <x v="420"/>
    <x v="5"/>
    <x v="155"/>
    <m/>
    <x v="119"/>
    <m/>
    <x v="3"/>
    <x v="0"/>
    <x v="124"/>
    <d v="2011-12-29T00:00:00"/>
    <x v="12"/>
    <x v="0"/>
    <m/>
    <m/>
    <x v="0"/>
    <x v="1"/>
    <m/>
    <x v="0"/>
    <x v="5"/>
    <x v="708"/>
    <x v="3"/>
    <x v="0"/>
    <x v="1"/>
    <x v="124"/>
    <x v="1604"/>
  </r>
  <r>
    <x v="0"/>
    <n v="1027"/>
    <x v="705"/>
    <x v="0"/>
    <s v="LM"/>
    <s v="S"/>
    <x v="420"/>
    <x v="5"/>
    <x v="364"/>
    <m/>
    <x v="245"/>
    <m/>
    <x v="21"/>
    <x v="8"/>
    <x v="78"/>
    <m/>
    <x v="30"/>
    <x v="0"/>
    <m/>
    <m/>
    <x v="0"/>
    <x v="1"/>
    <s v="Junho a Novº"/>
    <x v="0"/>
    <x v="5"/>
    <x v="708"/>
    <x v="21"/>
    <x v="0"/>
    <x v="0"/>
    <x v="78"/>
    <x v="1605"/>
  </r>
  <r>
    <x v="0"/>
    <n v="1028"/>
    <x v="706"/>
    <x v="0"/>
    <s v="LM"/>
    <s v="S"/>
    <x v="184"/>
    <x v="5"/>
    <x v="188"/>
    <m/>
    <x v="0"/>
    <m/>
    <x v="0"/>
    <x v="0"/>
    <x v="77"/>
    <d v="2011-10-18T00:00:00"/>
    <x v="14"/>
    <x v="0"/>
    <m/>
    <s v="Expectativa"/>
    <x v="0"/>
    <x v="0"/>
    <m/>
    <x v="0"/>
    <x v="5"/>
    <x v="709"/>
    <x v="0"/>
    <x v="0"/>
    <x v="0"/>
    <x v="77"/>
    <x v="1606"/>
  </r>
  <r>
    <x v="0"/>
    <n v="1028"/>
    <x v="706"/>
    <x v="0"/>
    <s v="LM"/>
    <s v="S"/>
    <x v="184"/>
    <x v="5"/>
    <x v="22"/>
    <m/>
    <x v="22"/>
    <m/>
    <x v="3"/>
    <x v="0"/>
    <x v="20"/>
    <d v="2011-11-17T00:00:00"/>
    <x v="13"/>
    <x v="1"/>
    <s v="Sessão Competitiva 4"/>
    <m/>
    <x v="157"/>
    <x v="0"/>
    <m/>
    <x v="1"/>
    <x v="5"/>
    <x v="709"/>
    <x v="3"/>
    <x v="178"/>
    <x v="1"/>
    <x v="20"/>
    <x v="1607"/>
  </r>
  <r>
    <x v="0"/>
    <n v="1029"/>
    <x v="707"/>
    <x v="0"/>
    <s v="CM"/>
    <s v="N"/>
    <x v="502"/>
    <x v="2"/>
    <x v="68"/>
    <m/>
    <x v="53"/>
    <m/>
    <x v="3"/>
    <x v="0"/>
    <x v="64"/>
    <d v="2011-07-17T00:00:00"/>
    <x v="8"/>
    <x v="1"/>
    <s v="Competição Nacional"/>
    <m/>
    <x v="0"/>
    <x v="0"/>
    <m/>
    <x v="0"/>
    <x v="0"/>
    <x v="710"/>
    <x v="3"/>
    <x v="0"/>
    <x v="1"/>
    <x v="64"/>
    <x v="1608"/>
  </r>
  <r>
    <x v="0"/>
    <n v="1029"/>
    <x v="707"/>
    <x v="0"/>
    <s v="CM"/>
    <s v="N"/>
    <x v="502"/>
    <x v="2"/>
    <x v="21"/>
    <m/>
    <x v="21"/>
    <m/>
    <x v="3"/>
    <x v="0"/>
    <x v="15"/>
    <d v="2011-12-03T00:00:00"/>
    <x v="12"/>
    <x v="1"/>
    <s v="Curtas Ficção"/>
    <m/>
    <x v="158"/>
    <x v="0"/>
    <m/>
    <x v="1"/>
    <x v="0"/>
    <x v="710"/>
    <x v="3"/>
    <x v="179"/>
    <x v="1"/>
    <x v="15"/>
    <x v="1609"/>
  </r>
  <r>
    <x v="0"/>
    <n v="1033"/>
    <x v="708"/>
    <x v="0"/>
    <s v="CM"/>
    <s v="S"/>
    <x v="38"/>
    <x v="15"/>
    <x v="55"/>
    <m/>
    <x v="45"/>
    <m/>
    <x v="3"/>
    <x v="0"/>
    <x v="27"/>
    <d v="2011-03-30T00:00:00"/>
    <x v="2"/>
    <x v="0"/>
    <m/>
    <s v="8º Programa: As Escolhas de Nuno Amorim"/>
    <x v="0"/>
    <x v="1"/>
    <m/>
    <x v="0"/>
    <x v="0"/>
    <x v="711"/>
    <x v="3"/>
    <x v="0"/>
    <x v="1"/>
    <x v="27"/>
    <x v="1610"/>
  </r>
  <r>
    <x v="0"/>
    <n v="1033"/>
    <x v="708"/>
    <x v="0"/>
    <s v="CM"/>
    <s v="S"/>
    <x v="38"/>
    <x v="15"/>
    <x v="30"/>
    <m/>
    <x v="28"/>
    <m/>
    <x v="8"/>
    <x v="0"/>
    <x v="28"/>
    <d v="2011-03-20T00:00:00"/>
    <x v="2"/>
    <x v="0"/>
    <m/>
    <s v="A Portuguesa 2- Out of Touch"/>
    <x v="0"/>
    <x v="0"/>
    <m/>
    <x v="0"/>
    <x v="0"/>
    <x v="711"/>
    <x v="8"/>
    <x v="0"/>
    <x v="0"/>
    <x v="28"/>
    <x v="1611"/>
  </r>
  <r>
    <x v="0"/>
    <n v="1033"/>
    <x v="708"/>
    <x v="0"/>
    <s v="CM"/>
    <s v="S"/>
    <x v="38"/>
    <x v="15"/>
    <x v="84"/>
    <m/>
    <x v="40"/>
    <m/>
    <x v="3"/>
    <x v="0"/>
    <x v="125"/>
    <m/>
    <x v="2"/>
    <x v="0"/>
    <m/>
    <m/>
    <x v="0"/>
    <x v="1"/>
    <m/>
    <x v="0"/>
    <x v="0"/>
    <x v="711"/>
    <x v="3"/>
    <x v="0"/>
    <x v="1"/>
    <x v="125"/>
    <x v="1612"/>
  </r>
  <r>
    <x v="0"/>
    <n v="1033"/>
    <x v="708"/>
    <x v="0"/>
    <s v="CM"/>
    <s v="S"/>
    <x v="38"/>
    <x v="15"/>
    <x v="166"/>
    <m/>
    <x v="126"/>
    <m/>
    <x v="37"/>
    <x v="0"/>
    <x v="51"/>
    <d v="2011-06-29T00:00:00"/>
    <x v="7"/>
    <x v="0"/>
    <m/>
    <m/>
    <x v="0"/>
    <x v="0"/>
    <m/>
    <x v="0"/>
    <x v="0"/>
    <x v="711"/>
    <x v="37"/>
    <x v="0"/>
    <x v="0"/>
    <x v="51"/>
    <x v="1613"/>
  </r>
  <r>
    <x v="0"/>
    <n v="1033"/>
    <x v="708"/>
    <x v="0"/>
    <s v="CM"/>
    <s v="S"/>
    <x v="38"/>
    <x v="15"/>
    <x v="0"/>
    <m/>
    <x v="0"/>
    <m/>
    <x v="0"/>
    <x v="0"/>
    <x v="0"/>
    <d v="2011-11-06T00:00:00"/>
    <x v="0"/>
    <x v="0"/>
    <m/>
    <s v="Foco Portugal: Programa Curtas Vila do Conde"/>
    <x v="0"/>
    <x v="0"/>
    <m/>
    <x v="0"/>
    <x v="0"/>
    <x v="711"/>
    <x v="0"/>
    <x v="0"/>
    <x v="0"/>
    <x v="0"/>
    <x v="1614"/>
  </r>
  <r>
    <x v="0"/>
    <n v="1034"/>
    <x v="709"/>
    <x v="4"/>
    <s v=""/>
    <s v=""/>
    <x v="89"/>
    <x v="2"/>
    <x v="70"/>
    <m/>
    <x v="38"/>
    <m/>
    <x v="3"/>
    <x v="0"/>
    <x v="19"/>
    <d v="2011-09-11T00:00:00"/>
    <x v="9"/>
    <x v="1"/>
    <s v="3ª sessão Competitiva"/>
    <m/>
    <x v="0"/>
    <x v="0"/>
    <m/>
    <x v="0"/>
    <x v="7"/>
    <x v="712"/>
    <x v="3"/>
    <x v="0"/>
    <x v="1"/>
    <x v="19"/>
    <x v="1615"/>
  </r>
  <r>
    <x v="0"/>
    <n v="1037"/>
    <x v="710"/>
    <x v="0"/>
    <s v="LM"/>
    <s v="S"/>
    <x v="503"/>
    <x v="2"/>
    <x v="366"/>
    <m/>
    <x v="23"/>
    <m/>
    <x v="3"/>
    <x v="0"/>
    <x v="77"/>
    <d v="2011-10-09T00:00:00"/>
    <x v="14"/>
    <x v="0"/>
    <m/>
    <m/>
    <x v="0"/>
    <x v="1"/>
    <m/>
    <x v="0"/>
    <x v="5"/>
    <x v="713"/>
    <x v="3"/>
    <x v="0"/>
    <x v="1"/>
    <x v="77"/>
    <x v="1616"/>
  </r>
  <r>
    <x v="0"/>
    <n v="1037"/>
    <x v="710"/>
    <x v="0"/>
    <s v="LM"/>
    <s v="S"/>
    <x v="503"/>
    <x v="2"/>
    <x v="367"/>
    <m/>
    <x v="24"/>
    <m/>
    <x v="3"/>
    <x v="0"/>
    <x v="139"/>
    <m/>
    <x v="14"/>
    <x v="0"/>
    <m/>
    <m/>
    <x v="0"/>
    <x v="1"/>
    <m/>
    <x v="0"/>
    <x v="5"/>
    <x v="713"/>
    <x v="3"/>
    <x v="0"/>
    <x v="1"/>
    <x v="139"/>
    <x v="1617"/>
  </r>
  <r>
    <x v="0"/>
    <n v="1039"/>
    <x v="711"/>
    <x v="4"/>
    <s v=""/>
    <s v=""/>
    <x v="504"/>
    <x v="2"/>
    <x v="26"/>
    <m/>
    <x v="24"/>
    <m/>
    <x v="3"/>
    <x v="0"/>
    <x v="24"/>
    <d v="2011-03-27T00:00:00"/>
    <x v="2"/>
    <x v="1"/>
    <s v="Curtíssimas"/>
    <m/>
    <x v="0"/>
    <x v="0"/>
    <m/>
    <x v="0"/>
    <x v="7"/>
    <x v="714"/>
    <x v="3"/>
    <x v="0"/>
    <x v="1"/>
    <x v="24"/>
    <x v="1618"/>
  </r>
  <r>
    <x v="0"/>
    <n v="1040"/>
    <x v="712"/>
    <x v="0"/>
    <s v="LM"/>
    <s v="S"/>
    <x v="461"/>
    <x v="38"/>
    <x v="368"/>
    <m/>
    <x v="23"/>
    <m/>
    <x v="3"/>
    <x v="0"/>
    <x v="119"/>
    <m/>
    <x v="9"/>
    <x v="0"/>
    <m/>
    <m/>
    <x v="0"/>
    <x v="1"/>
    <m/>
    <x v="0"/>
    <x v="5"/>
    <x v="715"/>
    <x v="3"/>
    <x v="0"/>
    <x v="1"/>
    <x v="119"/>
    <x v="1619"/>
  </r>
  <r>
    <x v="0"/>
    <n v="1040"/>
    <x v="712"/>
    <x v="0"/>
    <s v="LM"/>
    <s v="S"/>
    <x v="461"/>
    <x v="38"/>
    <x v="354"/>
    <m/>
    <x v="34"/>
    <m/>
    <x v="11"/>
    <x v="0"/>
    <x v="188"/>
    <m/>
    <x v="13"/>
    <x v="0"/>
    <m/>
    <m/>
    <x v="0"/>
    <x v="1"/>
    <m/>
    <x v="0"/>
    <x v="5"/>
    <x v="715"/>
    <x v="11"/>
    <x v="0"/>
    <x v="0"/>
    <x v="188"/>
    <x v="1620"/>
  </r>
  <r>
    <x v="0"/>
    <n v="1040"/>
    <x v="712"/>
    <x v="0"/>
    <s v="LM"/>
    <s v="S"/>
    <x v="461"/>
    <x v="38"/>
    <x v="168"/>
    <m/>
    <x v="128"/>
    <m/>
    <x v="1"/>
    <x v="0"/>
    <x v="92"/>
    <d v="2011-11-25T00:00:00"/>
    <x v="13"/>
    <x v="0"/>
    <m/>
    <m/>
    <x v="0"/>
    <x v="1"/>
    <m/>
    <x v="0"/>
    <x v="5"/>
    <x v="715"/>
    <x v="1"/>
    <x v="0"/>
    <x v="0"/>
    <x v="92"/>
    <x v="1621"/>
  </r>
  <r>
    <x v="0"/>
    <n v="1041"/>
    <x v="713"/>
    <x v="3"/>
    <s v="CM"/>
    <s v=""/>
    <x v="80"/>
    <x v="12"/>
    <x v="90"/>
    <m/>
    <x v="69"/>
    <m/>
    <x v="8"/>
    <x v="0"/>
    <x v="81"/>
    <d v="2011-02-06T00:00:00"/>
    <x v="18"/>
    <x v="0"/>
    <m/>
    <s v="Spectrum Shorts - Short Profile: Sandro Aguilar"/>
    <x v="0"/>
    <x v="0"/>
    <m/>
    <x v="0"/>
    <x v="6"/>
    <x v="716"/>
    <x v="8"/>
    <x v="0"/>
    <x v="0"/>
    <x v="81"/>
    <x v="1622"/>
  </r>
  <r>
    <x v="0"/>
    <n v="1041"/>
    <x v="713"/>
    <x v="3"/>
    <s v="CM"/>
    <s v=""/>
    <x v="80"/>
    <x v="12"/>
    <x v="30"/>
    <m/>
    <x v="28"/>
    <m/>
    <x v="8"/>
    <x v="0"/>
    <x v="28"/>
    <d v="2011-03-20T00:00:00"/>
    <x v="2"/>
    <x v="0"/>
    <m/>
    <s v="A Portuguesa 1 - Journeys"/>
    <x v="0"/>
    <x v="0"/>
    <m/>
    <x v="0"/>
    <x v="6"/>
    <x v="716"/>
    <x v="8"/>
    <x v="0"/>
    <x v="0"/>
    <x v="28"/>
    <x v="1623"/>
  </r>
  <r>
    <x v="0"/>
    <n v="1041"/>
    <x v="713"/>
    <x v="3"/>
    <s v="CM"/>
    <s v=""/>
    <x v="80"/>
    <x v="12"/>
    <x v="0"/>
    <m/>
    <x v="0"/>
    <m/>
    <x v="0"/>
    <x v="0"/>
    <x v="0"/>
    <d v="2011-11-06T00:00:00"/>
    <x v="0"/>
    <x v="0"/>
    <m/>
    <s v="Foco Portugal: Programa Aguilar+Gomes"/>
    <x v="0"/>
    <x v="0"/>
    <m/>
    <x v="0"/>
    <x v="6"/>
    <x v="716"/>
    <x v="0"/>
    <x v="0"/>
    <x v="0"/>
    <x v="0"/>
    <x v="1624"/>
  </r>
  <r>
    <x v="0"/>
    <n v="1041"/>
    <x v="713"/>
    <x v="3"/>
    <s v="CM"/>
    <s v=""/>
    <x v="80"/>
    <x v="12"/>
    <x v="86"/>
    <m/>
    <x v="65"/>
    <m/>
    <x v="9"/>
    <x v="0"/>
    <x v="15"/>
    <d v="2011-12-06T00:00:00"/>
    <x v="12"/>
    <x v="0"/>
    <m/>
    <s v="Sando Aguilar Shorts"/>
    <x v="0"/>
    <x v="1"/>
    <m/>
    <x v="0"/>
    <x v="6"/>
    <x v="716"/>
    <x v="9"/>
    <x v="0"/>
    <x v="0"/>
    <x v="15"/>
    <x v="1625"/>
  </r>
  <r>
    <x v="0"/>
    <n v="1042"/>
    <x v="714"/>
    <x v="0"/>
    <s v="CM"/>
    <s v="N"/>
    <x v="89"/>
    <x v="18"/>
    <x v="62"/>
    <m/>
    <x v="23"/>
    <m/>
    <x v="3"/>
    <x v="0"/>
    <x v="58"/>
    <d v="2011-03-06T00:00:00"/>
    <x v="19"/>
    <x v="0"/>
    <m/>
    <s v="João Menezes 10 Anos"/>
    <x v="0"/>
    <x v="0"/>
    <m/>
    <x v="0"/>
    <x v="0"/>
    <x v="717"/>
    <x v="3"/>
    <x v="0"/>
    <x v="1"/>
    <x v="58"/>
    <x v="1626"/>
  </r>
  <r>
    <x v="0"/>
    <n v="1043"/>
    <x v="715"/>
    <x v="4"/>
    <s v=""/>
    <s v=""/>
    <x v="505"/>
    <x v="2"/>
    <x v="89"/>
    <m/>
    <x v="68"/>
    <m/>
    <x v="1"/>
    <x v="0"/>
    <x v="80"/>
    <d v="2011-10-28T00:00:00"/>
    <x v="14"/>
    <x v="0"/>
    <m/>
    <s v="Foco Documental Portugués"/>
    <x v="0"/>
    <x v="1"/>
    <m/>
    <x v="0"/>
    <x v="7"/>
    <x v="718"/>
    <x v="1"/>
    <x v="0"/>
    <x v="0"/>
    <x v="80"/>
    <x v="1627"/>
  </r>
  <r>
    <x v="0"/>
    <n v="1047"/>
    <x v="716"/>
    <x v="0"/>
    <s v="CM"/>
    <s v="S"/>
    <x v="240"/>
    <x v="2"/>
    <x v="227"/>
    <m/>
    <x v="22"/>
    <m/>
    <x v="3"/>
    <x v="0"/>
    <x v="130"/>
    <d v="2011-03-06T00:00:00"/>
    <x v="2"/>
    <x v="0"/>
    <m/>
    <m/>
    <x v="0"/>
    <x v="1"/>
    <m/>
    <x v="0"/>
    <x v="0"/>
    <x v="719"/>
    <x v="3"/>
    <x v="0"/>
    <x v="1"/>
    <x v="130"/>
    <x v="1628"/>
  </r>
  <r>
    <x v="0"/>
    <n v="1048"/>
    <x v="717"/>
    <x v="2"/>
    <s v=""/>
    <s v=""/>
    <x v="506"/>
    <x v="2"/>
    <x v="26"/>
    <m/>
    <x v="24"/>
    <m/>
    <x v="3"/>
    <x v="0"/>
    <x v="24"/>
    <d v="2011-03-27T00:00:00"/>
    <x v="2"/>
    <x v="1"/>
    <s v="Curtíssimas"/>
    <m/>
    <x v="0"/>
    <x v="0"/>
    <m/>
    <x v="0"/>
    <x v="14"/>
    <x v="720"/>
    <x v="3"/>
    <x v="0"/>
    <x v="1"/>
    <x v="24"/>
    <x v="1629"/>
  </r>
  <r>
    <x v="0"/>
    <n v="1049"/>
    <x v="718"/>
    <x v="0"/>
    <s v="LM"/>
    <s v="S"/>
    <x v="507"/>
    <x v="5"/>
    <x v="257"/>
    <m/>
    <x v="178"/>
    <m/>
    <x v="37"/>
    <x v="0"/>
    <x v="5"/>
    <d v="2011-05-25T00:00:00"/>
    <x v="4"/>
    <x v="0"/>
    <m/>
    <m/>
    <x v="0"/>
    <x v="0"/>
    <m/>
    <x v="0"/>
    <x v="5"/>
    <x v="721"/>
    <x v="37"/>
    <x v="0"/>
    <x v="0"/>
    <x v="5"/>
    <x v="1630"/>
  </r>
  <r>
    <x v="0"/>
    <n v="1049"/>
    <x v="718"/>
    <x v="0"/>
    <s v="LM"/>
    <s v="S"/>
    <x v="507"/>
    <x v="5"/>
    <x v="228"/>
    <m/>
    <x v="159"/>
    <m/>
    <x v="46"/>
    <x v="0"/>
    <x v="39"/>
    <d v="2011-11-20T00:00:00"/>
    <x v="0"/>
    <x v="0"/>
    <m/>
    <m/>
    <x v="0"/>
    <x v="0"/>
    <m/>
    <x v="0"/>
    <x v="5"/>
    <x v="721"/>
    <x v="46"/>
    <x v="0"/>
    <x v="0"/>
    <x v="39"/>
    <x v="1631"/>
  </r>
  <r>
    <x v="0"/>
    <n v="1050"/>
    <x v="719"/>
    <x v="0"/>
    <s v="CM"/>
    <s v=""/>
    <x v="508"/>
    <x v="2"/>
    <x v="71"/>
    <m/>
    <x v="55"/>
    <m/>
    <x v="3"/>
    <x v="0"/>
    <x v="66"/>
    <d v="2011-10-29T00:00:00"/>
    <x v="14"/>
    <x v="0"/>
    <m/>
    <m/>
    <x v="0"/>
    <x v="1"/>
    <m/>
    <x v="0"/>
    <x v="0"/>
    <x v="722"/>
    <x v="3"/>
    <x v="0"/>
    <x v="1"/>
    <x v="66"/>
    <x v="1632"/>
  </r>
  <r>
    <x v="0"/>
    <n v="1051"/>
    <x v="720"/>
    <x v="4"/>
    <s v=""/>
    <s v=""/>
    <x v="509"/>
    <x v="2"/>
    <x v="207"/>
    <m/>
    <x v="24"/>
    <m/>
    <x v="3"/>
    <x v="0"/>
    <x v="109"/>
    <d v="2011-08-14T00:00:00"/>
    <x v="25"/>
    <x v="0"/>
    <m/>
    <m/>
    <x v="0"/>
    <x v="1"/>
    <m/>
    <x v="0"/>
    <x v="7"/>
    <x v="723"/>
    <x v="3"/>
    <x v="0"/>
    <x v="1"/>
    <x v="109"/>
    <x v="1633"/>
  </r>
  <r>
    <x v="0"/>
    <n v="1052"/>
    <x v="721"/>
    <x v="4"/>
    <s v=""/>
    <s v=""/>
    <x v="510"/>
    <x v="2"/>
    <x v="182"/>
    <m/>
    <x v="17"/>
    <m/>
    <x v="2"/>
    <x v="0"/>
    <x v="29"/>
    <d v="2011-04-05T00:00:00"/>
    <x v="3"/>
    <x v="0"/>
    <m/>
    <s v="Exploring Documentary: Le poème documentaire - Poème 10: Les détails du monde: récollection"/>
    <x v="0"/>
    <x v="0"/>
    <m/>
    <x v="0"/>
    <x v="7"/>
    <x v="724"/>
    <x v="2"/>
    <x v="0"/>
    <x v="0"/>
    <x v="29"/>
    <x v="1634"/>
  </r>
  <r>
    <x v="0"/>
    <n v="1053"/>
    <x v="722"/>
    <x v="4"/>
    <s v=""/>
    <s v=""/>
    <x v="236"/>
    <x v="2"/>
    <x v="180"/>
    <m/>
    <x v="134"/>
    <m/>
    <x v="41"/>
    <x v="0"/>
    <x v="21"/>
    <d v="2011-09-14T00:00:00"/>
    <x v="9"/>
    <x v="0"/>
    <m/>
    <m/>
    <x v="0"/>
    <x v="1"/>
    <m/>
    <x v="0"/>
    <x v="7"/>
    <x v="725"/>
    <x v="41"/>
    <x v="0"/>
    <x v="0"/>
    <x v="21"/>
    <x v="1635"/>
  </r>
  <r>
    <x v="0"/>
    <n v="1054"/>
    <x v="723"/>
    <x v="0"/>
    <s v="LM"/>
    <s v=""/>
    <x v="47"/>
    <x v="18"/>
    <x v="99"/>
    <m/>
    <x v="78"/>
    <m/>
    <x v="20"/>
    <x v="0"/>
    <x v="69"/>
    <d v="2011-11-13T00:00:00"/>
    <x v="13"/>
    <x v="0"/>
    <m/>
    <s v="Focus on Edgar Pêra - Programme 5"/>
    <x v="0"/>
    <x v="0"/>
    <m/>
    <x v="0"/>
    <x v="5"/>
    <x v="726"/>
    <x v="20"/>
    <x v="0"/>
    <x v="0"/>
    <x v="69"/>
    <x v="1636"/>
  </r>
  <r>
    <x v="0"/>
    <n v="1055"/>
    <x v="724"/>
    <x v="0"/>
    <s v="CM"/>
    <s v="S"/>
    <x v="503"/>
    <x v="13"/>
    <x v="367"/>
    <m/>
    <x v="24"/>
    <m/>
    <x v="3"/>
    <x v="0"/>
    <x v="139"/>
    <m/>
    <x v="14"/>
    <x v="0"/>
    <m/>
    <m/>
    <x v="0"/>
    <x v="1"/>
    <m/>
    <x v="0"/>
    <x v="0"/>
    <x v="727"/>
    <x v="3"/>
    <x v="0"/>
    <x v="1"/>
    <x v="139"/>
    <x v="1637"/>
  </r>
  <r>
    <x v="0"/>
    <n v="1058"/>
    <x v="725"/>
    <x v="5"/>
    <s v="CM"/>
    <s v="N"/>
    <x v="511"/>
    <x v="2"/>
    <x v="112"/>
    <m/>
    <x v="23"/>
    <m/>
    <x v="3"/>
    <x v="0"/>
    <x v="97"/>
    <d v="2011-05-14T00:00:00"/>
    <x v="6"/>
    <x v="1"/>
    <s v="Competição Vídeo 1"/>
    <m/>
    <x v="159"/>
    <x v="0"/>
    <m/>
    <x v="1"/>
    <x v="15"/>
    <x v="728"/>
    <x v="3"/>
    <x v="180"/>
    <x v="1"/>
    <x v="97"/>
    <x v="1638"/>
  </r>
  <r>
    <x v="0"/>
    <n v="1059"/>
    <x v="726"/>
    <x v="0"/>
    <s v="LM"/>
    <s v="S"/>
    <x v="111"/>
    <x v="38"/>
    <x v="158"/>
    <m/>
    <x v="121"/>
    <m/>
    <x v="3"/>
    <x v="0"/>
    <x v="119"/>
    <d v="2011-10-02T00:00:00"/>
    <x v="10"/>
    <x v="0"/>
    <m/>
    <s v="Povo e Território"/>
    <x v="0"/>
    <x v="0"/>
    <m/>
    <x v="0"/>
    <x v="5"/>
    <x v="729"/>
    <x v="3"/>
    <x v="0"/>
    <x v="1"/>
    <x v="119"/>
    <x v="1639"/>
  </r>
  <r>
    <x v="0"/>
    <n v="1060"/>
    <x v="727"/>
    <x v="3"/>
    <s v="CM"/>
    <s v="N"/>
    <x v="14"/>
    <x v="3"/>
    <x v="151"/>
    <m/>
    <x v="116"/>
    <m/>
    <x v="1"/>
    <x v="0"/>
    <x v="34"/>
    <d v="2011-11-26T00:00:00"/>
    <x v="13"/>
    <x v="0"/>
    <m/>
    <s v="Stereo"/>
    <x v="0"/>
    <x v="0"/>
    <m/>
    <x v="0"/>
    <x v="6"/>
    <x v="730"/>
    <x v="1"/>
    <x v="0"/>
    <x v="0"/>
    <x v="34"/>
    <x v="1640"/>
  </r>
  <r>
    <x v="0"/>
    <n v="1062"/>
    <x v="728"/>
    <x v="1"/>
    <s v="LM"/>
    <s v="S"/>
    <x v="162"/>
    <x v="4"/>
    <x v="208"/>
    <m/>
    <x v="5"/>
    <m/>
    <x v="3"/>
    <x v="0"/>
    <x v="152"/>
    <d v="2011-05-13T00:00:00"/>
    <x v="6"/>
    <x v="0"/>
    <m/>
    <m/>
    <x v="0"/>
    <x v="1"/>
    <m/>
    <x v="0"/>
    <x v="1"/>
    <x v="731"/>
    <x v="3"/>
    <x v="0"/>
    <x v="1"/>
    <x v="152"/>
    <x v="1641"/>
  </r>
  <r>
    <x v="0"/>
    <n v="1062"/>
    <x v="728"/>
    <x v="1"/>
    <s v="LM"/>
    <s v="S"/>
    <x v="162"/>
    <x v="4"/>
    <x v="145"/>
    <m/>
    <x v="111"/>
    <m/>
    <x v="33"/>
    <x v="0"/>
    <x v="117"/>
    <d v="2011-07-26T00:00:00"/>
    <x v="8"/>
    <x v="0"/>
    <m/>
    <m/>
    <x v="0"/>
    <x v="1"/>
    <m/>
    <x v="0"/>
    <x v="1"/>
    <x v="731"/>
    <x v="33"/>
    <x v="0"/>
    <x v="0"/>
    <x v="117"/>
    <x v="1642"/>
  </r>
  <r>
    <x v="0"/>
    <n v="1064"/>
    <x v="729"/>
    <x v="1"/>
    <s v="LM"/>
    <s v="S"/>
    <x v="10"/>
    <x v="1"/>
    <x v="369"/>
    <m/>
    <x v="175"/>
    <m/>
    <x v="3"/>
    <x v="0"/>
    <x v="55"/>
    <m/>
    <x v="9"/>
    <x v="0"/>
    <m/>
    <m/>
    <x v="0"/>
    <x v="1"/>
    <m/>
    <x v="0"/>
    <x v="1"/>
    <x v="732"/>
    <x v="3"/>
    <x v="0"/>
    <x v="1"/>
    <x v="55"/>
    <x v="1643"/>
  </r>
  <r>
    <x v="0"/>
    <n v="1065"/>
    <x v="730"/>
    <x v="2"/>
    <s v="CM"/>
    <s v="S"/>
    <x v="33"/>
    <x v="2"/>
    <x v="61"/>
    <m/>
    <x v="50"/>
    <m/>
    <x v="13"/>
    <x v="0"/>
    <x v="57"/>
    <d v="2011-02-25T00:00:00"/>
    <x v="1"/>
    <x v="0"/>
    <m/>
    <m/>
    <x v="0"/>
    <x v="1"/>
    <m/>
    <x v="0"/>
    <x v="4"/>
    <x v="733"/>
    <x v="13"/>
    <x v="0"/>
    <x v="0"/>
    <x v="57"/>
    <x v="1644"/>
  </r>
  <r>
    <x v="0"/>
    <n v="1065"/>
    <x v="730"/>
    <x v="2"/>
    <s v="CM"/>
    <s v="S"/>
    <x v="33"/>
    <x v="2"/>
    <x v="370"/>
    <m/>
    <x v="114"/>
    <m/>
    <x v="35"/>
    <x v="0"/>
    <x v="223"/>
    <d v="2011-03-14T00:00:00"/>
    <x v="2"/>
    <x v="0"/>
    <m/>
    <m/>
    <x v="0"/>
    <x v="0"/>
    <m/>
    <x v="0"/>
    <x v="4"/>
    <x v="733"/>
    <x v="35"/>
    <x v="0"/>
    <x v="0"/>
    <x v="223"/>
    <x v="1645"/>
  </r>
  <r>
    <x v="0"/>
    <n v="1065"/>
    <x v="730"/>
    <x v="2"/>
    <s v="CM"/>
    <s v="S"/>
    <x v="33"/>
    <x v="2"/>
    <x v="350"/>
    <m/>
    <x v="235"/>
    <m/>
    <x v="1"/>
    <x v="0"/>
    <x v="213"/>
    <d v="2011-05-18T00:00:00"/>
    <x v="6"/>
    <x v="1"/>
    <m/>
    <m/>
    <x v="160"/>
    <x v="0"/>
    <m/>
    <x v="1"/>
    <x v="4"/>
    <x v="733"/>
    <x v="1"/>
    <x v="181"/>
    <x v="0"/>
    <x v="213"/>
    <x v="1646"/>
  </r>
  <r>
    <x v="0"/>
    <n v="1065"/>
    <x v="730"/>
    <x v="2"/>
    <s v="CM"/>
    <s v="S"/>
    <x v="33"/>
    <x v="2"/>
    <x v="19"/>
    <m/>
    <x v="19"/>
    <m/>
    <x v="0"/>
    <x v="0"/>
    <x v="18"/>
    <d v="2011-05-15T00:00:00"/>
    <x v="6"/>
    <x v="0"/>
    <m/>
    <s v="Mostras Paralelas - FIKE"/>
    <x v="0"/>
    <x v="0"/>
    <m/>
    <x v="0"/>
    <x v="4"/>
    <x v="733"/>
    <x v="0"/>
    <x v="0"/>
    <x v="0"/>
    <x v="18"/>
    <x v="1647"/>
  </r>
  <r>
    <x v="0"/>
    <n v="1065"/>
    <x v="730"/>
    <x v="2"/>
    <s v="CM"/>
    <s v="S"/>
    <x v="33"/>
    <x v="2"/>
    <x v="123"/>
    <m/>
    <x v="94"/>
    <m/>
    <x v="6"/>
    <x v="0"/>
    <x v="101"/>
    <d v="2011-06-26T00:00:00"/>
    <x v="7"/>
    <x v="0"/>
    <m/>
    <s v="Panorama 1: International"/>
    <x v="0"/>
    <x v="0"/>
    <m/>
    <x v="0"/>
    <x v="4"/>
    <x v="733"/>
    <x v="6"/>
    <x v="0"/>
    <x v="0"/>
    <x v="101"/>
    <x v="1648"/>
  </r>
  <r>
    <x v="0"/>
    <n v="1065"/>
    <x v="730"/>
    <x v="2"/>
    <s v="CM"/>
    <s v="S"/>
    <x v="33"/>
    <x v="2"/>
    <x v="371"/>
    <m/>
    <x v="0"/>
    <m/>
    <x v="0"/>
    <x v="0"/>
    <x v="224"/>
    <d v="2011-07-17T00:00:00"/>
    <x v="8"/>
    <x v="1"/>
    <s v="Competição Internacional"/>
    <m/>
    <x v="0"/>
    <x v="0"/>
    <m/>
    <x v="0"/>
    <x v="4"/>
    <x v="733"/>
    <x v="0"/>
    <x v="0"/>
    <x v="0"/>
    <x v="224"/>
    <x v="1649"/>
  </r>
  <r>
    <x v="0"/>
    <n v="1065"/>
    <x v="730"/>
    <x v="2"/>
    <s v="CM"/>
    <s v="S"/>
    <x v="33"/>
    <x v="2"/>
    <x v="125"/>
    <m/>
    <x v="58"/>
    <m/>
    <x v="17"/>
    <x v="0"/>
    <x v="102"/>
    <d v="2011-09-04T00:00:00"/>
    <x v="20"/>
    <x v="0"/>
    <m/>
    <s v="International Panorama 1"/>
    <x v="0"/>
    <x v="0"/>
    <m/>
    <x v="0"/>
    <x v="4"/>
    <x v="733"/>
    <x v="17"/>
    <x v="0"/>
    <x v="0"/>
    <x v="102"/>
    <x v="1650"/>
  </r>
  <r>
    <x v="0"/>
    <n v="1066"/>
    <x v="731"/>
    <x v="4"/>
    <s v=""/>
    <s v=""/>
    <x v="512"/>
    <x v="2"/>
    <x v="151"/>
    <m/>
    <x v="116"/>
    <m/>
    <x v="1"/>
    <x v="0"/>
    <x v="34"/>
    <d v="2011-11-26T00:00:00"/>
    <x v="13"/>
    <x v="0"/>
    <m/>
    <s v="Stereo"/>
    <x v="0"/>
    <x v="0"/>
    <m/>
    <x v="0"/>
    <x v="7"/>
    <x v="734"/>
    <x v="1"/>
    <x v="0"/>
    <x v="0"/>
    <x v="34"/>
    <x v="1651"/>
  </r>
  <r>
    <x v="0"/>
    <n v="1068"/>
    <x v="732"/>
    <x v="4"/>
    <s v=""/>
    <s v=""/>
    <x v="513"/>
    <x v="2"/>
    <x v="21"/>
    <m/>
    <x v="21"/>
    <m/>
    <x v="3"/>
    <x v="0"/>
    <x v="15"/>
    <d v="2011-12-03T00:00:00"/>
    <x v="12"/>
    <x v="1"/>
    <s v="Documentários (média e longa metragem)"/>
    <m/>
    <x v="161"/>
    <x v="0"/>
    <m/>
    <x v="1"/>
    <x v="7"/>
    <x v="735"/>
    <x v="3"/>
    <x v="182"/>
    <x v="1"/>
    <x v="15"/>
    <x v="1652"/>
  </r>
  <r>
    <x v="0"/>
    <n v="1069"/>
    <x v="733"/>
    <x v="4"/>
    <s v=""/>
    <s v=""/>
    <x v="514"/>
    <x v="2"/>
    <x v="64"/>
    <m/>
    <x v="23"/>
    <m/>
    <x v="3"/>
    <x v="0"/>
    <x v="60"/>
    <d v="2011-05-28T00:00:00"/>
    <x v="6"/>
    <x v="1"/>
    <m/>
    <m/>
    <x v="40"/>
    <x v="1"/>
    <m/>
    <x v="1"/>
    <x v="7"/>
    <x v="736"/>
    <x v="3"/>
    <x v="42"/>
    <x v="1"/>
    <x v="60"/>
    <x v="1653"/>
  </r>
  <r>
    <x v="0"/>
    <n v="1070"/>
    <x v="734"/>
    <x v="4"/>
    <s v=""/>
    <s v=""/>
    <x v="136"/>
    <x v="2"/>
    <x v="173"/>
    <m/>
    <x v="131"/>
    <m/>
    <x v="40"/>
    <x v="0"/>
    <x v="133"/>
    <d v="2011-09-20T00:00:00"/>
    <x v="9"/>
    <x v="0"/>
    <m/>
    <m/>
    <x v="0"/>
    <x v="1"/>
    <m/>
    <x v="0"/>
    <x v="7"/>
    <x v="737"/>
    <x v="40"/>
    <x v="0"/>
    <x v="0"/>
    <x v="133"/>
    <x v="1654"/>
  </r>
  <r>
    <x v="0"/>
    <n v="1071"/>
    <x v="735"/>
    <x v="4"/>
    <s v=""/>
    <s v=""/>
    <x v="442"/>
    <x v="2"/>
    <x v="14"/>
    <m/>
    <x v="14"/>
    <m/>
    <x v="3"/>
    <x v="0"/>
    <x v="13"/>
    <d v="2011-11-05T00:00:00"/>
    <x v="0"/>
    <x v="0"/>
    <m/>
    <s v="FFF Escolas: Festa Mundial da Animação, Panorama Infantil"/>
    <x v="0"/>
    <x v="0"/>
    <m/>
    <x v="0"/>
    <x v="7"/>
    <x v="738"/>
    <x v="3"/>
    <x v="0"/>
    <x v="1"/>
    <x v="13"/>
    <x v="1655"/>
  </r>
  <r>
    <x v="0"/>
    <n v="1071"/>
    <x v="735"/>
    <x v="4"/>
    <s v=""/>
    <s v=""/>
    <x v="442"/>
    <x v="2"/>
    <x v="243"/>
    <m/>
    <x v="99"/>
    <m/>
    <x v="3"/>
    <x v="0"/>
    <x v="86"/>
    <d v="2011-11-19T00:00:00"/>
    <x v="13"/>
    <x v="0"/>
    <m/>
    <s v="Panorama Infantil"/>
    <x v="0"/>
    <x v="0"/>
    <m/>
    <x v="0"/>
    <x v="7"/>
    <x v="738"/>
    <x v="3"/>
    <x v="0"/>
    <x v="1"/>
    <x v="86"/>
    <x v="1656"/>
  </r>
  <r>
    <x v="0"/>
    <n v="1072"/>
    <x v="736"/>
    <x v="4"/>
    <s v=""/>
    <s v=""/>
    <x v="515"/>
    <x v="2"/>
    <x v="120"/>
    <m/>
    <x v="83"/>
    <m/>
    <x v="3"/>
    <x v="0"/>
    <x v="16"/>
    <d v="2011-12-04T00:00:00"/>
    <x v="12"/>
    <x v="1"/>
    <s v="Cinéfilos: Animação"/>
    <m/>
    <x v="0"/>
    <x v="0"/>
    <m/>
    <x v="0"/>
    <x v="7"/>
    <x v="739"/>
    <x v="3"/>
    <x v="0"/>
    <x v="1"/>
    <x v="16"/>
    <x v="1657"/>
  </r>
  <r>
    <x v="0"/>
    <n v="1073"/>
    <x v="737"/>
    <x v="0"/>
    <s v="LM"/>
    <s v="S"/>
    <x v="289"/>
    <x v="3"/>
    <x v="185"/>
    <m/>
    <x v="136"/>
    <m/>
    <x v="7"/>
    <x v="0"/>
    <x v="55"/>
    <d v="2011-09-18T00:00:00"/>
    <x v="9"/>
    <x v="0"/>
    <m/>
    <s v="World Cinema"/>
    <x v="0"/>
    <x v="0"/>
    <m/>
    <x v="0"/>
    <x v="5"/>
    <x v="740"/>
    <x v="7"/>
    <x v="0"/>
    <x v="0"/>
    <x v="55"/>
    <x v="1658"/>
  </r>
  <r>
    <x v="0"/>
    <n v="1073"/>
    <x v="737"/>
    <x v="0"/>
    <s v="LM"/>
    <s v="S"/>
    <x v="289"/>
    <x v="3"/>
    <x v="186"/>
    <m/>
    <x v="137"/>
    <m/>
    <x v="1"/>
    <x v="0"/>
    <x v="22"/>
    <d v="2011-09-24T00:00:00"/>
    <x v="9"/>
    <x v="1"/>
    <m/>
    <m/>
    <x v="162"/>
    <x v="0"/>
    <m/>
    <x v="1"/>
    <x v="5"/>
    <x v="740"/>
    <x v="1"/>
    <x v="183"/>
    <x v="0"/>
    <x v="22"/>
    <x v="1659"/>
  </r>
  <r>
    <x v="0"/>
    <n v="1073"/>
    <x v="737"/>
    <x v="0"/>
    <s v="LM"/>
    <s v="S"/>
    <x v="289"/>
    <x v="3"/>
    <x v="42"/>
    <m/>
    <x v="39"/>
    <m/>
    <x v="3"/>
    <x v="0"/>
    <x v="189"/>
    <m/>
    <x v="14"/>
    <x v="0"/>
    <m/>
    <m/>
    <x v="0"/>
    <x v="1"/>
    <m/>
    <x v="0"/>
    <x v="5"/>
    <x v="740"/>
    <x v="3"/>
    <x v="0"/>
    <x v="1"/>
    <x v="189"/>
    <x v="1660"/>
  </r>
  <r>
    <x v="0"/>
    <n v="1073"/>
    <x v="737"/>
    <x v="0"/>
    <s v="LM"/>
    <s v="S"/>
    <x v="289"/>
    <x v="3"/>
    <x v="85"/>
    <m/>
    <x v="64"/>
    <m/>
    <x v="18"/>
    <x v="0"/>
    <x v="77"/>
    <d v="2011-10-14T00:00:00"/>
    <x v="14"/>
    <x v="0"/>
    <m/>
    <s v="World Cinema"/>
    <x v="0"/>
    <x v="0"/>
    <m/>
    <x v="0"/>
    <x v="5"/>
    <x v="740"/>
    <x v="18"/>
    <x v="0"/>
    <x v="0"/>
    <x v="77"/>
    <x v="1661"/>
  </r>
  <r>
    <x v="0"/>
    <n v="1073"/>
    <x v="737"/>
    <x v="0"/>
    <s v="LM"/>
    <s v="S"/>
    <x v="289"/>
    <x v="3"/>
    <x v="188"/>
    <m/>
    <x v="0"/>
    <m/>
    <x v="0"/>
    <x v="0"/>
    <x v="77"/>
    <d v="2011-10-18T00:00:00"/>
    <x v="14"/>
    <x v="0"/>
    <m/>
    <s v="Panorama do Cinema Mundial"/>
    <x v="0"/>
    <x v="0"/>
    <m/>
    <x v="0"/>
    <x v="5"/>
    <x v="740"/>
    <x v="0"/>
    <x v="0"/>
    <x v="0"/>
    <x v="77"/>
    <x v="1662"/>
  </r>
  <r>
    <x v="0"/>
    <n v="1073"/>
    <x v="737"/>
    <x v="0"/>
    <s v="LM"/>
    <s v="S"/>
    <x v="289"/>
    <x v="3"/>
    <x v="57"/>
    <m/>
    <x v="40"/>
    <m/>
    <x v="3"/>
    <x v="0"/>
    <x v="207"/>
    <m/>
    <x v="14"/>
    <x v="0"/>
    <m/>
    <m/>
    <x v="0"/>
    <x v="1"/>
    <m/>
    <x v="0"/>
    <x v="5"/>
    <x v="740"/>
    <x v="3"/>
    <x v="0"/>
    <x v="1"/>
    <x v="207"/>
    <x v="1663"/>
  </r>
  <r>
    <x v="0"/>
    <n v="1073"/>
    <x v="737"/>
    <x v="0"/>
    <s v="LM"/>
    <s v="S"/>
    <x v="289"/>
    <x v="3"/>
    <x v="14"/>
    <m/>
    <x v="14"/>
    <m/>
    <x v="3"/>
    <x v="0"/>
    <x v="13"/>
    <d v="2011-11-05T00:00:00"/>
    <x v="0"/>
    <x v="1"/>
    <s v="Competição Longas Metragens"/>
    <m/>
    <x v="163"/>
    <x v="0"/>
    <m/>
    <x v="1"/>
    <x v="5"/>
    <x v="740"/>
    <x v="3"/>
    <x v="184"/>
    <x v="1"/>
    <x v="13"/>
    <x v="1664"/>
  </r>
  <r>
    <x v="0"/>
    <n v="1073"/>
    <x v="737"/>
    <x v="0"/>
    <s v="LM"/>
    <s v="S"/>
    <x v="289"/>
    <x v="3"/>
    <x v="22"/>
    <m/>
    <x v="22"/>
    <m/>
    <x v="3"/>
    <x v="0"/>
    <x v="20"/>
    <d v="2011-11-17T00:00:00"/>
    <x v="13"/>
    <x v="1"/>
    <s v="Sessão Competitiva 2"/>
    <m/>
    <x v="164"/>
    <x v="0"/>
    <m/>
    <x v="1"/>
    <x v="5"/>
    <x v="740"/>
    <x v="3"/>
    <x v="185"/>
    <x v="1"/>
    <x v="20"/>
    <x v="1665"/>
  </r>
  <r>
    <x v="0"/>
    <n v="1073"/>
    <x v="737"/>
    <x v="0"/>
    <s v="LM"/>
    <s v="S"/>
    <x v="289"/>
    <x v="3"/>
    <x v="13"/>
    <m/>
    <x v="13"/>
    <m/>
    <x v="3"/>
    <x v="0"/>
    <x v="212"/>
    <m/>
    <x v="13"/>
    <x v="0"/>
    <m/>
    <m/>
    <x v="0"/>
    <x v="1"/>
    <m/>
    <x v="0"/>
    <x v="5"/>
    <x v="740"/>
    <x v="3"/>
    <x v="0"/>
    <x v="1"/>
    <x v="212"/>
    <x v="1666"/>
  </r>
  <r>
    <x v="0"/>
    <n v="1073"/>
    <x v="737"/>
    <x v="0"/>
    <s v="LM"/>
    <s v="S"/>
    <x v="289"/>
    <x v="3"/>
    <x v="16"/>
    <m/>
    <x v="16"/>
    <m/>
    <x v="1"/>
    <x v="0"/>
    <x v="15"/>
    <d v="2011-12-17T00:00:00"/>
    <x v="12"/>
    <x v="0"/>
    <m/>
    <m/>
    <x v="0"/>
    <x v="1"/>
    <m/>
    <x v="0"/>
    <x v="5"/>
    <x v="740"/>
    <x v="1"/>
    <x v="0"/>
    <x v="0"/>
    <x v="15"/>
    <x v="1667"/>
  </r>
  <r>
    <x v="0"/>
    <n v="1073"/>
    <x v="737"/>
    <x v="0"/>
    <s v="LM"/>
    <s v="S"/>
    <x v="289"/>
    <x v="3"/>
    <x v="372"/>
    <m/>
    <x v="4"/>
    <m/>
    <x v="2"/>
    <x v="0"/>
    <x v="215"/>
    <d v="2011-12-11T00:00:00"/>
    <x v="12"/>
    <x v="1"/>
    <s v="La Compétition"/>
    <m/>
    <x v="165"/>
    <x v="0"/>
    <m/>
    <x v="1"/>
    <x v="5"/>
    <x v="740"/>
    <x v="2"/>
    <x v="186"/>
    <x v="0"/>
    <x v="215"/>
    <x v="1668"/>
  </r>
  <r>
    <x v="0"/>
    <n v="1073"/>
    <x v="737"/>
    <x v="0"/>
    <s v="LM"/>
    <s v="S"/>
    <x v="289"/>
    <x v="3"/>
    <x v="214"/>
    <m/>
    <x v="5"/>
    <m/>
    <x v="3"/>
    <x v="0"/>
    <x v="87"/>
    <d v="2011-12-15T00:00:00"/>
    <x v="12"/>
    <x v="0"/>
    <m/>
    <m/>
    <x v="0"/>
    <x v="1"/>
    <m/>
    <x v="0"/>
    <x v="5"/>
    <x v="740"/>
    <x v="3"/>
    <x v="0"/>
    <x v="1"/>
    <x v="87"/>
    <x v="1669"/>
  </r>
  <r>
    <x v="0"/>
    <n v="1073"/>
    <x v="737"/>
    <x v="0"/>
    <s v="LM"/>
    <s v="S"/>
    <x v="289"/>
    <x v="3"/>
    <x v="104"/>
    <m/>
    <x v="62"/>
    <m/>
    <x v="3"/>
    <x v="0"/>
    <x v="191"/>
    <m/>
    <x v="12"/>
    <x v="0"/>
    <m/>
    <m/>
    <x v="0"/>
    <x v="1"/>
    <m/>
    <x v="0"/>
    <x v="5"/>
    <x v="740"/>
    <x v="3"/>
    <x v="0"/>
    <x v="1"/>
    <x v="191"/>
    <x v="1670"/>
  </r>
  <r>
    <x v="0"/>
    <n v="1075"/>
    <x v="738"/>
    <x v="4"/>
    <s v=""/>
    <s v=""/>
    <x v="516"/>
    <x v="2"/>
    <x v="109"/>
    <m/>
    <x v="23"/>
    <m/>
    <x v="3"/>
    <x v="0"/>
    <x v="115"/>
    <d v="2011-06-05T00:00:00"/>
    <x v="23"/>
    <x v="0"/>
    <m/>
    <s v="Momento XIX"/>
    <x v="0"/>
    <x v="1"/>
    <m/>
    <x v="0"/>
    <x v="7"/>
    <x v="741"/>
    <x v="3"/>
    <x v="0"/>
    <x v="1"/>
    <x v="115"/>
    <x v="1671"/>
  </r>
  <r>
    <x v="0"/>
    <n v="1075"/>
    <x v="738"/>
    <x v="4"/>
    <s v=""/>
    <s v=""/>
    <x v="516"/>
    <x v="2"/>
    <x v="133"/>
    <m/>
    <x v="101"/>
    <m/>
    <x v="3"/>
    <x v="0"/>
    <x v="108"/>
    <d v="2011-12-11T00:00:00"/>
    <x v="12"/>
    <x v="0"/>
    <m/>
    <s v="Sessão Especial 4 - Porto de Honra"/>
    <x v="0"/>
    <x v="0"/>
    <m/>
    <x v="0"/>
    <x v="7"/>
    <x v="741"/>
    <x v="3"/>
    <x v="0"/>
    <x v="1"/>
    <x v="108"/>
    <x v="1672"/>
  </r>
  <r>
    <x v="0"/>
    <n v="1081"/>
    <x v="739"/>
    <x v="4"/>
    <s v=""/>
    <s v=""/>
    <x v="428"/>
    <x v="2"/>
    <x v="19"/>
    <m/>
    <x v="19"/>
    <m/>
    <x v="0"/>
    <x v="0"/>
    <x v="18"/>
    <d v="2011-05-15T00:00:00"/>
    <x v="6"/>
    <x v="0"/>
    <m/>
    <s v="Mostras Paralelas - FIKE"/>
    <x v="0"/>
    <x v="0"/>
    <m/>
    <x v="0"/>
    <x v="7"/>
    <x v="742"/>
    <x v="0"/>
    <x v="0"/>
    <x v="0"/>
    <x v="18"/>
    <x v="1673"/>
  </r>
  <r>
    <x v="0"/>
    <n v="1081"/>
    <x v="739"/>
    <x v="4"/>
    <s v=""/>
    <s v=""/>
    <x v="428"/>
    <x v="2"/>
    <x v="77"/>
    <m/>
    <x v="32"/>
    <m/>
    <x v="3"/>
    <x v="0"/>
    <x v="68"/>
    <m/>
    <x v="16"/>
    <x v="0"/>
    <m/>
    <m/>
    <x v="0"/>
    <x v="1"/>
    <m/>
    <x v="0"/>
    <x v="7"/>
    <x v="742"/>
    <x v="3"/>
    <x v="0"/>
    <x v="1"/>
    <x v="68"/>
    <x v="1674"/>
  </r>
  <r>
    <x v="0"/>
    <n v="1083"/>
    <x v="740"/>
    <x v="2"/>
    <s v="CM"/>
    <s v="S"/>
    <x v="517"/>
    <x v="15"/>
    <x v="52"/>
    <m/>
    <x v="24"/>
    <m/>
    <x v="3"/>
    <x v="0"/>
    <x v="46"/>
    <m/>
    <x v="9"/>
    <x v="0"/>
    <m/>
    <m/>
    <x v="0"/>
    <x v="1"/>
    <m/>
    <x v="0"/>
    <x v="4"/>
    <x v="743"/>
    <x v="3"/>
    <x v="0"/>
    <x v="1"/>
    <x v="46"/>
    <x v="1675"/>
  </r>
  <r>
    <x v="0"/>
    <n v="1085"/>
    <x v="741"/>
    <x v="1"/>
    <s v="LM"/>
    <s v="S"/>
    <x v="258"/>
    <x v="5"/>
    <x v="182"/>
    <m/>
    <x v="17"/>
    <m/>
    <x v="2"/>
    <x v="0"/>
    <x v="29"/>
    <d v="2011-04-05T00:00:00"/>
    <x v="3"/>
    <x v="1"/>
    <s v="Compétition internationale"/>
    <m/>
    <x v="0"/>
    <x v="0"/>
    <m/>
    <x v="0"/>
    <x v="1"/>
    <x v="744"/>
    <x v="2"/>
    <x v="0"/>
    <x v="0"/>
    <x v="29"/>
    <x v="1676"/>
  </r>
  <r>
    <x v="0"/>
    <n v="1085"/>
    <x v="741"/>
    <x v="1"/>
    <s v="LM"/>
    <s v="S"/>
    <x v="258"/>
    <x v="5"/>
    <x v="269"/>
    <m/>
    <x v="188"/>
    <m/>
    <x v="55"/>
    <x v="0"/>
    <x v="178"/>
    <d v="2011-04-30T00:00:00"/>
    <x v="5"/>
    <x v="0"/>
    <m/>
    <m/>
    <x v="0"/>
    <x v="0"/>
    <m/>
    <x v="0"/>
    <x v="1"/>
    <x v="744"/>
    <x v="55"/>
    <x v="0"/>
    <x v="0"/>
    <x v="178"/>
    <x v="1677"/>
  </r>
  <r>
    <x v="0"/>
    <n v="1086"/>
    <x v="742"/>
    <x v="2"/>
    <s v="CM"/>
    <s v="S"/>
    <x v="518"/>
    <x v="15"/>
    <x v="26"/>
    <m/>
    <x v="24"/>
    <m/>
    <x v="3"/>
    <x v="0"/>
    <x v="24"/>
    <d v="2011-03-27T00:00:00"/>
    <x v="2"/>
    <x v="0"/>
    <m/>
    <s v="Retrospectiva &quot;20 Anos da ANIMANOSTRA&quot;"/>
    <x v="0"/>
    <x v="0"/>
    <m/>
    <x v="0"/>
    <x v="4"/>
    <x v="745"/>
    <x v="3"/>
    <x v="0"/>
    <x v="1"/>
    <x v="24"/>
    <x v="1678"/>
  </r>
  <r>
    <x v="0"/>
    <n v="1087"/>
    <x v="743"/>
    <x v="0"/>
    <s v="LM"/>
    <s v="S"/>
    <x v="519"/>
    <x v="10"/>
    <x v="37"/>
    <m/>
    <x v="35"/>
    <m/>
    <x v="2"/>
    <x v="0"/>
    <x v="15"/>
    <d v="2011-12-04T00:00:00"/>
    <x v="12"/>
    <x v="0"/>
    <m/>
    <s v="Panorama Fenêtre Ouverte Long  Métrage -2"/>
    <x v="0"/>
    <x v="0"/>
    <m/>
    <x v="0"/>
    <x v="5"/>
    <x v="746"/>
    <x v="2"/>
    <x v="0"/>
    <x v="0"/>
    <x v="15"/>
    <x v="1679"/>
  </r>
  <r>
    <x v="0"/>
    <n v="1088"/>
    <x v="744"/>
    <x v="0"/>
    <s v="CM"/>
    <s v="S"/>
    <x v="80"/>
    <x v="20"/>
    <x v="90"/>
    <m/>
    <x v="69"/>
    <m/>
    <x v="8"/>
    <x v="0"/>
    <x v="81"/>
    <d v="2011-02-06T00:00:00"/>
    <x v="18"/>
    <x v="0"/>
    <m/>
    <s v="Spectrum Shorts - Short Profile: Sandro Aguilar"/>
    <x v="0"/>
    <x v="0"/>
    <m/>
    <x v="0"/>
    <x v="0"/>
    <x v="747"/>
    <x v="8"/>
    <x v="0"/>
    <x v="0"/>
    <x v="81"/>
    <x v="1680"/>
  </r>
  <r>
    <x v="0"/>
    <n v="1088"/>
    <x v="744"/>
    <x v="0"/>
    <s v="CM"/>
    <s v="S"/>
    <x v="80"/>
    <x v="20"/>
    <x v="0"/>
    <m/>
    <x v="0"/>
    <m/>
    <x v="0"/>
    <x v="0"/>
    <x v="0"/>
    <d v="2011-11-06T00:00:00"/>
    <x v="0"/>
    <x v="0"/>
    <m/>
    <s v="Foco Portugal: Programa Aguilar+Gomes"/>
    <x v="0"/>
    <x v="0"/>
    <m/>
    <x v="0"/>
    <x v="0"/>
    <x v="747"/>
    <x v="0"/>
    <x v="0"/>
    <x v="0"/>
    <x v="0"/>
    <x v="1681"/>
  </r>
  <r>
    <x v="0"/>
    <n v="1089"/>
    <x v="745"/>
    <x v="2"/>
    <s v="CM"/>
    <s v="S"/>
    <x v="100"/>
    <x v="3"/>
    <x v="94"/>
    <m/>
    <x v="73"/>
    <m/>
    <x v="3"/>
    <x v="0"/>
    <x v="85"/>
    <d v="2011-10-30T00:00:00"/>
    <x v="14"/>
    <x v="0"/>
    <m/>
    <s v="Panorama da Curta Metragem Portuguesa"/>
    <x v="0"/>
    <x v="0"/>
    <m/>
    <x v="0"/>
    <x v="4"/>
    <x v="748"/>
    <x v="3"/>
    <x v="0"/>
    <x v="1"/>
    <x v="85"/>
    <x v="1682"/>
  </r>
  <r>
    <x v="0"/>
    <n v="1089"/>
    <x v="745"/>
    <x v="2"/>
    <s v="CM"/>
    <s v="S"/>
    <x v="100"/>
    <x v="3"/>
    <x v="27"/>
    <m/>
    <x v="25"/>
    <m/>
    <x v="3"/>
    <x v="0"/>
    <x v="25"/>
    <d v="2011-11-13T00:00:00"/>
    <x v="13"/>
    <x v="1"/>
    <m/>
    <m/>
    <x v="166"/>
    <x v="0"/>
    <m/>
    <x v="1"/>
    <x v="4"/>
    <x v="748"/>
    <x v="3"/>
    <x v="187"/>
    <x v="1"/>
    <x v="25"/>
    <x v="1683"/>
  </r>
  <r>
    <x v="0"/>
    <n v="1091"/>
    <x v="746"/>
    <x v="4"/>
    <s v="CM"/>
    <s v="N"/>
    <x v="46"/>
    <x v="3"/>
    <x v="97"/>
    <m/>
    <x v="76"/>
    <m/>
    <x v="3"/>
    <x v="0"/>
    <x v="86"/>
    <d v="2011-11-19T00:00:00"/>
    <x v="13"/>
    <x v="1"/>
    <s v="Première Madeira"/>
    <m/>
    <x v="0"/>
    <x v="0"/>
    <m/>
    <x v="0"/>
    <x v="8"/>
    <x v="749"/>
    <x v="3"/>
    <x v="0"/>
    <x v="1"/>
    <x v="86"/>
    <x v="1684"/>
  </r>
  <r>
    <x v="0"/>
    <n v="1092"/>
    <x v="747"/>
    <x v="4"/>
    <s v=""/>
    <s v=""/>
    <x v="520"/>
    <x v="2"/>
    <x v="63"/>
    <m/>
    <x v="24"/>
    <m/>
    <x v="3"/>
    <x v="0"/>
    <x v="59"/>
    <d v="2011-05-01T00:00:00"/>
    <x v="4"/>
    <x v="0"/>
    <m/>
    <s v="Olhares sobre Portugal"/>
    <x v="0"/>
    <x v="0"/>
    <m/>
    <x v="0"/>
    <x v="7"/>
    <x v="750"/>
    <x v="3"/>
    <x v="0"/>
    <x v="1"/>
    <x v="59"/>
    <x v="1685"/>
  </r>
  <r>
    <x v="0"/>
    <n v="1093"/>
    <x v="748"/>
    <x v="4"/>
    <s v=""/>
    <s v=""/>
    <x v="521"/>
    <x v="2"/>
    <x v="158"/>
    <m/>
    <x v="121"/>
    <m/>
    <x v="3"/>
    <x v="0"/>
    <x v="119"/>
    <d v="2011-10-02T00:00:00"/>
    <x v="10"/>
    <x v="0"/>
    <m/>
    <s v="Documentários"/>
    <x v="0"/>
    <x v="0"/>
    <m/>
    <x v="0"/>
    <x v="7"/>
    <x v="751"/>
    <x v="3"/>
    <x v="0"/>
    <x v="1"/>
    <x v="119"/>
    <x v="1686"/>
  </r>
  <r>
    <x v="0"/>
    <n v="1094"/>
    <x v="749"/>
    <x v="4"/>
    <s v=""/>
    <s v=""/>
    <x v="195"/>
    <x v="2"/>
    <x v="77"/>
    <m/>
    <x v="32"/>
    <m/>
    <x v="3"/>
    <x v="0"/>
    <x v="68"/>
    <m/>
    <x v="16"/>
    <x v="0"/>
    <m/>
    <m/>
    <x v="0"/>
    <x v="1"/>
    <m/>
    <x v="0"/>
    <x v="7"/>
    <x v="752"/>
    <x v="3"/>
    <x v="0"/>
    <x v="1"/>
    <x v="68"/>
    <x v="1687"/>
  </r>
  <r>
    <x v="0"/>
    <n v="1095"/>
    <x v="750"/>
    <x v="0"/>
    <s v="CM"/>
    <s v="S"/>
    <x v="116"/>
    <x v="5"/>
    <x v="156"/>
    <m/>
    <x v="49"/>
    <m/>
    <x v="3"/>
    <x v="0"/>
    <x v="2"/>
    <m/>
    <x v="2"/>
    <x v="0"/>
    <m/>
    <m/>
    <x v="0"/>
    <x v="1"/>
    <m/>
    <x v="0"/>
    <x v="0"/>
    <x v="753"/>
    <x v="3"/>
    <x v="0"/>
    <x v="1"/>
    <x v="2"/>
    <x v="1688"/>
  </r>
  <r>
    <x v="0"/>
    <n v="1095"/>
    <x v="750"/>
    <x v="0"/>
    <s v="CM"/>
    <s v="S"/>
    <x v="116"/>
    <x v="5"/>
    <x v="63"/>
    <m/>
    <x v="24"/>
    <m/>
    <x v="3"/>
    <x v="0"/>
    <x v="59"/>
    <d v="2011-05-01T00:00:00"/>
    <x v="4"/>
    <x v="1"/>
    <s v="Sessão Competitiva Curta 1"/>
    <m/>
    <x v="0"/>
    <x v="0"/>
    <m/>
    <x v="0"/>
    <x v="0"/>
    <x v="753"/>
    <x v="3"/>
    <x v="0"/>
    <x v="1"/>
    <x v="59"/>
    <x v="1689"/>
  </r>
  <r>
    <x v="0"/>
    <n v="1095"/>
    <x v="750"/>
    <x v="0"/>
    <s v="CM"/>
    <s v="S"/>
    <x v="116"/>
    <x v="5"/>
    <x v="15"/>
    <m/>
    <x v="15"/>
    <m/>
    <x v="3"/>
    <x v="0"/>
    <x v="14"/>
    <d v="2011-12-20T00:00:00"/>
    <x v="11"/>
    <x v="0"/>
    <m/>
    <m/>
    <x v="0"/>
    <x v="1"/>
    <m/>
    <x v="0"/>
    <x v="0"/>
    <x v="753"/>
    <x v="3"/>
    <x v="0"/>
    <x v="1"/>
    <x v="14"/>
    <x v="1690"/>
  </r>
  <r>
    <x v="0"/>
    <n v="1095"/>
    <x v="750"/>
    <x v="0"/>
    <s v="CM"/>
    <s v="S"/>
    <x v="116"/>
    <x v="5"/>
    <x v="72"/>
    <m/>
    <x v="22"/>
    <m/>
    <x v="3"/>
    <x v="0"/>
    <x v="14"/>
    <d v="2011-11-26T00:00:00"/>
    <x v="13"/>
    <x v="0"/>
    <m/>
    <m/>
    <x v="0"/>
    <x v="1"/>
    <m/>
    <x v="0"/>
    <x v="0"/>
    <x v="753"/>
    <x v="3"/>
    <x v="0"/>
    <x v="1"/>
    <x v="14"/>
    <x v="1691"/>
  </r>
  <r>
    <x v="0"/>
    <n v="1096"/>
    <x v="751"/>
    <x v="4"/>
    <s v=""/>
    <s v=""/>
    <x v="522"/>
    <x v="2"/>
    <x v="34"/>
    <m/>
    <x v="32"/>
    <m/>
    <x v="3"/>
    <x v="0"/>
    <x v="31"/>
    <d v="2011-05-15T00:00:00"/>
    <x v="6"/>
    <x v="1"/>
    <m/>
    <m/>
    <x v="167"/>
    <x v="0"/>
    <m/>
    <x v="1"/>
    <x v="7"/>
    <x v="754"/>
    <x v="3"/>
    <x v="188"/>
    <x v="1"/>
    <x v="31"/>
    <x v="1692"/>
  </r>
  <r>
    <x v="0"/>
    <n v="1097"/>
    <x v="752"/>
    <x v="1"/>
    <s v="CM"/>
    <s v="N"/>
    <x v="523"/>
    <x v="3"/>
    <x v="34"/>
    <m/>
    <x v="32"/>
    <m/>
    <x v="3"/>
    <x v="0"/>
    <x v="31"/>
    <d v="2011-05-15T00:00:00"/>
    <x v="6"/>
    <x v="1"/>
    <m/>
    <m/>
    <x v="0"/>
    <x v="0"/>
    <m/>
    <x v="0"/>
    <x v="2"/>
    <x v="755"/>
    <x v="3"/>
    <x v="0"/>
    <x v="1"/>
    <x v="31"/>
    <x v="1693"/>
  </r>
  <r>
    <x v="0"/>
    <n v="1097"/>
    <x v="752"/>
    <x v="1"/>
    <s v="CM"/>
    <s v="N"/>
    <x v="523"/>
    <x v="3"/>
    <x v="67"/>
    <m/>
    <x v="23"/>
    <m/>
    <x v="3"/>
    <x v="0"/>
    <x v="63"/>
    <d v="2011-06-12T00:00:00"/>
    <x v="7"/>
    <x v="1"/>
    <m/>
    <m/>
    <x v="17"/>
    <x v="0"/>
    <m/>
    <x v="1"/>
    <x v="2"/>
    <x v="755"/>
    <x v="3"/>
    <x v="17"/>
    <x v="1"/>
    <x v="63"/>
    <x v="1694"/>
  </r>
  <r>
    <x v="0"/>
    <n v="1097"/>
    <x v="752"/>
    <x v="1"/>
    <s v="CM"/>
    <s v="N"/>
    <x v="523"/>
    <x v="3"/>
    <x v="77"/>
    <m/>
    <x v="32"/>
    <m/>
    <x v="3"/>
    <x v="0"/>
    <x v="68"/>
    <m/>
    <x v="16"/>
    <x v="0"/>
    <m/>
    <m/>
    <x v="0"/>
    <x v="1"/>
    <m/>
    <x v="0"/>
    <x v="2"/>
    <x v="755"/>
    <x v="3"/>
    <x v="0"/>
    <x v="1"/>
    <x v="68"/>
    <x v="1695"/>
  </r>
  <r>
    <x v="0"/>
    <n v="1097"/>
    <x v="752"/>
    <x v="1"/>
    <s v="CM"/>
    <s v="N"/>
    <x v="523"/>
    <x v="3"/>
    <x v="58"/>
    <m/>
    <x v="47"/>
    <m/>
    <x v="3"/>
    <x v="0"/>
    <x v="53"/>
    <d v="2011-09-04T00:00:00"/>
    <x v="9"/>
    <x v="0"/>
    <m/>
    <m/>
    <x v="0"/>
    <x v="1"/>
    <m/>
    <x v="0"/>
    <x v="2"/>
    <x v="755"/>
    <x v="3"/>
    <x v="0"/>
    <x v="1"/>
    <x v="53"/>
    <x v="1696"/>
  </r>
  <r>
    <x v="0"/>
    <n v="1098"/>
    <x v="753"/>
    <x v="0"/>
    <s v="CM"/>
    <s v="N"/>
    <x v="185"/>
    <x v="5"/>
    <x v="22"/>
    <m/>
    <x v="22"/>
    <m/>
    <x v="3"/>
    <x v="0"/>
    <x v="20"/>
    <d v="2011-11-17T00:00:00"/>
    <x v="13"/>
    <x v="1"/>
    <s v="Sessão Competitiva 4"/>
    <m/>
    <x v="0"/>
    <x v="0"/>
    <m/>
    <x v="0"/>
    <x v="0"/>
    <x v="756"/>
    <x v="3"/>
    <x v="0"/>
    <x v="1"/>
    <x v="20"/>
    <x v="1697"/>
  </r>
  <r>
    <x v="0"/>
    <n v="1099"/>
    <x v="754"/>
    <x v="0"/>
    <s v="CM"/>
    <s v="N"/>
    <x v="524"/>
    <x v="3"/>
    <x v="22"/>
    <m/>
    <x v="22"/>
    <m/>
    <x v="3"/>
    <x v="0"/>
    <x v="20"/>
    <d v="2011-11-17T00:00:00"/>
    <x v="13"/>
    <x v="1"/>
    <s v="Sessãp Competitiva 10"/>
    <m/>
    <x v="0"/>
    <x v="0"/>
    <m/>
    <x v="0"/>
    <x v="0"/>
    <x v="757"/>
    <x v="3"/>
    <x v="0"/>
    <x v="1"/>
    <x v="20"/>
    <x v="1698"/>
  </r>
  <r>
    <x v="0"/>
    <n v="1099"/>
    <x v="754"/>
    <x v="0"/>
    <s v="CM"/>
    <s v="N"/>
    <x v="524"/>
    <x v="3"/>
    <x v="97"/>
    <m/>
    <x v="76"/>
    <m/>
    <x v="3"/>
    <x v="0"/>
    <x v="86"/>
    <d v="2011-11-19T00:00:00"/>
    <x v="13"/>
    <x v="1"/>
    <s v="Curtas em Competição"/>
    <m/>
    <x v="0"/>
    <x v="0"/>
    <m/>
    <x v="0"/>
    <x v="0"/>
    <x v="757"/>
    <x v="3"/>
    <x v="0"/>
    <x v="1"/>
    <x v="86"/>
    <x v="1699"/>
  </r>
  <r>
    <x v="0"/>
    <n v="1101"/>
    <x v="755"/>
    <x v="1"/>
    <s v="CM"/>
    <s v="N"/>
    <x v="525"/>
    <x v="5"/>
    <x v="156"/>
    <m/>
    <x v="49"/>
    <m/>
    <x v="3"/>
    <x v="0"/>
    <x v="49"/>
    <m/>
    <x v="15"/>
    <x v="0"/>
    <m/>
    <m/>
    <x v="0"/>
    <x v="1"/>
    <m/>
    <x v="0"/>
    <x v="2"/>
    <x v="758"/>
    <x v="3"/>
    <x v="0"/>
    <x v="1"/>
    <x v="49"/>
    <x v="1700"/>
  </r>
  <r>
    <x v="0"/>
    <n v="1104"/>
    <x v="756"/>
    <x v="0"/>
    <s v="CM"/>
    <s v="N"/>
    <x v="526"/>
    <x v="2"/>
    <x v="156"/>
    <m/>
    <x v="49"/>
    <m/>
    <x v="3"/>
    <x v="0"/>
    <x v="220"/>
    <m/>
    <x v="15"/>
    <x v="0"/>
    <m/>
    <m/>
    <x v="0"/>
    <x v="1"/>
    <m/>
    <x v="0"/>
    <x v="0"/>
    <x v="759"/>
    <x v="3"/>
    <x v="0"/>
    <x v="1"/>
    <x v="220"/>
    <x v="1701"/>
  </r>
  <r>
    <x v="0"/>
    <n v="1104"/>
    <x v="756"/>
    <x v="0"/>
    <s v="CM"/>
    <s v="N"/>
    <x v="526"/>
    <x v="2"/>
    <x v="65"/>
    <m/>
    <x v="51"/>
    <m/>
    <x v="14"/>
    <x v="0"/>
    <x v="61"/>
    <d v="2011-06-03T00:00:00"/>
    <x v="7"/>
    <x v="0"/>
    <m/>
    <m/>
    <x v="0"/>
    <x v="0"/>
    <m/>
    <x v="0"/>
    <x v="0"/>
    <x v="759"/>
    <x v="14"/>
    <x v="0"/>
    <x v="0"/>
    <x v="61"/>
    <x v="1702"/>
  </r>
  <r>
    <x v="0"/>
    <n v="1104"/>
    <x v="756"/>
    <x v="0"/>
    <s v="CM"/>
    <s v="N"/>
    <x v="526"/>
    <x v="2"/>
    <x v="178"/>
    <m/>
    <x v="25"/>
    <m/>
    <x v="3"/>
    <x v="0"/>
    <x v="44"/>
    <d v="2011-07-03T00:00:00"/>
    <x v="17"/>
    <x v="1"/>
    <s v="Sessão Competitiva Cinema Experimental"/>
    <m/>
    <x v="0"/>
    <x v="0"/>
    <m/>
    <x v="0"/>
    <x v="0"/>
    <x v="759"/>
    <x v="3"/>
    <x v="0"/>
    <x v="1"/>
    <x v="44"/>
    <x v="1703"/>
  </r>
  <r>
    <x v="0"/>
    <n v="1104"/>
    <x v="756"/>
    <x v="0"/>
    <s v="CM"/>
    <s v="N"/>
    <x v="526"/>
    <x v="2"/>
    <x v="170"/>
    <m/>
    <x v="23"/>
    <m/>
    <x v="3"/>
    <x v="0"/>
    <x v="129"/>
    <m/>
    <x v="16"/>
    <x v="0"/>
    <m/>
    <m/>
    <x v="0"/>
    <x v="1"/>
    <m/>
    <x v="0"/>
    <x v="0"/>
    <x v="759"/>
    <x v="3"/>
    <x v="0"/>
    <x v="1"/>
    <x v="129"/>
    <x v="1704"/>
  </r>
  <r>
    <x v="0"/>
    <n v="1104"/>
    <x v="756"/>
    <x v="0"/>
    <s v="CM"/>
    <s v="N"/>
    <x v="526"/>
    <x v="2"/>
    <x v="132"/>
    <m/>
    <x v="36"/>
    <m/>
    <x v="3"/>
    <x v="0"/>
    <x v="20"/>
    <m/>
    <x v="13"/>
    <x v="0"/>
    <m/>
    <m/>
    <x v="0"/>
    <x v="1"/>
    <m/>
    <x v="0"/>
    <x v="0"/>
    <x v="759"/>
    <x v="3"/>
    <x v="0"/>
    <x v="1"/>
    <x v="20"/>
    <x v="1705"/>
  </r>
  <r>
    <x v="0"/>
    <n v="1105"/>
    <x v="757"/>
    <x v="1"/>
    <s v="CM"/>
    <s v="N"/>
    <x v="525"/>
    <x v="2"/>
    <x v="58"/>
    <m/>
    <x v="47"/>
    <m/>
    <x v="3"/>
    <x v="0"/>
    <x v="53"/>
    <d v="2011-09-04T00:00:00"/>
    <x v="9"/>
    <x v="0"/>
    <m/>
    <m/>
    <x v="0"/>
    <x v="1"/>
    <m/>
    <x v="0"/>
    <x v="2"/>
    <x v="760"/>
    <x v="3"/>
    <x v="0"/>
    <x v="1"/>
    <x v="53"/>
    <x v="1706"/>
  </r>
  <r>
    <x v="0"/>
    <n v="1105"/>
    <x v="757"/>
    <x v="1"/>
    <s v="CM"/>
    <s v="N"/>
    <x v="525"/>
    <x v="2"/>
    <x v="59"/>
    <m/>
    <x v="48"/>
    <m/>
    <x v="3"/>
    <x v="0"/>
    <x v="54"/>
    <d v="2011-09-15T00:00:00"/>
    <x v="9"/>
    <x v="0"/>
    <m/>
    <m/>
    <x v="0"/>
    <x v="1"/>
    <m/>
    <x v="0"/>
    <x v="2"/>
    <x v="760"/>
    <x v="3"/>
    <x v="0"/>
    <x v="1"/>
    <x v="54"/>
    <x v="1707"/>
  </r>
  <r>
    <x v="0"/>
    <n v="1105"/>
    <x v="757"/>
    <x v="1"/>
    <s v="CM"/>
    <s v="N"/>
    <x v="525"/>
    <x v="2"/>
    <x v="156"/>
    <m/>
    <x v="49"/>
    <m/>
    <x v="3"/>
    <x v="0"/>
    <x v="122"/>
    <m/>
    <x v="14"/>
    <x v="0"/>
    <m/>
    <m/>
    <x v="0"/>
    <x v="1"/>
    <m/>
    <x v="0"/>
    <x v="2"/>
    <x v="760"/>
    <x v="3"/>
    <x v="0"/>
    <x v="1"/>
    <x v="122"/>
    <x v="1708"/>
  </r>
  <r>
    <x v="0"/>
    <n v="1105"/>
    <x v="757"/>
    <x v="1"/>
    <s v="CM"/>
    <s v="N"/>
    <x v="525"/>
    <x v="2"/>
    <x v="21"/>
    <m/>
    <x v="21"/>
    <m/>
    <x v="3"/>
    <x v="0"/>
    <x v="15"/>
    <d v="2011-12-03T00:00:00"/>
    <x v="12"/>
    <x v="0"/>
    <m/>
    <s v="Filme de Abertura"/>
    <x v="0"/>
    <x v="0"/>
    <m/>
    <x v="0"/>
    <x v="2"/>
    <x v="760"/>
    <x v="3"/>
    <x v="0"/>
    <x v="1"/>
    <x v="15"/>
    <x v="1709"/>
  </r>
  <r>
    <x v="0"/>
    <n v="1105"/>
    <x v="757"/>
    <x v="1"/>
    <s v="CM"/>
    <s v="N"/>
    <x v="525"/>
    <x v="2"/>
    <x v="162"/>
    <m/>
    <x v="124"/>
    <m/>
    <x v="3"/>
    <x v="0"/>
    <x v="88"/>
    <m/>
    <x v="12"/>
    <x v="0"/>
    <m/>
    <m/>
    <x v="0"/>
    <x v="1"/>
    <m/>
    <x v="0"/>
    <x v="2"/>
    <x v="760"/>
    <x v="3"/>
    <x v="0"/>
    <x v="1"/>
    <x v="88"/>
    <x v="1710"/>
  </r>
  <r>
    <x v="0"/>
    <n v="1106"/>
    <x v="758"/>
    <x v="0"/>
    <s v="LM"/>
    <s v="S"/>
    <x v="20"/>
    <x v="1"/>
    <x v="117"/>
    <m/>
    <x v="90"/>
    <m/>
    <x v="27"/>
    <x v="0"/>
    <x v="28"/>
    <d v="2011-03-30T00:00:00"/>
    <x v="2"/>
    <x v="0"/>
    <m/>
    <m/>
    <x v="0"/>
    <x v="1"/>
    <m/>
    <x v="0"/>
    <x v="5"/>
    <x v="761"/>
    <x v="27"/>
    <x v="0"/>
    <x v="0"/>
    <x v="28"/>
    <x v="1711"/>
  </r>
  <r>
    <x v="0"/>
    <n v="1107"/>
    <x v="759"/>
    <x v="4"/>
    <s v=""/>
    <s v=""/>
    <x v="299"/>
    <x v="2"/>
    <x v="120"/>
    <m/>
    <x v="83"/>
    <m/>
    <x v="3"/>
    <x v="0"/>
    <x v="16"/>
    <d v="2011-12-04T00:00:00"/>
    <x v="12"/>
    <x v="1"/>
    <s v="Cinéfilos: Animação"/>
    <m/>
    <x v="0"/>
    <x v="0"/>
    <m/>
    <x v="0"/>
    <x v="7"/>
    <x v="762"/>
    <x v="3"/>
    <x v="0"/>
    <x v="1"/>
    <x v="16"/>
    <x v="1712"/>
  </r>
  <r>
    <x v="0"/>
    <n v="1108"/>
    <x v="760"/>
    <x v="2"/>
    <s v="CM"/>
    <s v="N"/>
    <x v="527"/>
    <x v="1"/>
    <x v="31"/>
    <m/>
    <x v="29"/>
    <m/>
    <x v="2"/>
    <x v="0"/>
    <x v="24"/>
    <d v="2011-03-26T00:00:00"/>
    <x v="2"/>
    <x v="1"/>
    <s v="Compétion Courts-métrages - Programme 7"/>
    <m/>
    <x v="0"/>
    <x v="0"/>
    <m/>
    <x v="0"/>
    <x v="4"/>
    <x v="763"/>
    <x v="2"/>
    <x v="0"/>
    <x v="0"/>
    <x v="24"/>
    <x v="1713"/>
  </r>
  <r>
    <x v="0"/>
    <n v="1108"/>
    <x v="760"/>
    <x v="2"/>
    <s v="CM"/>
    <s v="N"/>
    <x v="527"/>
    <x v="1"/>
    <x v="200"/>
    <m/>
    <x v="145"/>
    <m/>
    <x v="2"/>
    <x v="0"/>
    <x v="147"/>
    <d v="2011-03-27T00:00:00"/>
    <x v="2"/>
    <x v="1"/>
    <s v="Compétition Expérimentale"/>
    <m/>
    <x v="168"/>
    <x v="0"/>
    <m/>
    <x v="1"/>
    <x v="4"/>
    <x v="763"/>
    <x v="2"/>
    <x v="189"/>
    <x v="0"/>
    <x v="147"/>
    <x v="1714"/>
  </r>
  <r>
    <x v="0"/>
    <n v="1108"/>
    <x v="760"/>
    <x v="2"/>
    <s v="CM"/>
    <s v="N"/>
    <x v="527"/>
    <x v="1"/>
    <x v="373"/>
    <m/>
    <x v="189"/>
    <m/>
    <x v="5"/>
    <x v="0"/>
    <x v="225"/>
    <d v="2011-04-17T00:00:00"/>
    <x v="5"/>
    <x v="1"/>
    <s v="International Competition 1                                                                                                                              "/>
    <m/>
    <x v="0"/>
    <x v="0"/>
    <m/>
    <x v="0"/>
    <x v="4"/>
    <x v="763"/>
    <x v="5"/>
    <x v="0"/>
    <x v="0"/>
    <x v="225"/>
    <x v="1715"/>
  </r>
  <r>
    <x v="0"/>
    <n v="1108"/>
    <x v="760"/>
    <x v="2"/>
    <s v="CM"/>
    <s v="N"/>
    <x v="527"/>
    <x v="1"/>
    <x v="19"/>
    <m/>
    <x v="19"/>
    <m/>
    <x v="0"/>
    <x v="0"/>
    <x v="18"/>
    <d v="2011-05-15T00:00:00"/>
    <x v="6"/>
    <x v="0"/>
    <m/>
    <s v="Mostras Paralelas - FAIAL FILMES FEST"/>
    <x v="0"/>
    <x v="0"/>
    <m/>
    <x v="0"/>
    <x v="4"/>
    <x v="763"/>
    <x v="0"/>
    <x v="0"/>
    <x v="0"/>
    <x v="18"/>
    <x v="1716"/>
  </r>
  <r>
    <x v="0"/>
    <n v="1108"/>
    <x v="760"/>
    <x v="2"/>
    <s v="CM"/>
    <s v="N"/>
    <x v="527"/>
    <x v="1"/>
    <x v="65"/>
    <m/>
    <x v="51"/>
    <m/>
    <x v="14"/>
    <x v="0"/>
    <x v="61"/>
    <d v="2011-06-03T00:00:00"/>
    <x v="7"/>
    <x v="0"/>
    <m/>
    <m/>
    <x v="0"/>
    <x v="0"/>
    <m/>
    <x v="0"/>
    <x v="4"/>
    <x v="763"/>
    <x v="14"/>
    <x v="0"/>
    <x v="0"/>
    <x v="61"/>
    <x v="1717"/>
  </r>
  <r>
    <x v="0"/>
    <n v="1108"/>
    <x v="760"/>
    <x v="2"/>
    <s v="CM"/>
    <s v="N"/>
    <x v="527"/>
    <x v="1"/>
    <x v="124"/>
    <m/>
    <x v="95"/>
    <m/>
    <x v="2"/>
    <x v="0"/>
    <x v="9"/>
    <d v="2011-07-09T00:00:00"/>
    <x v="8"/>
    <x v="0"/>
    <m/>
    <s v="L'Animation à l'Honneur - Programmation Casa da Animação 2nde Partie"/>
    <x v="0"/>
    <x v="1"/>
    <m/>
    <x v="0"/>
    <x v="4"/>
    <x v="763"/>
    <x v="2"/>
    <x v="0"/>
    <x v="0"/>
    <x v="9"/>
    <x v="1718"/>
  </r>
  <r>
    <x v="0"/>
    <n v="1108"/>
    <x v="760"/>
    <x v="2"/>
    <s v="CM"/>
    <s v="N"/>
    <x v="527"/>
    <x v="1"/>
    <x v="237"/>
    <m/>
    <x v="115"/>
    <m/>
    <x v="36"/>
    <x v="0"/>
    <x v="168"/>
    <d v="2011-09-25T00:00:00"/>
    <x v="9"/>
    <x v="0"/>
    <m/>
    <m/>
    <x v="0"/>
    <x v="0"/>
    <m/>
    <x v="0"/>
    <x v="4"/>
    <x v="763"/>
    <x v="36"/>
    <x v="0"/>
    <x v="0"/>
    <x v="168"/>
    <x v="1719"/>
  </r>
  <r>
    <x v="0"/>
    <n v="1108"/>
    <x v="760"/>
    <x v="2"/>
    <s v="CM"/>
    <s v="N"/>
    <x v="527"/>
    <x v="1"/>
    <x v="136"/>
    <m/>
    <x v="103"/>
    <m/>
    <x v="31"/>
    <x v="0"/>
    <x v="14"/>
    <d v="2011-11-27T00:00:00"/>
    <x v="13"/>
    <x v="1"/>
    <s v="Like a Painting"/>
    <m/>
    <x v="0"/>
    <x v="0"/>
    <m/>
    <x v="0"/>
    <x v="4"/>
    <x v="763"/>
    <x v="31"/>
    <x v="0"/>
    <x v="0"/>
    <x v="14"/>
    <x v="1720"/>
  </r>
  <r>
    <x v="0"/>
    <n v="1109"/>
    <x v="761"/>
    <x v="1"/>
    <s v="CM"/>
    <s v="N"/>
    <x v="528"/>
    <x v="5"/>
    <x v="336"/>
    <m/>
    <x v="228"/>
    <m/>
    <x v="2"/>
    <x v="0"/>
    <x v="25"/>
    <d v="2011-11-13T00:00:00"/>
    <x v="13"/>
    <x v="1"/>
    <s v="Compétition Écoles et Formations"/>
    <m/>
    <x v="0"/>
    <x v="0"/>
    <m/>
    <x v="0"/>
    <x v="2"/>
    <x v="764"/>
    <x v="2"/>
    <x v="0"/>
    <x v="0"/>
    <x v="25"/>
    <x v="1721"/>
  </r>
  <r>
    <x v="0"/>
    <n v="1110"/>
    <x v="762"/>
    <x v="0"/>
    <s v="CM"/>
    <s v="N"/>
    <x v="529"/>
    <x v="2"/>
    <x v="21"/>
    <m/>
    <x v="21"/>
    <m/>
    <x v="3"/>
    <x v="0"/>
    <x v="15"/>
    <d v="2011-12-03T00:00:00"/>
    <x v="12"/>
    <x v="1"/>
    <s v="Prémio Universidades"/>
    <m/>
    <x v="0"/>
    <x v="0"/>
    <m/>
    <x v="0"/>
    <x v="0"/>
    <x v="765"/>
    <x v="3"/>
    <x v="0"/>
    <x v="1"/>
    <x v="15"/>
    <x v="1722"/>
  </r>
  <r>
    <x v="0"/>
    <n v="1111"/>
    <x v="763"/>
    <x v="4"/>
    <s v=""/>
    <s v=""/>
    <x v="530"/>
    <x v="2"/>
    <x v="25"/>
    <m/>
    <x v="24"/>
    <m/>
    <x v="3"/>
    <x v="0"/>
    <x v="23"/>
    <d v="2011-10-30T00:00:00"/>
    <x v="14"/>
    <x v="0"/>
    <m/>
    <s v="Retrospectiva movimentos de libertação em Moçambique, Angola e Guiné-Bissau (1961-1974)"/>
    <x v="0"/>
    <x v="0"/>
    <m/>
    <x v="0"/>
    <x v="7"/>
    <x v="766"/>
    <x v="3"/>
    <x v="0"/>
    <x v="1"/>
    <x v="23"/>
    <x v="1723"/>
  </r>
  <r>
    <x v="0"/>
    <n v="1113"/>
    <x v="764"/>
    <x v="0"/>
    <s v="CM"/>
    <s v="N"/>
    <x v="531"/>
    <x v="2"/>
    <x v="48"/>
    <m/>
    <x v="24"/>
    <m/>
    <x v="3"/>
    <x v="0"/>
    <x v="21"/>
    <d v="2011-09-11T00:00:00"/>
    <x v="9"/>
    <x v="1"/>
    <s v="Prémio Motelx . Melhor Curta de Terror Portuguesa"/>
    <m/>
    <x v="0"/>
    <x v="0"/>
    <m/>
    <x v="0"/>
    <x v="0"/>
    <x v="767"/>
    <x v="3"/>
    <x v="0"/>
    <x v="1"/>
    <x v="21"/>
    <x v="1724"/>
  </r>
  <r>
    <x v="0"/>
    <n v="1114"/>
    <x v="765"/>
    <x v="4"/>
    <s v=""/>
    <s v=""/>
    <x v="532"/>
    <x v="2"/>
    <x v="55"/>
    <m/>
    <x v="45"/>
    <m/>
    <x v="3"/>
    <x v="0"/>
    <x v="27"/>
    <d v="2011-03-30T00:00:00"/>
    <x v="2"/>
    <x v="0"/>
    <m/>
    <s v="8º Programa: As Escolhas de Nuno Amorim"/>
    <x v="0"/>
    <x v="1"/>
    <m/>
    <x v="0"/>
    <x v="7"/>
    <x v="768"/>
    <x v="3"/>
    <x v="0"/>
    <x v="1"/>
    <x v="27"/>
    <x v="1725"/>
  </r>
  <r>
    <x v="0"/>
    <n v="1115"/>
    <x v="766"/>
    <x v="0"/>
    <s v="LM"/>
    <s v="N"/>
    <x v="126"/>
    <x v="3"/>
    <x v="66"/>
    <m/>
    <x v="52"/>
    <m/>
    <x v="3"/>
    <x v="0"/>
    <x v="62"/>
    <d v="2011-06-12T00:00:00"/>
    <x v="7"/>
    <x v="1"/>
    <s v="O Homem e a Natureza"/>
    <m/>
    <x v="0"/>
    <x v="0"/>
    <m/>
    <x v="0"/>
    <x v="5"/>
    <x v="769"/>
    <x v="3"/>
    <x v="0"/>
    <x v="1"/>
    <x v="62"/>
    <x v="1726"/>
  </r>
  <r>
    <x v="0"/>
    <n v="1115"/>
    <x v="766"/>
    <x v="0"/>
    <s v="LM"/>
    <s v="N"/>
    <x v="126"/>
    <x v="3"/>
    <x v="107"/>
    <m/>
    <x v="83"/>
    <m/>
    <x v="3"/>
    <x v="0"/>
    <x v="25"/>
    <d v="2011-11-10T00:00:00"/>
    <x v="13"/>
    <x v="1"/>
    <m/>
    <m/>
    <x v="0"/>
    <x v="0"/>
    <m/>
    <x v="0"/>
    <x v="5"/>
    <x v="769"/>
    <x v="3"/>
    <x v="0"/>
    <x v="1"/>
    <x v="25"/>
    <x v="1727"/>
  </r>
  <r>
    <x v="0"/>
    <n v="1115"/>
    <x v="766"/>
    <x v="0"/>
    <s v="LM"/>
    <s v="N"/>
    <x v="126"/>
    <x v="3"/>
    <x v="22"/>
    <m/>
    <x v="22"/>
    <m/>
    <x v="3"/>
    <x v="0"/>
    <x v="20"/>
    <d v="2011-11-17T00:00:00"/>
    <x v="13"/>
    <x v="1"/>
    <s v="Sessão Competitiva 6"/>
    <m/>
    <x v="0"/>
    <x v="0"/>
    <m/>
    <x v="0"/>
    <x v="5"/>
    <x v="769"/>
    <x v="3"/>
    <x v="0"/>
    <x v="1"/>
    <x v="20"/>
    <x v="1728"/>
  </r>
  <r>
    <x v="0"/>
    <n v="1117"/>
    <x v="767"/>
    <x v="4"/>
    <s v=""/>
    <s v=""/>
    <x v="533"/>
    <x v="2"/>
    <x v="14"/>
    <m/>
    <x v="14"/>
    <m/>
    <x v="3"/>
    <x v="0"/>
    <x v="13"/>
    <d v="2011-11-05T00:00:00"/>
    <x v="0"/>
    <x v="1"/>
    <s v="Competição Curtas Metragens"/>
    <m/>
    <x v="0"/>
    <x v="0"/>
    <m/>
    <x v="0"/>
    <x v="7"/>
    <x v="770"/>
    <x v="3"/>
    <x v="0"/>
    <x v="1"/>
    <x v="13"/>
    <x v="1729"/>
  </r>
  <r>
    <x v="0"/>
    <n v="1119"/>
    <x v="768"/>
    <x v="4"/>
    <s v=""/>
    <s v=""/>
    <x v="534"/>
    <x v="2"/>
    <x v="26"/>
    <m/>
    <x v="24"/>
    <m/>
    <x v="3"/>
    <x v="0"/>
    <x v="24"/>
    <d v="2011-03-27T00:00:00"/>
    <x v="2"/>
    <x v="1"/>
    <s v="Curtíssimas"/>
    <m/>
    <x v="0"/>
    <x v="0"/>
    <m/>
    <x v="0"/>
    <x v="7"/>
    <x v="771"/>
    <x v="3"/>
    <x v="0"/>
    <x v="1"/>
    <x v="24"/>
    <x v="1730"/>
  </r>
  <r>
    <x v="0"/>
    <n v="1122"/>
    <x v="769"/>
    <x v="1"/>
    <s v="CM"/>
    <s v="N"/>
    <x v="120"/>
    <x v="3"/>
    <x v="151"/>
    <m/>
    <x v="116"/>
    <m/>
    <x v="1"/>
    <x v="0"/>
    <x v="34"/>
    <d v="2011-11-26T00:00:00"/>
    <x v="13"/>
    <x v="0"/>
    <m/>
    <s v="Stereo"/>
    <x v="0"/>
    <x v="0"/>
    <m/>
    <x v="0"/>
    <x v="2"/>
    <x v="772"/>
    <x v="1"/>
    <x v="0"/>
    <x v="0"/>
    <x v="34"/>
    <x v="1731"/>
  </r>
  <r>
    <x v="0"/>
    <n v="1122"/>
    <x v="769"/>
    <x v="1"/>
    <s v="CM"/>
    <s v="N"/>
    <x v="120"/>
    <x v="3"/>
    <x v="280"/>
    <m/>
    <x v="196"/>
    <m/>
    <x v="2"/>
    <x v="0"/>
    <x v="93"/>
    <d v="2011-12-04T00:00:00"/>
    <x v="11"/>
    <x v="1"/>
    <s v="Compétition Internationale Courts Mètrages"/>
    <m/>
    <x v="0"/>
    <x v="0"/>
    <m/>
    <x v="0"/>
    <x v="2"/>
    <x v="772"/>
    <x v="2"/>
    <x v="0"/>
    <x v="0"/>
    <x v="93"/>
    <x v="1732"/>
  </r>
  <r>
    <x v="0"/>
    <n v="1122"/>
    <x v="769"/>
    <x v="1"/>
    <s v="CM"/>
    <s v="N"/>
    <x v="120"/>
    <x v="3"/>
    <x v="133"/>
    <m/>
    <x v="101"/>
    <m/>
    <x v="3"/>
    <x v="0"/>
    <x v="108"/>
    <d v="2011-12-11T00:00:00"/>
    <x v="12"/>
    <x v="1"/>
    <s v="Sessão Competitiva de Curtas Metragens 8"/>
    <m/>
    <x v="0"/>
    <x v="0"/>
    <m/>
    <x v="0"/>
    <x v="2"/>
    <x v="772"/>
    <x v="3"/>
    <x v="0"/>
    <x v="1"/>
    <x v="108"/>
    <x v="1733"/>
  </r>
  <r>
    <x v="0"/>
    <n v="1123"/>
    <x v="770"/>
    <x v="2"/>
    <s v="CM"/>
    <s v="S"/>
    <x v="176"/>
    <x v="2"/>
    <x v="61"/>
    <m/>
    <x v="50"/>
    <m/>
    <x v="13"/>
    <x v="0"/>
    <x v="57"/>
    <d v="2011-02-25T00:00:00"/>
    <x v="1"/>
    <x v="0"/>
    <m/>
    <m/>
    <x v="0"/>
    <x v="1"/>
    <m/>
    <x v="0"/>
    <x v="4"/>
    <x v="773"/>
    <x v="13"/>
    <x v="0"/>
    <x v="0"/>
    <x v="57"/>
    <x v="1734"/>
  </r>
  <r>
    <x v="0"/>
    <n v="1123"/>
    <x v="770"/>
    <x v="2"/>
    <s v="CM"/>
    <s v="S"/>
    <x v="176"/>
    <x v="2"/>
    <x v="55"/>
    <m/>
    <x v="45"/>
    <m/>
    <x v="3"/>
    <x v="0"/>
    <x v="27"/>
    <d v="2011-03-30T00:00:00"/>
    <x v="2"/>
    <x v="0"/>
    <m/>
    <s v="8º Programa: As Escolhas de Nuno Amorim"/>
    <x v="0"/>
    <x v="1"/>
    <m/>
    <x v="0"/>
    <x v="4"/>
    <x v="773"/>
    <x v="3"/>
    <x v="0"/>
    <x v="1"/>
    <x v="27"/>
    <x v="1735"/>
  </r>
  <r>
    <x v="0"/>
    <n v="1123"/>
    <x v="770"/>
    <x v="2"/>
    <s v="CM"/>
    <s v="S"/>
    <x v="176"/>
    <x v="2"/>
    <x v="103"/>
    <m/>
    <x v="80"/>
    <m/>
    <x v="2"/>
    <x v="0"/>
    <x v="91"/>
    <d v="2012-12-10T00:00:00"/>
    <x v="12"/>
    <x v="0"/>
    <m/>
    <s v="Carnets de Voyage 1: Onda Curta RTP2"/>
    <x v="0"/>
    <x v="0"/>
    <m/>
    <x v="0"/>
    <x v="4"/>
    <x v="773"/>
    <x v="2"/>
    <x v="0"/>
    <x v="0"/>
    <x v="91"/>
    <x v="1736"/>
  </r>
  <r>
    <x v="0"/>
    <n v="1124"/>
    <x v="771"/>
    <x v="0"/>
    <s v="CM"/>
    <s v="N"/>
    <x v="535"/>
    <x v="2"/>
    <x v="80"/>
    <m/>
    <x v="60"/>
    <m/>
    <x v="3"/>
    <x v="0"/>
    <x v="70"/>
    <d v="2011-11-13T00:00:00"/>
    <x v="13"/>
    <x v="0"/>
    <m/>
    <s v="Encontros das Escolas Europeias de Cinema"/>
    <x v="0"/>
    <x v="0"/>
    <m/>
    <x v="0"/>
    <x v="0"/>
    <x v="774"/>
    <x v="3"/>
    <x v="0"/>
    <x v="1"/>
    <x v="70"/>
    <x v="1737"/>
  </r>
  <r>
    <x v="0"/>
    <n v="1124"/>
    <x v="771"/>
    <x v="0"/>
    <s v="CM"/>
    <s v="N"/>
    <x v="535"/>
    <x v="2"/>
    <x v="22"/>
    <m/>
    <x v="22"/>
    <m/>
    <x v="3"/>
    <x v="0"/>
    <x v="20"/>
    <d v="2011-11-17T00:00:00"/>
    <x v="13"/>
    <x v="1"/>
    <s v="Ensaios Visuais 4"/>
    <m/>
    <x v="0"/>
    <x v="0"/>
    <m/>
    <x v="0"/>
    <x v="0"/>
    <x v="774"/>
    <x v="3"/>
    <x v="0"/>
    <x v="1"/>
    <x v="20"/>
    <x v="1738"/>
  </r>
  <r>
    <x v="0"/>
    <n v="1125"/>
    <x v="772"/>
    <x v="0"/>
    <s v="LM"/>
    <s v="S"/>
    <x v="536"/>
    <x v="2"/>
    <x v="374"/>
    <m/>
    <x v="246"/>
    <m/>
    <x v="24"/>
    <x v="0"/>
    <x v="152"/>
    <d v="2011-05-13T00:00:00"/>
    <x v="6"/>
    <x v="0"/>
    <m/>
    <m/>
    <x v="0"/>
    <x v="1"/>
    <m/>
    <x v="0"/>
    <x v="5"/>
    <x v="775"/>
    <x v="24"/>
    <x v="0"/>
    <x v="0"/>
    <x v="152"/>
    <x v="1739"/>
  </r>
  <r>
    <x v="0"/>
    <n v="1125"/>
    <x v="772"/>
    <x v="0"/>
    <s v="LM"/>
    <s v="S"/>
    <x v="536"/>
    <x v="2"/>
    <x v="145"/>
    <m/>
    <x v="111"/>
    <m/>
    <x v="33"/>
    <x v="0"/>
    <x v="117"/>
    <d v="2011-07-26T00:00:00"/>
    <x v="8"/>
    <x v="0"/>
    <m/>
    <m/>
    <x v="0"/>
    <x v="1"/>
    <m/>
    <x v="0"/>
    <x v="5"/>
    <x v="775"/>
    <x v="33"/>
    <x v="0"/>
    <x v="0"/>
    <x v="117"/>
    <x v="1740"/>
  </r>
  <r>
    <x v="0"/>
    <n v="1128"/>
    <x v="773"/>
    <x v="4"/>
    <s v=""/>
    <s v=""/>
    <x v="35"/>
    <x v="2"/>
    <x v="81"/>
    <m/>
    <x v="61"/>
    <m/>
    <x v="2"/>
    <x v="0"/>
    <x v="71"/>
    <d v="2011-02-12T00:00:00"/>
    <x v="1"/>
    <x v="0"/>
    <m/>
    <s v="Décibels 1"/>
    <x v="0"/>
    <x v="0"/>
    <m/>
    <x v="0"/>
    <x v="7"/>
    <x v="776"/>
    <x v="2"/>
    <x v="0"/>
    <x v="0"/>
    <x v="71"/>
    <x v="1741"/>
  </r>
  <r>
    <x v="0"/>
    <n v="1128"/>
    <x v="773"/>
    <x v="4"/>
    <s v=""/>
    <s v=""/>
    <x v="35"/>
    <x v="2"/>
    <x v="68"/>
    <m/>
    <x v="53"/>
    <m/>
    <x v="3"/>
    <x v="0"/>
    <x v="64"/>
    <d v="2011-07-17T00:00:00"/>
    <x v="8"/>
    <x v="0"/>
    <m/>
    <s v="Panorama Nacional - Super 8"/>
    <x v="0"/>
    <x v="0"/>
    <m/>
    <x v="0"/>
    <x v="7"/>
    <x v="776"/>
    <x v="3"/>
    <x v="0"/>
    <x v="1"/>
    <x v="64"/>
    <x v="1742"/>
  </r>
  <r>
    <x v="0"/>
    <n v="1130"/>
    <x v="774"/>
    <x v="0"/>
    <s v="CM"/>
    <s v="N"/>
    <x v="454"/>
    <x v="3"/>
    <x v="70"/>
    <m/>
    <x v="38"/>
    <m/>
    <x v="3"/>
    <x v="0"/>
    <x v="19"/>
    <d v="2011-09-11T00:00:00"/>
    <x v="9"/>
    <x v="1"/>
    <s v="2ª Sessão Competitiva"/>
    <m/>
    <x v="0"/>
    <x v="0"/>
    <m/>
    <x v="0"/>
    <x v="0"/>
    <x v="777"/>
    <x v="3"/>
    <x v="0"/>
    <x v="1"/>
    <x v="19"/>
    <x v="1743"/>
  </r>
  <r>
    <x v="0"/>
    <n v="1131"/>
    <x v="775"/>
    <x v="1"/>
    <s v="CM"/>
    <s v=""/>
    <x v="288"/>
    <x v="2"/>
    <x v="207"/>
    <m/>
    <x v="24"/>
    <m/>
    <x v="3"/>
    <x v="0"/>
    <x v="109"/>
    <d v="2011-08-14T00:00:00"/>
    <x v="25"/>
    <x v="0"/>
    <m/>
    <m/>
    <x v="0"/>
    <x v="1"/>
    <m/>
    <x v="0"/>
    <x v="2"/>
    <x v="778"/>
    <x v="3"/>
    <x v="0"/>
    <x v="1"/>
    <x v="109"/>
    <x v="1744"/>
  </r>
  <r>
    <x v="0"/>
    <n v="1132"/>
    <x v="776"/>
    <x v="0"/>
    <s v="LM"/>
    <s v="S"/>
    <x v="537"/>
    <x v="3"/>
    <x v="375"/>
    <m/>
    <x v="20"/>
    <m/>
    <x v="5"/>
    <x v="0"/>
    <x v="145"/>
    <d v="2011-02-20T00:00:00"/>
    <x v="1"/>
    <x v="0"/>
    <m/>
    <s v="Forum"/>
    <x v="0"/>
    <x v="0"/>
    <m/>
    <x v="0"/>
    <x v="5"/>
    <x v="779"/>
    <x v="5"/>
    <x v="0"/>
    <x v="0"/>
    <x v="145"/>
    <x v="1745"/>
  </r>
  <r>
    <x v="0"/>
    <n v="1132"/>
    <x v="776"/>
    <x v="0"/>
    <s v="LM"/>
    <s v="S"/>
    <x v="537"/>
    <x v="3"/>
    <x v="146"/>
    <m/>
    <x v="24"/>
    <m/>
    <x v="3"/>
    <x v="0"/>
    <x v="112"/>
    <d v="2011-05-15T00:00:00"/>
    <x v="6"/>
    <x v="0"/>
    <m/>
    <s v="Cinema Emergente"/>
    <x v="147"/>
    <x v="0"/>
    <m/>
    <x v="1"/>
    <x v="5"/>
    <x v="779"/>
    <x v="3"/>
    <x v="190"/>
    <x v="1"/>
    <x v="112"/>
    <x v="1746"/>
  </r>
  <r>
    <x v="0"/>
    <n v="1132"/>
    <x v="776"/>
    <x v="0"/>
    <s v="LM"/>
    <s v="S"/>
    <x v="537"/>
    <x v="3"/>
    <x v="339"/>
    <m/>
    <x v="56"/>
    <m/>
    <x v="16"/>
    <x v="0"/>
    <x v="142"/>
    <d v="2011-07-31T00:00:00"/>
    <x v="8"/>
    <x v="0"/>
    <m/>
    <s v="Panorama"/>
    <x v="0"/>
    <x v="0"/>
    <m/>
    <x v="0"/>
    <x v="5"/>
    <x v="779"/>
    <x v="16"/>
    <x v="0"/>
    <x v="0"/>
    <x v="142"/>
    <x v="1747"/>
  </r>
  <r>
    <x v="0"/>
    <n v="1135"/>
    <x v="777"/>
    <x v="4"/>
    <s v=""/>
    <s v=""/>
    <x v="538"/>
    <x v="2"/>
    <x v="68"/>
    <m/>
    <x v="53"/>
    <m/>
    <x v="3"/>
    <x v="0"/>
    <x v="64"/>
    <d v="2011-07-17T00:00:00"/>
    <x v="8"/>
    <x v="1"/>
    <s v="Take One!"/>
    <m/>
    <x v="0"/>
    <x v="0"/>
    <m/>
    <x v="0"/>
    <x v="7"/>
    <x v="780"/>
    <x v="3"/>
    <x v="0"/>
    <x v="1"/>
    <x v="64"/>
    <x v="1748"/>
  </r>
  <r>
    <x v="0"/>
    <n v="1137"/>
    <x v="778"/>
    <x v="0"/>
    <s v="LM"/>
    <s v="S"/>
    <x v="539"/>
    <x v="13"/>
    <x v="55"/>
    <m/>
    <x v="45"/>
    <m/>
    <x v="3"/>
    <x v="0"/>
    <x v="221"/>
    <d v="2011-03-02T00:00:00"/>
    <x v="19"/>
    <x v="0"/>
    <m/>
    <s v="7º Programa: As Escolhas de José Nascimento"/>
    <x v="0"/>
    <x v="1"/>
    <m/>
    <x v="0"/>
    <x v="5"/>
    <x v="781"/>
    <x v="3"/>
    <x v="0"/>
    <x v="1"/>
    <x v="221"/>
    <x v="1749"/>
  </r>
  <r>
    <x v="0"/>
    <n v="1137"/>
    <x v="778"/>
    <x v="0"/>
    <s v="LM"/>
    <s v="S"/>
    <x v="539"/>
    <x v="13"/>
    <x v="118"/>
    <m/>
    <x v="24"/>
    <m/>
    <x v="3"/>
    <x v="0"/>
    <x v="99"/>
    <d v="2011-12-03T00:00:00"/>
    <x v="11"/>
    <x v="0"/>
    <m/>
    <m/>
    <x v="0"/>
    <x v="1"/>
    <m/>
    <x v="0"/>
    <x v="5"/>
    <x v="781"/>
    <x v="3"/>
    <x v="0"/>
    <x v="1"/>
    <x v="99"/>
    <x v="1750"/>
  </r>
  <r>
    <x v="0"/>
    <n v="1137"/>
    <x v="778"/>
    <x v="0"/>
    <s v="LM"/>
    <s v="S"/>
    <x v="539"/>
    <x v="13"/>
    <x v="38"/>
    <m/>
    <x v="36"/>
    <m/>
    <x v="3"/>
    <x v="0"/>
    <x v="34"/>
    <d v="2011-11-19T00:00:00"/>
    <x v="13"/>
    <x v="0"/>
    <m/>
    <m/>
    <x v="0"/>
    <x v="1"/>
    <m/>
    <x v="0"/>
    <x v="5"/>
    <x v="781"/>
    <x v="3"/>
    <x v="0"/>
    <x v="1"/>
    <x v="34"/>
    <x v="1751"/>
  </r>
  <r>
    <x v="0"/>
    <n v="1138"/>
    <x v="779"/>
    <x v="0"/>
    <s v="CM"/>
    <s v=""/>
    <x v="540"/>
    <x v="2"/>
    <x v="178"/>
    <m/>
    <x v="25"/>
    <m/>
    <x v="3"/>
    <x v="0"/>
    <x v="226"/>
    <d v="2011-07-03T00:00:00"/>
    <x v="17"/>
    <x v="1"/>
    <s v="Sessão Competitiva 1"/>
    <m/>
    <x v="0"/>
    <x v="0"/>
    <m/>
    <x v="0"/>
    <x v="0"/>
    <x v="782"/>
    <x v="3"/>
    <x v="0"/>
    <x v="1"/>
    <x v="226"/>
    <x v="1752"/>
  </r>
  <r>
    <x v="0"/>
    <n v="1138"/>
    <x v="779"/>
    <x v="0"/>
    <s v="CM"/>
    <s v=""/>
    <x v="540"/>
    <x v="2"/>
    <x v="70"/>
    <m/>
    <x v="38"/>
    <m/>
    <x v="3"/>
    <x v="0"/>
    <x v="19"/>
    <d v="2011-09-11T00:00:00"/>
    <x v="9"/>
    <x v="1"/>
    <s v="1ª Sessão Competitiva"/>
    <m/>
    <x v="7"/>
    <x v="0"/>
    <m/>
    <x v="1"/>
    <x v="0"/>
    <x v="782"/>
    <x v="3"/>
    <x v="85"/>
    <x v="1"/>
    <x v="19"/>
    <x v="1753"/>
  </r>
  <r>
    <x v="0"/>
    <n v="1139"/>
    <x v="780"/>
    <x v="1"/>
    <s v="LM"/>
    <s v=""/>
    <x v="257"/>
    <x v="2"/>
    <x v="275"/>
    <m/>
    <x v="24"/>
    <m/>
    <x v="3"/>
    <x v="0"/>
    <x v="119"/>
    <d v="2011-10-02T00:00:00"/>
    <x v="10"/>
    <x v="0"/>
    <m/>
    <m/>
    <x v="0"/>
    <x v="1"/>
    <m/>
    <x v="0"/>
    <x v="1"/>
    <x v="783"/>
    <x v="3"/>
    <x v="0"/>
    <x v="1"/>
    <x v="119"/>
    <x v="1754"/>
  </r>
  <r>
    <x v="0"/>
    <n v="1140"/>
    <x v="781"/>
    <x v="1"/>
    <s v="CM"/>
    <s v="S"/>
    <x v="162"/>
    <x v="2"/>
    <x v="208"/>
    <m/>
    <x v="5"/>
    <m/>
    <x v="3"/>
    <x v="0"/>
    <x v="152"/>
    <d v="2011-05-13T00:00:00"/>
    <x v="6"/>
    <x v="0"/>
    <m/>
    <m/>
    <x v="0"/>
    <x v="1"/>
    <m/>
    <x v="0"/>
    <x v="2"/>
    <x v="784"/>
    <x v="3"/>
    <x v="0"/>
    <x v="1"/>
    <x v="152"/>
    <x v="1755"/>
  </r>
  <r>
    <x v="0"/>
    <n v="1140"/>
    <x v="781"/>
    <x v="1"/>
    <s v="CM"/>
    <s v="S"/>
    <x v="162"/>
    <x v="2"/>
    <x v="13"/>
    <m/>
    <x v="13"/>
    <m/>
    <x v="3"/>
    <x v="0"/>
    <x v="61"/>
    <m/>
    <x v="7"/>
    <x v="0"/>
    <m/>
    <m/>
    <x v="0"/>
    <x v="1"/>
    <m/>
    <x v="0"/>
    <x v="2"/>
    <x v="784"/>
    <x v="3"/>
    <x v="0"/>
    <x v="1"/>
    <x v="61"/>
    <x v="1756"/>
  </r>
  <r>
    <x v="0"/>
    <n v="1141"/>
    <x v="782"/>
    <x v="4"/>
    <s v=""/>
    <s v=""/>
    <x v="101"/>
    <x v="2"/>
    <x v="165"/>
    <m/>
    <x v="65"/>
    <m/>
    <x v="9"/>
    <x v="0"/>
    <x v="111"/>
    <m/>
    <x v="16"/>
    <x v="0"/>
    <m/>
    <m/>
    <x v="0"/>
    <x v="1"/>
    <m/>
    <x v="0"/>
    <x v="7"/>
    <x v="785"/>
    <x v="9"/>
    <x v="0"/>
    <x v="0"/>
    <x v="111"/>
    <x v="1757"/>
  </r>
  <r>
    <x v="0"/>
    <n v="1142"/>
    <x v="783"/>
    <x v="0"/>
    <s v="CM"/>
    <s v="N"/>
    <x v="541"/>
    <x v="2"/>
    <x v="65"/>
    <m/>
    <x v="51"/>
    <m/>
    <x v="14"/>
    <x v="0"/>
    <x v="61"/>
    <d v="2011-06-03T00:00:00"/>
    <x v="7"/>
    <x v="0"/>
    <m/>
    <m/>
    <x v="0"/>
    <x v="0"/>
    <m/>
    <x v="0"/>
    <x v="0"/>
    <x v="786"/>
    <x v="14"/>
    <x v="0"/>
    <x v="0"/>
    <x v="61"/>
    <x v="1758"/>
  </r>
  <r>
    <x v="0"/>
    <n v="1143"/>
    <x v="784"/>
    <x v="0"/>
    <s v="CM"/>
    <s v="N"/>
    <x v="542"/>
    <x v="2"/>
    <x v="67"/>
    <m/>
    <x v="23"/>
    <m/>
    <x v="3"/>
    <x v="0"/>
    <x v="63"/>
    <d v="2011-06-12T00:00:00"/>
    <x v="7"/>
    <x v="1"/>
    <s v="Sessão Competitiva 2"/>
    <m/>
    <x v="7"/>
    <x v="0"/>
    <m/>
    <x v="1"/>
    <x v="0"/>
    <x v="787"/>
    <x v="3"/>
    <x v="191"/>
    <x v="1"/>
    <x v="63"/>
    <x v="1759"/>
  </r>
  <r>
    <x v="0"/>
    <n v="1143"/>
    <x v="784"/>
    <x v="0"/>
    <s v="CM"/>
    <s v="N"/>
    <x v="542"/>
    <x v="2"/>
    <x v="285"/>
    <m/>
    <x v="13"/>
    <m/>
    <x v="3"/>
    <x v="0"/>
    <x v="160"/>
    <d v="2011-07-25T00:00:00"/>
    <x v="8"/>
    <x v="0"/>
    <m/>
    <m/>
    <x v="0"/>
    <x v="1"/>
    <m/>
    <x v="0"/>
    <x v="0"/>
    <x v="787"/>
    <x v="3"/>
    <x v="0"/>
    <x v="1"/>
    <x v="160"/>
    <x v="1760"/>
  </r>
  <r>
    <x v="0"/>
    <n v="1143"/>
    <x v="784"/>
    <x v="0"/>
    <s v="CM"/>
    <s v="N"/>
    <x v="542"/>
    <x v="2"/>
    <x v="177"/>
    <m/>
    <x v="23"/>
    <m/>
    <x v="3"/>
    <x v="0"/>
    <x v="134"/>
    <m/>
    <x v="16"/>
    <x v="0"/>
    <m/>
    <m/>
    <x v="0"/>
    <x v="1"/>
    <m/>
    <x v="0"/>
    <x v="0"/>
    <x v="787"/>
    <x v="3"/>
    <x v="0"/>
    <x v="1"/>
    <x v="134"/>
    <x v="1761"/>
  </r>
  <r>
    <x v="0"/>
    <n v="1143"/>
    <x v="784"/>
    <x v="0"/>
    <s v="CM"/>
    <s v="N"/>
    <x v="542"/>
    <x v="2"/>
    <x v="22"/>
    <m/>
    <x v="22"/>
    <m/>
    <x v="3"/>
    <x v="0"/>
    <x v="20"/>
    <d v="2011-11-17T00:00:00"/>
    <x v="13"/>
    <x v="1"/>
    <s v="Sessão Competitiva 1"/>
    <m/>
    <x v="0"/>
    <x v="0"/>
    <m/>
    <x v="0"/>
    <x v="0"/>
    <x v="787"/>
    <x v="3"/>
    <x v="0"/>
    <x v="1"/>
    <x v="20"/>
    <x v="1762"/>
  </r>
  <r>
    <x v="0"/>
    <n v="1145"/>
    <x v="785"/>
    <x v="0"/>
    <s v="LM"/>
    <s v="S"/>
    <x v="29"/>
    <x v="2"/>
    <x v="55"/>
    <m/>
    <x v="45"/>
    <m/>
    <x v="3"/>
    <x v="0"/>
    <x v="49"/>
    <d v="2011-02-12T00:00:00"/>
    <x v="18"/>
    <x v="0"/>
    <m/>
    <s v="6º Programa: As Escolhas de Teresa Garcia"/>
    <x v="0"/>
    <x v="1"/>
    <m/>
    <x v="0"/>
    <x v="5"/>
    <x v="788"/>
    <x v="3"/>
    <x v="0"/>
    <x v="1"/>
    <x v="49"/>
    <x v="1763"/>
  </r>
  <r>
    <x v="0"/>
    <n v="1145"/>
    <x v="785"/>
    <x v="0"/>
    <s v="LM"/>
    <s v="S"/>
    <x v="29"/>
    <x v="2"/>
    <x v="63"/>
    <m/>
    <x v="24"/>
    <m/>
    <x v="3"/>
    <x v="0"/>
    <x v="59"/>
    <d v="2011-05-01T00:00:00"/>
    <x v="4"/>
    <x v="0"/>
    <m/>
    <s v="Retrospectiva João Botelho"/>
    <x v="0"/>
    <x v="0"/>
    <m/>
    <x v="0"/>
    <x v="5"/>
    <x v="788"/>
    <x v="3"/>
    <x v="0"/>
    <x v="1"/>
    <x v="59"/>
    <x v="1764"/>
  </r>
  <r>
    <x v="0"/>
    <n v="1146"/>
    <x v="786"/>
    <x v="3"/>
    <s v="CM"/>
    <s v="S"/>
    <x v="543"/>
    <x v="2"/>
    <x v="71"/>
    <m/>
    <x v="55"/>
    <m/>
    <x v="3"/>
    <x v="0"/>
    <x v="66"/>
    <d v="2011-10-29T00:00:00"/>
    <x v="14"/>
    <x v="0"/>
    <m/>
    <m/>
    <x v="0"/>
    <x v="1"/>
    <m/>
    <x v="0"/>
    <x v="6"/>
    <x v="789"/>
    <x v="3"/>
    <x v="0"/>
    <x v="1"/>
    <x v="66"/>
    <x v="1765"/>
  </r>
  <r>
    <x v="0"/>
    <n v="1148"/>
    <x v="787"/>
    <x v="0"/>
    <s v="LM"/>
    <s v=""/>
    <x v="544"/>
    <x v="2"/>
    <x v="207"/>
    <m/>
    <x v="24"/>
    <m/>
    <x v="3"/>
    <x v="0"/>
    <x v="109"/>
    <d v="2011-08-14T00:00:00"/>
    <x v="25"/>
    <x v="0"/>
    <m/>
    <m/>
    <x v="0"/>
    <x v="1"/>
    <m/>
    <x v="0"/>
    <x v="5"/>
    <x v="790"/>
    <x v="3"/>
    <x v="0"/>
    <x v="1"/>
    <x v="109"/>
    <x v="1766"/>
  </r>
  <r>
    <x v="0"/>
    <n v="1149"/>
    <x v="788"/>
    <x v="1"/>
    <s v="LM"/>
    <s v="S"/>
    <x v="545"/>
    <x v="10"/>
    <x v="281"/>
    <m/>
    <x v="23"/>
    <m/>
    <x v="3"/>
    <x v="0"/>
    <x v="165"/>
    <d v="2011-10-08T00:00:00"/>
    <x v="14"/>
    <x v="0"/>
    <m/>
    <m/>
    <x v="0"/>
    <x v="1"/>
    <m/>
    <x v="0"/>
    <x v="1"/>
    <x v="791"/>
    <x v="3"/>
    <x v="0"/>
    <x v="1"/>
    <x v="165"/>
    <x v="1767"/>
  </r>
  <r>
    <x v="0"/>
    <n v="1151"/>
    <x v="789"/>
    <x v="0"/>
    <s v="LM"/>
    <s v="S"/>
    <x v="546"/>
    <x v="15"/>
    <x v="128"/>
    <m/>
    <x v="98"/>
    <m/>
    <x v="29"/>
    <x v="0"/>
    <x v="104"/>
    <d v="2011-05-28T00:00:00"/>
    <x v="6"/>
    <x v="0"/>
    <m/>
    <m/>
    <x v="0"/>
    <x v="1"/>
    <m/>
    <x v="0"/>
    <x v="5"/>
    <x v="792"/>
    <x v="29"/>
    <x v="0"/>
    <x v="0"/>
    <x v="104"/>
    <x v="1768"/>
  </r>
  <r>
    <x v="0"/>
    <n v="1151"/>
    <x v="789"/>
    <x v="0"/>
    <s v="LM"/>
    <s v="S"/>
    <x v="546"/>
    <x v="15"/>
    <x v="135"/>
    <m/>
    <x v="102"/>
    <m/>
    <x v="30"/>
    <x v="0"/>
    <x v="104"/>
    <d v="2011-06-01T00:00:00"/>
    <x v="22"/>
    <x v="0"/>
    <m/>
    <m/>
    <x v="0"/>
    <x v="1"/>
    <m/>
    <x v="0"/>
    <x v="5"/>
    <x v="792"/>
    <x v="30"/>
    <x v="0"/>
    <x v="0"/>
    <x v="104"/>
    <x v="1769"/>
  </r>
  <r>
    <x v="0"/>
    <n v="1152"/>
    <x v="790"/>
    <x v="4"/>
    <s v=""/>
    <s v=""/>
    <x v="547"/>
    <x v="2"/>
    <x v="146"/>
    <m/>
    <x v="24"/>
    <m/>
    <x v="3"/>
    <x v="0"/>
    <x v="112"/>
    <d v="2011-05-15T00:00:00"/>
    <x v="6"/>
    <x v="0"/>
    <m/>
    <s v="Indie Music"/>
    <x v="0"/>
    <x v="0"/>
    <m/>
    <x v="0"/>
    <x v="7"/>
    <x v="793"/>
    <x v="3"/>
    <x v="0"/>
    <x v="1"/>
    <x v="112"/>
    <x v="1770"/>
  </r>
  <r>
    <x v="0"/>
    <n v="1152"/>
    <x v="790"/>
    <x v="4"/>
    <s v=""/>
    <s v=""/>
    <x v="547"/>
    <x v="2"/>
    <x v="88"/>
    <m/>
    <x v="67"/>
    <m/>
    <x v="3"/>
    <x v="0"/>
    <x v="79"/>
    <d v="2011-10-15T00:00:00"/>
    <x v="14"/>
    <x v="1"/>
    <s v="Competição LUsófona"/>
    <m/>
    <x v="0"/>
    <x v="0"/>
    <m/>
    <x v="0"/>
    <x v="7"/>
    <x v="793"/>
    <x v="3"/>
    <x v="0"/>
    <x v="1"/>
    <x v="79"/>
    <x v="1771"/>
  </r>
  <r>
    <x v="0"/>
    <n v="1153"/>
    <x v="791"/>
    <x v="4"/>
    <s v=""/>
    <s v=""/>
    <x v="548"/>
    <x v="2"/>
    <x v="14"/>
    <m/>
    <x v="14"/>
    <m/>
    <x v="3"/>
    <x v="0"/>
    <x v="13"/>
    <d v="2011-11-05T00:00:00"/>
    <x v="0"/>
    <x v="0"/>
    <m/>
    <s v="Sessão Especial"/>
    <x v="0"/>
    <x v="0"/>
    <m/>
    <x v="0"/>
    <x v="7"/>
    <x v="794"/>
    <x v="3"/>
    <x v="0"/>
    <x v="1"/>
    <x v="13"/>
    <x v="1772"/>
  </r>
  <r>
    <x v="0"/>
    <n v="1154"/>
    <x v="792"/>
    <x v="0"/>
    <s v="CM"/>
    <s v="N"/>
    <x v="245"/>
    <x v="2"/>
    <x v="33"/>
    <m/>
    <x v="31"/>
    <m/>
    <x v="10"/>
    <x v="0"/>
    <x v="30"/>
    <d v="2011-04-03T00:00:00"/>
    <x v="3"/>
    <x v="0"/>
    <m/>
    <m/>
    <x v="0"/>
    <x v="0"/>
    <m/>
    <x v="0"/>
    <x v="0"/>
    <x v="795"/>
    <x v="10"/>
    <x v="0"/>
    <x v="0"/>
    <x v="30"/>
    <x v="1773"/>
  </r>
  <r>
    <x v="0"/>
    <n v="1154"/>
    <x v="792"/>
    <x v="0"/>
    <s v="CM"/>
    <s v="N"/>
    <x v="245"/>
    <x v="2"/>
    <x v="376"/>
    <m/>
    <x v="247"/>
    <m/>
    <x v="34"/>
    <x v="0"/>
    <x v="116"/>
    <d v="2011-04-13T00:00:00"/>
    <x v="5"/>
    <x v="1"/>
    <s v="Compétition internationale - Courts métrages"/>
    <m/>
    <x v="169"/>
    <x v="0"/>
    <m/>
    <x v="1"/>
    <x v="0"/>
    <x v="795"/>
    <x v="34"/>
    <x v="192"/>
    <x v="0"/>
    <x v="116"/>
    <x v="1774"/>
  </r>
  <r>
    <x v="0"/>
    <n v="1155"/>
    <x v="793"/>
    <x v="4"/>
    <s v=""/>
    <s v=""/>
    <x v="35"/>
    <x v="2"/>
    <x v="81"/>
    <m/>
    <x v="61"/>
    <m/>
    <x v="2"/>
    <x v="0"/>
    <x v="71"/>
    <d v="2011-02-12T00:00:00"/>
    <x v="1"/>
    <x v="0"/>
    <m/>
    <s v="Décibels 1"/>
    <x v="0"/>
    <x v="0"/>
    <m/>
    <x v="0"/>
    <x v="7"/>
    <x v="796"/>
    <x v="2"/>
    <x v="0"/>
    <x v="0"/>
    <x v="71"/>
    <x v="1775"/>
  </r>
  <r>
    <x v="0"/>
    <n v="1156"/>
    <x v="794"/>
    <x v="4"/>
    <s v=""/>
    <s v=""/>
    <x v="549"/>
    <x v="2"/>
    <x v="120"/>
    <m/>
    <x v="83"/>
    <m/>
    <x v="3"/>
    <x v="0"/>
    <x v="16"/>
    <d v="2011-12-04T00:00:00"/>
    <x v="12"/>
    <x v="1"/>
    <s v="Cinéfilos: Ficção"/>
    <m/>
    <x v="0"/>
    <x v="0"/>
    <m/>
    <x v="0"/>
    <x v="7"/>
    <x v="797"/>
    <x v="3"/>
    <x v="0"/>
    <x v="1"/>
    <x v="16"/>
    <x v="1776"/>
  </r>
  <r>
    <x v="0"/>
    <n v="1157"/>
    <x v="795"/>
    <x v="4"/>
    <s v=""/>
    <s v=""/>
    <x v="550"/>
    <x v="2"/>
    <x v="178"/>
    <m/>
    <x v="25"/>
    <m/>
    <x v="3"/>
    <x v="0"/>
    <x v="44"/>
    <d v="2011-07-03T00:00:00"/>
    <x v="17"/>
    <x v="1"/>
    <s v="Sessão Competitiva Cinema Experimental"/>
    <m/>
    <x v="0"/>
    <x v="0"/>
    <m/>
    <x v="0"/>
    <x v="7"/>
    <x v="798"/>
    <x v="3"/>
    <x v="0"/>
    <x v="1"/>
    <x v="44"/>
    <x v="1777"/>
  </r>
  <r>
    <x v="0"/>
    <n v="1159"/>
    <x v="796"/>
    <x v="4"/>
    <s v=""/>
    <s v=""/>
    <x v="551"/>
    <x v="2"/>
    <x v="68"/>
    <m/>
    <x v="53"/>
    <m/>
    <x v="3"/>
    <x v="0"/>
    <x v="64"/>
    <d v="2011-07-17T00:00:00"/>
    <x v="8"/>
    <x v="1"/>
    <s v="Take One!"/>
    <m/>
    <x v="0"/>
    <x v="0"/>
    <m/>
    <x v="0"/>
    <x v="7"/>
    <x v="799"/>
    <x v="3"/>
    <x v="0"/>
    <x v="1"/>
    <x v="64"/>
    <x v="1778"/>
  </r>
  <r>
    <x v="0"/>
    <n v="1162"/>
    <x v="797"/>
    <x v="0"/>
    <s v="LM"/>
    <s v="N"/>
    <x v="14"/>
    <x v="18"/>
    <x v="145"/>
    <m/>
    <x v="111"/>
    <m/>
    <x v="33"/>
    <x v="0"/>
    <x v="117"/>
    <d v="2011-07-26T00:00:00"/>
    <x v="8"/>
    <x v="0"/>
    <m/>
    <m/>
    <x v="0"/>
    <x v="1"/>
    <m/>
    <x v="0"/>
    <x v="5"/>
    <x v="800"/>
    <x v="33"/>
    <x v="0"/>
    <x v="0"/>
    <x v="117"/>
    <x v="1779"/>
  </r>
  <r>
    <x v="0"/>
    <n v="1164"/>
    <x v="798"/>
    <x v="4"/>
    <s v=""/>
    <s v=""/>
    <x v="552"/>
    <x v="2"/>
    <x v="120"/>
    <m/>
    <x v="83"/>
    <m/>
    <x v="3"/>
    <x v="0"/>
    <x v="16"/>
    <d v="2011-12-04T00:00:00"/>
    <x v="12"/>
    <x v="1"/>
    <s v="Cinéfilos: Ficção"/>
    <m/>
    <x v="0"/>
    <x v="0"/>
    <m/>
    <x v="0"/>
    <x v="7"/>
    <x v="801"/>
    <x v="3"/>
    <x v="0"/>
    <x v="1"/>
    <x v="16"/>
    <x v="1780"/>
  </r>
  <r>
    <x v="0"/>
    <n v="1165"/>
    <x v="799"/>
    <x v="4"/>
    <s v=""/>
    <s v=""/>
    <x v="553"/>
    <x v="2"/>
    <x v="22"/>
    <m/>
    <x v="22"/>
    <m/>
    <x v="3"/>
    <x v="0"/>
    <x v="20"/>
    <d v="2011-11-17T00:00:00"/>
    <x v="13"/>
    <x v="1"/>
    <s v="Ensaios Visuais 5"/>
    <m/>
    <x v="0"/>
    <x v="0"/>
    <m/>
    <x v="0"/>
    <x v="7"/>
    <x v="802"/>
    <x v="3"/>
    <x v="0"/>
    <x v="1"/>
    <x v="20"/>
    <x v="1781"/>
  </r>
  <r>
    <x v="0"/>
    <n v="1166"/>
    <x v="800"/>
    <x v="4"/>
    <s v=""/>
    <s v=""/>
    <x v="138"/>
    <x v="2"/>
    <x v="68"/>
    <m/>
    <x v="53"/>
    <m/>
    <x v="3"/>
    <x v="0"/>
    <x v="64"/>
    <d v="2011-07-17T00:00:00"/>
    <x v="8"/>
    <x v="0"/>
    <m/>
    <s v="Panorama Nacional - Super 8"/>
    <x v="0"/>
    <x v="0"/>
    <m/>
    <x v="0"/>
    <x v="7"/>
    <x v="803"/>
    <x v="3"/>
    <x v="0"/>
    <x v="1"/>
    <x v="64"/>
    <x v="1782"/>
  </r>
  <r>
    <x v="0"/>
    <n v="1167"/>
    <x v="801"/>
    <x v="4"/>
    <s v=""/>
    <s v=""/>
    <x v="554"/>
    <x v="2"/>
    <x v="67"/>
    <m/>
    <x v="23"/>
    <m/>
    <x v="3"/>
    <x v="0"/>
    <x v="63"/>
    <d v="2011-06-12T00:00:00"/>
    <x v="7"/>
    <x v="0"/>
    <m/>
    <s v="Sessão Não Competitiva 2"/>
    <x v="0"/>
    <x v="0"/>
    <m/>
    <x v="0"/>
    <x v="7"/>
    <x v="804"/>
    <x v="3"/>
    <x v="0"/>
    <x v="1"/>
    <x v="63"/>
    <x v="1783"/>
  </r>
  <r>
    <x v="0"/>
    <n v="1169"/>
    <x v="802"/>
    <x v="4"/>
    <s v=""/>
    <s v=""/>
    <x v="555"/>
    <x v="2"/>
    <x v="63"/>
    <m/>
    <x v="24"/>
    <m/>
    <x v="3"/>
    <x v="0"/>
    <x v="59"/>
    <d v="2011-05-01T00:00:00"/>
    <x v="4"/>
    <x v="1"/>
    <s v="Sessão Competitiva Curta 5"/>
    <m/>
    <x v="0"/>
    <x v="0"/>
    <m/>
    <x v="0"/>
    <x v="7"/>
    <x v="805"/>
    <x v="3"/>
    <x v="0"/>
    <x v="1"/>
    <x v="59"/>
    <x v="1784"/>
  </r>
  <r>
    <x v="0"/>
    <n v="1169"/>
    <x v="802"/>
    <x v="4"/>
    <s v=""/>
    <s v=""/>
    <x v="555"/>
    <x v="2"/>
    <x v="72"/>
    <m/>
    <x v="22"/>
    <m/>
    <x v="3"/>
    <x v="0"/>
    <x v="14"/>
    <d v="2011-11-26T00:00:00"/>
    <x v="13"/>
    <x v="0"/>
    <m/>
    <m/>
    <x v="0"/>
    <x v="1"/>
    <m/>
    <x v="0"/>
    <x v="7"/>
    <x v="805"/>
    <x v="3"/>
    <x v="0"/>
    <x v="1"/>
    <x v="14"/>
    <x v="1785"/>
  </r>
  <r>
    <x v="0"/>
    <n v="1170"/>
    <x v="803"/>
    <x v="1"/>
    <s v="CM"/>
    <s v="N"/>
    <x v="556"/>
    <x v="2"/>
    <x v="25"/>
    <m/>
    <x v="24"/>
    <m/>
    <x v="3"/>
    <x v="0"/>
    <x v="23"/>
    <d v="2011-10-30T00:00:00"/>
    <x v="14"/>
    <x v="1"/>
    <s v="Competição Portuguesa - Curtas"/>
    <m/>
    <x v="0"/>
    <x v="0"/>
    <m/>
    <x v="0"/>
    <x v="2"/>
    <x v="806"/>
    <x v="3"/>
    <x v="0"/>
    <x v="1"/>
    <x v="23"/>
    <x v="1786"/>
  </r>
  <r>
    <x v="0"/>
    <n v="1171"/>
    <x v="804"/>
    <x v="4"/>
    <s v=""/>
    <s v=""/>
    <x v="557"/>
    <x v="2"/>
    <x v="61"/>
    <m/>
    <x v="50"/>
    <m/>
    <x v="13"/>
    <x v="0"/>
    <x v="57"/>
    <d v="2011-02-25T00:00:00"/>
    <x v="1"/>
    <x v="0"/>
    <m/>
    <m/>
    <x v="0"/>
    <x v="1"/>
    <m/>
    <x v="0"/>
    <x v="7"/>
    <x v="807"/>
    <x v="13"/>
    <x v="0"/>
    <x v="0"/>
    <x v="57"/>
    <x v="1787"/>
  </r>
  <r>
    <x v="0"/>
    <n v="1172"/>
    <x v="805"/>
    <x v="2"/>
    <s v="CM"/>
    <s v="S"/>
    <x v="21"/>
    <x v="2"/>
    <x v="61"/>
    <m/>
    <x v="50"/>
    <m/>
    <x v="13"/>
    <x v="0"/>
    <x v="57"/>
    <d v="2011-02-25T00:00:00"/>
    <x v="1"/>
    <x v="0"/>
    <m/>
    <m/>
    <x v="0"/>
    <x v="1"/>
    <m/>
    <x v="0"/>
    <x v="4"/>
    <x v="808"/>
    <x v="13"/>
    <x v="0"/>
    <x v="0"/>
    <x v="57"/>
    <x v="1788"/>
  </r>
  <r>
    <x v="0"/>
    <n v="1172"/>
    <x v="805"/>
    <x v="2"/>
    <s v="CM"/>
    <s v="S"/>
    <x v="21"/>
    <x v="2"/>
    <x v="55"/>
    <m/>
    <x v="45"/>
    <m/>
    <x v="3"/>
    <x v="0"/>
    <x v="27"/>
    <d v="2011-03-30T00:00:00"/>
    <x v="2"/>
    <x v="0"/>
    <m/>
    <s v="8º Programa: As Escolhas de Nuno Amorim"/>
    <x v="0"/>
    <x v="1"/>
    <m/>
    <x v="0"/>
    <x v="4"/>
    <x v="808"/>
    <x v="3"/>
    <x v="0"/>
    <x v="1"/>
    <x v="27"/>
    <x v="1789"/>
  </r>
  <r>
    <x v="0"/>
    <n v="1173"/>
    <x v="806"/>
    <x v="0"/>
    <s v="CM"/>
    <s v="S"/>
    <x v="558"/>
    <x v="1"/>
    <x v="369"/>
    <m/>
    <x v="175"/>
    <m/>
    <x v="3"/>
    <x v="0"/>
    <x v="55"/>
    <m/>
    <x v="9"/>
    <x v="0"/>
    <m/>
    <m/>
    <x v="0"/>
    <x v="1"/>
    <m/>
    <x v="0"/>
    <x v="0"/>
    <x v="809"/>
    <x v="3"/>
    <x v="0"/>
    <x v="1"/>
    <x v="55"/>
    <x v="1790"/>
  </r>
  <r>
    <x v="0"/>
    <n v="1174"/>
    <x v="807"/>
    <x v="1"/>
    <s v="LM"/>
    <s v="N"/>
    <x v="559"/>
    <x v="2"/>
    <x v="102"/>
    <m/>
    <x v="24"/>
    <m/>
    <x v="3"/>
    <x v="0"/>
    <x v="90"/>
    <d v="2011-07-20T00:00:00"/>
    <x v="17"/>
    <x v="0"/>
    <m/>
    <m/>
    <x v="0"/>
    <x v="1"/>
    <m/>
    <x v="0"/>
    <x v="1"/>
    <x v="810"/>
    <x v="3"/>
    <x v="0"/>
    <x v="1"/>
    <x v="90"/>
    <x v="1791"/>
  </r>
  <r>
    <x v="0"/>
    <n v="1174"/>
    <x v="807"/>
    <x v="1"/>
    <s v="LM"/>
    <s v="N"/>
    <x v="559"/>
    <x v="2"/>
    <x v="149"/>
    <m/>
    <x v="114"/>
    <m/>
    <x v="35"/>
    <x v="0"/>
    <x v="23"/>
    <d v="2011-11-02T00:00:00"/>
    <x v="0"/>
    <x v="0"/>
    <m/>
    <s v="Short Films"/>
    <x v="0"/>
    <x v="0"/>
    <m/>
    <x v="0"/>
    <x v="1"/>
    <x v="810"/>
    <x v="35"/>
    <x v="0"/>
    <x v="0"/>
    <x v="23"/>
    <x v="1792"/>
  </r>
  <r>
    <x v="0"/>
    <n v="1176"/>
    <x v="808"/>
    <x v="1"/>
    <s v="LM"/>
    <s v="N"/>
    <x v="289"/>
    <x v="3"/>
    <x v="146"/>
    <m/>
    <x v="24"/>
    <m/>
    <x v="3"/>
    <x v="0"/>
    <x v="112"/>
    <d v="2011-05-15T00:00:00"/>
    <x v="6"/>
    <x v="0"/>
    <m/>
    <s v="Director's Cut"/>
    <x v="0"/>
    <x v="0"/>
    <m/>
    <x v="0"/>
    <x v="1"/>
    <x v="811"/>
    <x v="3"/>
    <x v="0"/>
    <x v="1"/>
    <x v="112"/>
    <x v="1793"/>
  </r>
  <r>
    <x v="0"/>
    <n v="1177"/>
    <x v="809"/>
    <x v="4"/>
    <s v=""/>
    <s v=""/>
    <x v="21"/>
    <x v="2"/>
    <x v="55"/>
    <m/>
    <x v="45"/>
    <m/>
    <x v="3"/>
    <x v="0"/>
    <x v="27"/>
    <d v="2011-03-30T00:00:00"/>
    <x v="2"/>
    <x v="0"/>
    <m/>
    <s v="8º Programa: As Escolhas de Nuno Amorim"/>
    <x v="0"/>
    <x v="1"/>
    <m/>
    <x v="0"/>
    <x v="7"/>
    <x v="812"/>
    <x v="3"/>
    <x v="0"/>
    <x v="1"/>
    <x v="27"/>
    <x v="1794"/>
  </r>
  <r>
    <x v="0"/>
    <n v="1178"/>
    <x v="810"/>
    <x v="1"/>
    <s v="LM"/>
    <s v="S"/>
    <x v="560"/>
    <x v="5"/>
    <x v="355"/>
    <m/>
    <x v="238"/>
    <m/>
    <x v="63"/>
    <x v="0"/>
    <x v="216"/>
    <d v="2011-02-07T00:00:00"/>
    <x v="18"/>
    <x v="0"/>
    <m/>
    <s v="Bilder om Bilder"/>
    <x v="0"/>
    <x v="0"/>
    <m/>
    <x v="0"/>
    <x v="1"/>
    <x v="813"/>
    <x v="63"/>
    <x v="0"/>
    <x v="0"/>
    <x v="216"/>
    <x v="1795"/>
  </r>
  <r>
    <x v="0"/>
    <n v="1178"/>
    <x v="810"/>
    <x v="1"/>
    <s v="LM"/>
    <s v="S"/>
    <x v="560"/>
    <x v="5"/>
    <x v="377"/>
    <m/>
    <x v="16"/>
    <m/>
    <x v="1"/>
    <x v="0"/>
    <x v="213"/>
    <d v="2011-05-18T00:00:00"/>
    <x v="6"/>
    <x v="1"/>
    <s v="Competición Internacional - Largometrage de creación"/>
    <m/>
    <x v="170"/>
    <x v="0"/>
    <m/>
    <x v="1"/>
    <x v="1"/>
    <x v="813"/>
    <x v="1"/>
    <x v="193"/>
    <x v="0"/>
    <x v="213"/>
    <x v="1796"/>
  </r>
  <r>
    <x v="0"/>
    <n v="1180"/>
    <x v="811"/>
    <x v="0"/>
    <s v="LM"/>
    <s v="S"/>
    <x v="40"/>
    <x v="15"/>
    <x v="3"/>
    <m/>
    <x v="3"/>
    <m/>
    <x v="2"/>
    <x v="0"/>
    <x v="3"/>
    <d v="2011-04-03T00:00:00"/>
    <x v="3"/>
    <x v="0"/>
    <m/>
    <s v="Au Sud de l'Europe - Portugal: Teresa Villaverde Intégrale"/>
    <x v="0"/>
    <x v="0"/>
    <m/>
    <x v="0"/>
    <x v="5"/>
    <x v="814"/>
    <x v="2"/>
    <x v="0"/>
    <x v="0"/>
    <x v="3"/>
    <x v="1797"/>
  </r>
  <r>
    <x v="0"/>
    <n v="1180"/>
    <x v="811"/>
    <x v="0"/>
    <s v="LM"/>
    <s v="S"/>
    <x v="40"/>
    <x v="15"/>
    <x v="378"/>
    <m/>
    <x v="202"/>
    <m/>
    <x v="31"/>
    <x v="0"/>
    <x v="151"/>
    <d v="2011-12-11T00:00:00"/>
    <x v="12"/>
    <x v="0"/>
    <m/>
    <m/>
    <x v="0"/>
    <x v="1"/>
    <m/>
    <x v="0"/>
    <x v="5"/>
    <x v="814"/>
    <x v="31"/>
    <x v="0"/>
    <x v="0"/>
    <x v="151"/>
    <x v="1798"/>
  </r>
  <r>
    <x v="0"/>
    <n v="1181"/>
    <x v="812"/>
    <x v="2"/>
    <s v="CM"/>
    <s v="N"/>
    <x v="561"/>
    <x v="2"/>
    <x v="22"/>
    <m/>
    <x v="22"/>
    <m/>
    <x v="3"/>
    <x v="0"/>
    <x v="20"/>
    <d v="2011-11-17T00:00:00"/>
    <x v="13"/>
    <x v="1"/>
    <s v="Ensaios Visuais 5"/>
    <m/>
    <x v="0"/>
    <x v="0"/>
    <m/>
    <x v="0"/>
    <x v="4"/>
    <x v="815"/>
    <x v="3"/>
    <x v="0"/>
    <x v="1"/>
    <x v="20"/>
    <x v="1799"/>
  </r>
  <r>
    <x v="0"/>
    <n v="1182"/>
    <x v="813"/>
    <x v="1"/>
    <s v="LM"/>
    <s v="N"/>
    <x v="111"/>
    <x v="22"/>
    <x v="91"/>
    <m/>
    <x v="70"/>
    <m/>
    <x v="18"/>
    <x v="0"/>
    <x v="82"/>
    <d v="2011-05-06T00:00:00"/>
    <x v="4"/>
    <x v="0"/>
    <m/>
    <s v="Focus On: Portuguese Cinema 1- António Reis &amp; Margarida Cordeiro"/>
    <x v="0"/>
    <x v="0"/>
    <m/>
    <x v="0"/>
    <x v="1"/>
    <x v="816"/>
    <x v="18"/>
    <x v="0"/>
    <x v="0"/>
    <x v="82"/>
    <x v="1800"/>
  </r>
  <r>
    <x v="0"/>
    <n v="1182"/>
    <x v="813"/>
    <x v="1"/>
    <s v="LM"/>
    <s v="N"/>
    <x v="111"/>
    <x v="22"/>
    <x v="12"/>
    <m/>
    <x v="12"/>
    <m/>
    <x v="2"/>
    <x v="0"/>
    <x v="11"/>
    <d v="2011-09-27T00:00:00"/>
    <x v="9"/>
    <x v="0"/>
    <m/>
    <s v="Etas et Lieux"/>
    <x v="0"/>
    <x v="1"/>
    <m/>
    <x v="0"/>
    <x v="1"/>
    <x v="816"/>
    <x v="2"/>
    <x v="0"/>
    <x v="0"/>
    <x v="11"/>
    <x v="1801"/>
  </r>
  <r>
    <x v="0"/>
    <n v="1182"/>
    <x v="813"/>
    <x v="1"/>
    <s v="LM"/>
    <s v="N"/>
    <x v="111"/>
    <x v="22"/>
    <x v="158"/>
    <m/>
    <x v="121"/>
    <m/>
    <x v="3"/>
    <x v="0"/>
    <x v="119"/>
    <d v="2011-10-02T00:00:00"/>
    <x v="10"/>
    <x v="0"/>
    <m/>
    <s v="Povo e Território"/>
    <x v="0"/>
    <x v="0"/>
    <m/>
    <x v="0"/>
    <x v="1"/>
    <x v="816"/>
    <x v="3"/>
    <x v="0"/>
    <x v="1"/>
    <x v="119"/>
    <x v="1802"/>
  </r>
  <r>
    <x v="0"/>
    <n v="1183"/>
    <x v="814"/>
    <x v="0"/>
    <s v="LM"/>
    <s v="S"/>
    <x v="40"/>
    <x v="39"/>
    <x v="3"/>
    <m/>
    <x v="3"/>
    <m/>
    <x v="2"/>
    <x v="0"/>
    <x v="3"/>
    <d v="2011-04-03T00:00:00"/>
    <x v="3"/>
    <x v="0"/>
    <m/>
    <s v="Au Sud de l'Europe - Portugal: Teresa Villaverde Intégrale"/>
    <x v="0"/>
    <x v="0"/>
    <m/>
    <x v="0"/>
    <x v="5"/>
    <x v="817"/>
    <x v="2"/>
    <x v="0"/>
    <x v="0"/>
    <x v="3"/>
    <x v="1803"/>
  </r>
  <r>
    <x v="0"/>
    <n v="1185"/>
    <x v="815"/>
    <x v="4"/>
    <s v=""/>
    <s v=""/>
    <x v="29"/>
    <x v="2"/>
    <x v="63"/>
    <m/>
    <x v="24"/>
    <m/>
    <x v="3"/>
    <x v="0"/>
    <x v="59"/>
    <d v="2011-05-01T00:00:00"/>
    <x v="4"/>
    <x v="0"/>
    <m/>
    <s v="Retrospectiva João Botelho"/>
    <x v="0"/>
    <x v="0"/>
    <m/>
    <x v="0"/>
    <x v="7"/>
    <x v="818"/>
    <x v="3"/>
    <x v="0"/>
    <x v="1"/>
    <x v="59"/>
    <x v="1804"/>
  </r>
  <r>
    <x v="0"/>
    <n v="1188"/>
    <x v="816"/>
    <x v="4"/>
    <s v=""/>
    <s v=""/>
    <x v="562"/>
    <x v="2"/>
    <x v="70"/>
    <m/>
    <x v="38"/>
    <m/>
    <x v="3"/>
    <x v="0"/>
    <x v="19"/>
    <d v="2011-09-11T00:00:00"/>
    <x v="9"/>
    <x v="1"/>
    <s v="3ª sessão Competitiva"/>
    <m/>
    <x v="0"/>
    <x v="0"/>
    <m/>
    <x v="0"/>
    <x v="7"/>
    <x v="819"/>
    <x v="3"/>
    <x v="0"/>
    <x v="1"/>
    <x v="19"/>
    <x v="1805"/>
  </r>
  <r>
    <x v="0"/>
    <n v="1189"/>
    <x v="817"/>
    <x v="4"/>
    <s v=""/>
    <s v=""/>
    <x v="563"/>
    <x v="2"/>
    <x v="26"/>
    <m/>
    <x v="24"/>
    <m/>
    <x v="3"/>
    <x v="0"/>
    <x v="24"/>
    <d v="2011-03-27T00:00:00"/>
    <x v="2"/>
    <x v="0"/>
    <m/>
    <s v="Retrospectiva &quot;20 Anos da ANIMANOSTRA&quot;"/>
    <x v="0"/>
    <x v="0"/>
    <m/>
    <x v="0"/>
    <x v="7"/>
    <x v="820"/>
    <x v="3"/>
    <x v="0"/>
    <x v="1"/>
    <x v="24"/>
    <x v="1806"/>
  </r>
  <r>
    <x v="0"/>
    <n v="1190"/>
    <x v="818"/>
    <x v="0"/>
    <s v="LM"/>
    <s v="S"/>
    <x v="29"/>
    <x v="2"/>
    <x v="63"/>
    <m/>
    <x v="24"/>
    <m/>
    <x v="3"/>
    <x v="0"/>
    <x v="59"/>
    <d v="2011-05-01T00:00:00"/>
    <x v="4"/>
    <x v="0"/>
    <m/>
    <s v="Retrospectiva João Botelho"/>
    <x v="0"/>
    <x v="0"/>
    <m/>
    <x v="0"/>
    <x v="5"/>
    <x v="821"/>
    <x v="3"/>
    <x v="0"/>
    <x v="1"/>
    <x v="59"/>
    <x v="1807"/>
  </r>
  <r>
    <x v="0"/>
    <n v="1190"/>
    <x v="818"/>
    <x v="0"/>
    <s v="LM"/>
    <s v="S"/>
    <x v="29"/>
    <x v="2"/>
    <x v="91"/>
    <m/>
    <x v="70"/>
    <m/>
    <x v="18"/>
    <x v="0"/>
    <x v="82"/>
    <d v="2011-05-06T00:00:00"/>
    <x v="4"/>
    <x v="0"/>
    <m/>
    <s v="Focus On: Portuguese Cinema 2- Before and After Revolution"/>
    <x v="0"/>
    <x v="0"/>
    <m/>
    <x v="0"/>
    <x v="5"/>
    <x v="821"/>
    <x v="18"/>
    <x v="0"/>
    <x v="0"/>
    <x v="82"/>
    <x v="1808"/>
  </r>
  <r>
    <x v="0"/>
    <n v="1191"/>
    <x v="819"/>
    <x v="0"/>
    <s v="LM"/>
    <s v="S"/>
    <x v="564"/>
    <x v="2"/>
    <x v="2"/>
    <m/>
    <x v="2"/>
    <m/>
    <x v="2"/>
    <x v="0"/>
    <x v="2"/>
    <d v="2011-03-29T00:00:00"/>
    <x v="2"/>
    <x v="0"/>
    <m/>
    <m/>
    <x v="0"/>
    <x v="1"/>
    <m/>
    <x v="0"/>
    <x v="5"/>
    <x v="822"/>
    <x v="2"/>
    <x v="0"/>
    <x v="0"/>
    <x v="2"/>
    <x v="1809"/>
  </r>
  <r>
    <x v="0"/>
    <n v="1191"/>
    <x v="819"/>
    <x v="0"/>
    <s v="LM"/>
    <s v="S"/>
    <x v="564"/>
    <x v="2"/>
    <x v="10"/>
    <m/>
    <x v="10"/>
    <m/>
    <x v="0"/>
    <x v="0"/>
    <x v="10"/>
    <d v="2011-09-25T00:00:00"/>
    <x v="9"/>
    <x v="1"/>
    <s v="Andorinha Longa Ficção"/>
    <m/>
    <x v="171"/>
    <x v="0"/>
    <m/>
    <x v="1"/>
    <x v="5"/>
    <x v="822"/>
    <x v="0"/>
    <x v="194"/>
    <x v="0"/>
    <x v="10"/>
    <x v="1810"/>
  </r>
  <r>
    <x v="0"/>
    <n v="1191"/>
    <x v="819"/>
    <x v="0"/>
    <s v="LM"/>
    <s v="S"/>
    <x v="564"/>
    <x v="2"/>
    <x v="379"/>
    <m/>
    <x v="34"/>
    <m/>
    <x v="11"/>
    <x v="0"/>
    <x v="148"/>
    <m/>
    <x v="12"/>
    <x v="0"/>
    <m/>
    <m/>
    <x v="0"/>
    <x v="1"/>
    <m/>
    <x v="0"/>
    <x v="5"/>
    <x v="822"/>
    <x v="11"/>
    <x v="0"/>
    <x v="0"/>
    <x v="148"/>
    <x v="1811"/>
  </r>
  <r>
    <x v="0"/>
    <n v="1629"/>
    <x v="820"/>
    <x v="4"/>
    <s v="CM"/>
    <s v="N"/>
    <x v="563"/>
    <x v="4"/>
    <x v="109"/>
    <m/>
    <x v="23"/>
    <m/>
    <x v="3"/>
    <x v="0"/>
    <x v="115"/>
    <d v="2011-06-05T00:00:00"/>
    <x v="23"/>
    <x v="0"/>
    <m/>
    <s v="Momento XIX"/>
    <x v="0"/>
    <x v="1"/>
    <m/>
    <x v="0"/>
    <x v="8"/>
    <x v="823"/>
    <x v="3"/>
    <x v="0"/>
    <x v="1"/>
    <x v="115"/>
    <x v="1812"/>
  </r>
  <r>
    <x v="0"/>
    <n v="1192"/>
    <x v="821"/>
    <x v="4"/>
    <s v=""/>
    <s v=""/>
    <x v="565"/>
    <x v="2"/>
    <x v="120"/>
    <m/>
    <x v="83"/>
    <m/>
    <x v="3"/>
    <x v="0"/>
    <x v="16"/>
    <d v="2011-12-04T00:00:00"/>
    <x v="12"/>
    <x v="1"/>
    <s v="Cinéfilos: Ficção"/>
    <m/>
    <x v="0"/>
    <x v="0"/>
    <m/>
    <x v="0"/>
    <x v="7"/>
    <x v="824"/>
    <x v="3"/>
    <x v="0"/>
    <x v="1"/>
    <x v="16"/>
    <x v="1813"/>
  </r>
  <r>
    <x v="0"/>
    <n v="1193"/>
    <x v="822"/>
    <x v="0"/>
    <s v="CM"/>
    <s v="N"/>
    <x v="566"/>
    <x v="2"/>
    <x v="120"/>
    <m/>
    <x v="83"/>
    <m/>
    <x v="3"/>
    <x v="0"/>
    <x v="16"/>
    <d v="2011-12-04T00:00:00"/>
    <x v="12"/>
    <x v="1"/>
    <s v="Cinéfilos: Documentários"/>
    <m/>
    <x v="94"/>
    <x v="0"/>
    <m/>
    <x v="1"/>
    <x v="0"/>
    <x v="825"/>
    <x v="3"/>
    <x v="195"/>
    <x v="1"/>
    <x v="16"/>
    <x v="1814"/>
  </r>
  <r>
    <x v="0"/>
    <n v="1194"/>
    <x v="823"/>
    <x v="0"/>
    <s v="CM"/>
    <s v="N"/>
    <x v="293"/>
    <x v="1"/>
    <x v="30"/>
    <m/>
    <x v="28"/>
    <m/>
    <x v="8"/>
    <x v="0"/>
    <x v="28"/>
    <d v="2011-03-20T00:00:00"/>
    <x v="2"/>
    <x v="0"/>
    <m/>
    <s v="A Portuguesa 2- Out of Touch"/>
    <x v="0"/>
    <x v="0"/>
    <m/>
    <x v="0"/>
    <x v="0"/>
    <x v="826"/>
    <x v="8"/>
    <x v="0"/>
    <x v="0"/>
    <x v="28"/>
    <x v="1815"/>
  </r>
  <r>
    <x v="0"/>
    <n v="1194"/>
    <x v="823"/>
    <x v="0"/>
    <s v="CM"/>
    <s v="N"/>
    <x v="293"/>
    <x v="1"/>
    <x v="18"/>
    <m/>
    <x v="18"/>
    <m/>
    <x v="3"/>
    <x v="0"/>
    <x v="17"/>
    <d v="2011-12-14T00:00:00"/>
    <x v="12"/>
    <x v="0"/>
    <m/>
    <m/>
    <x v="0"/>
    <x v="1"/>
    <m/>
    <x v="0"/>
    <x v="0"/>
    <x v="826"/>
    <x v="3"/>
    <x v="0"/>
    <x v="1"/>
    <x v="17"/>
    <x v="1816"/>
  </r>
  <r>
    <x v="0"/>
    <n v="1195"/>
    <x v="824"/>
    <x v="0"/>
    <s v="CM"/>
    <s v="N"/>
    <x v="132"/>
    <x v="2"/>
    <x v="78"/>
    <m/>
    <x v="59"/>
    <m/>
    <x v="3"/>
    <x v="0"/>
    <x v="66"/>
    <d v="2011-10-30T00:00:00"/>
    <x v="14"/>
    <x v="1"/>
    <s v="Competição Nacional"/>
    <m/>
    <x v="0"/>
    <x v="0"/>
    <m/>
    <x v="0"/>
    <x v="0"/>
    <x v="827"/>
    <x v="3"/>
    <x v="0"/>
    <x v="1"/>
    <x v="66"/>
    <x v="1817"/>
  </r>
  <r>
    <x v="0"/>
    <n v="1196"/>
    <x v="825"/>
    <x v="4"/>
    <s v=""/>
    <s v=""/>
    <x v="47"/>
    <x v="2"/>
    <x v="68"/>
    <m/>
    <x v="53"/>
    <m/>
    <x v="3"/>
    <x v="0"/>
    <x v="64"/>
    <d v="2011-07-17T00:00:00"/>
    <x v="8"/>
    <x v="0"/>
    <m/>
    <s v="Panorama Nacional - Super 8"/>
    <x v="0"/>
    <x v="0"/>
    <m/>
    <x v="0"/>
    <x v="7"/>
    <x v="828"/>
    <x v="3"/>
    <x v="0"/>
    <x v="1"/>
    <x v="64"/>
    <x v="1818"/>
  </r>
  <r>
    <x v="0"/>
    <n v="1197"/>
    <x v="826"/>
    <x v="0"/>
    <s v="LM"/>
    <s v="S"/>
    <x v="20"/>
    <x v="2"/>
    <x v="168"/>
    <m/>
    <x v="128"/>
    <m/>
    <x v="1"/>
    <x v="0"/>
    <x v="92"/>
    <d v="2011-11-25T00:00:00"/>
    <x v="13"/>
    <x v="0"/>
    <m/>
    <m/>
    <x v="0"/>
    <x v="1"/>
    <m/>
    <x v="0"/>
    <x v="5"/>
    <x v="829"/>
    <x v="1"/>
    <x v="0"/>
    <x v="0"/>
    <x v="92"/>
    <x v="1819"/>
  </r>
  <r>
    <x v="0"/>
    <n v="1198"/>
    <x v="827"/>
    <x v="1"/>
    <s v="LM"/>
    <s v="N"/>
    <x v="195"/>
    <x v="2"/>
    <x v="25"/>
    <m/>
    <x v="24"/>
    <m/>
    <x v="3"/>
    <x v="0"/>
    <x v="23"/>
    <d v="2011-10-30T00:00:00"/>
    <x v="14"/>
    <x v="0"/>
    <m/>
    <s v="Selecção Portuguesa - Sessões Especiais - Fora de Competição"/>
    <x v="0"/>
    <x v="0"/>
    <m/>
    <x v="0"/>
    <x v="1"/>
    <x v="830"/>
    <x v="3"/>
    <x v="0"/>
    <x v="1"/>
    <x v="23"/>
    <x v="1820"/>
  </r>
  <r>
    <x v="0"/>
    <n v="1199"/>
    <x v="828"/>
    <x v="0"/>
    <s v="LM"/>
    <s v="N"/>
    <x v="567"/>
    <x v="5"/>
    <x v="62"/>
    <m/>
    <x v="23"/>
    <m/>
    <x v="3"/>
    <x v="0"/>
    <x v="58"/>
    <d v="2011-03-06T00:00:00"/>
    <x v="19"/>
    <x v="0"/>
    <m/>
    <s v="Panorama do Cinema Português"/>
    <x v="0"/>
    <x v="0"/>
    <m/>
    <x v="0"/>
    <x v="5"/>
    <x v="831"/>
    <x v="3"/>
    <x v="0"/>
    <x v="1"/>
    <x v="58"/>
    <x v="1821"/>
  </r>
  <r>
    <x v="0"/>
    <n v="1199"/>
    <x v="828"/>
    <x v="0"/>
    <s v="LM"/>
    <s v="N"/>
    <x v="567"/>
    <x v="5"/>
    <x v="13"/>
    <m/>
    <x v="13"/>
    <m/>
    <x v="3"/>
    <x v="0"/>
    <x v="126"/>
    <m/>
    <x v="5"/>
    <x v="0"/>
    <m/>
    <m/>
    <x v="0"/>
    <x v="1"/>
    <m/>
    <x v="0"/>
    <x v="5"/>
    <x v="831"/>
    <x v="3"/>
    <x v="0"/>
    <x v="1"/>
    <x v="126"/>
    <x v="1822"/>
  </r>
  <r>
    <x v="0"/>
    <n v="1199"/>
    <x v="828"/>
    <x v="0"/>
    <s v="LM"/>
    <s v="N"/>
    <x v="567"/>
    <x v="5"/>
    <x v="63"/>
    <m/>
    <x v="24"/>
    <m/>
    <x v="3"/>
    <x v="0"/>
    <x v="59"/>
    <d v="2011-05-01T00:00:00"/>
    <x v="4"/>
    <x v="1"/>
    <s v="Competição Longas Metragens"/>
    <m/>
    <x v="0"/>
    <x v="0"/>
    <m/>
    <x v="0"/>
    <x v="5"/>
    <x v="831"/>
    <x v="3"/>
    <x v="0"/>
    <x v="1"/>
    <x v="59"/>
    <x v="1823"/>
  </r>
  <r>
    <x v="0"/>
    <n v="1199"/>
    <x v="828"/>
    <x v="0"/>
    <s v="LM"/>
    <s v="N"/>
    <x v="567"/>
    <x v="5"/>
    <x v="155"/>
    <m/>
    <x v="119"/>
    <m/>
    <x v="3"/>
    <x v="0"/>
    <x v="124"/>
    <d v="2011-12-29T00:00:00"/>
    <x v="12"/>
    <x v="0"/>
    <m/>
    <m/>
    <x v="0"/>
    <x v="1"/>
    <m/>
    <x v="0"/>
    <x v="5"/>
    <x v="831"/>
    <x v="3"/>
    <x v="0"/>
    <x v="1"/>
    <x v="124"/>
    <x v="1824"/>
  </r>
  <r>
    <x v="0"/>
    <n v="1200"/>
    <x v="829"/>
    <x v="2"/>
    <s v="CM"/>
    <s v="S"/>
    <x v="568"/>
    <x v="1"/>
    <x v="110"/>
    <m/>
    <x v="85"/>
    <m/>
    <x v="23"/>
    <x v="0"/>
    <x v="95"/>
    <m/>
    <x v="7"/>
    <x v="0"/>
    <m/>
    <m/>
    <x v="0"/>
    <x v="1"/>
    <m/>
    <x v="0"/>
    <x v="4"/>
    <x v="832"/>
    <x v="23"/>
    <x v="0"/>
    <x v="0"/>
    <x v="95"/>
    <x v="1825"/>
  </r>
  <r>
    <x v="0"/>
    <n v="1200"/>
    <x v="829"/>
    <x v="2"/>
    <s v="CM"/>
    <s v="S"/>
    <x v="568"/>
    <x v="1"/>
    <x v="380"/>
    <m/>
    <x v="248"/>
    <m/>
    <x v="9"/>
    <x v="0"/>
    <x v="227"/>
    <d v="2011-08-06T00:00:00"/>
    <x v="25"/>
    <x v="1"/>
    <m/>
    <m/>
    <x v="0"/>
    <x v="0"/>
    <m/>
    <x v="0"/>
    <x v="4"/>
    <x v="832"/>
    <x v="9"/>
    <x v="0"/>
    <x v="0"/>
    <x v="227"/>
    <x v="1826"/>
  </r>
  <r>
    <x v="0"/>
    <n v="1200"/>
    <x v="829"/>
    <x v="2"/>
    <s v="CM"/>
    <s v="S"/>
    <x v="568"/>
    <x v="1"/>
    <x v="297"/>
    <m/>
    <x v="203"/>
    <m/>
    <x v="3"/>
    <x v="0"/>
    <x v="191"/>
    <m/>
    <x v="12"/>
    <x v="0"/>
    <m/>
    <m/>
    <x v="0"/>
    <x v="1"/>
    <m/>
    <x v="0"/>
    <x v="4"/>
    <x v="832"/>
    <x v="3"/>
    <x v="0"/>
    <x v="1"/>
    <x v="191"/>
    <x v="1827"/>
  </r>
  <r>
    <x v="0"/>
    <n v="1201"/>
    <x v="830"/>
    <x v="0"/>
    <s v="CM"/>
    <s v=""/>
    <x v="569"/>
    <x v="2"/>
    <x v="120"/>
    <m/>
    <x v="83"/>
    <m/>
    <x v="3"/>
    <x v="0"/>
    <x v="15"/>
    <d v="2011-12-04T00:00:00"/>
    <x v="12"/>
    <x v="1"/>
    <s v="Cineastas: Ficção"/>
    <m/>
    <x v="0"/>
    <x v="0"/>
    <m/>
    <x v="0"/>
    <x v="0"/>
    <x v="833"/>
    <x v="3"/>
    <x v="0"/>
    <x v="1"/>
    <x v="15"/>
    <x v="1828"/>
  </r>
  <r>
    <x v="0"/>
    <n v="1203"/>
    <x v="831"/>
    <x v="0"/>
    <s v="CM"/>
    <s v="N"/>
    <x v="570"/>
    <x v="2"/>
    <x v="66"/>
    <m/>
    <x v="52"/>
    <m/>
    <x v="3"/>
    <x v="0"/>
    <x v="62"/>
    <d v="2011-06-12T00:00:00"/>
    <x v="7"/>
    <x v="0"/>
    <m/>
    <s v="Curtos Escolas-Universidade Lusófona"/>
    <x v="0"/>
    <x v="0"/>
    <m/>
    <x v="0"/>
    <x v="0"/>
    <x v="834"/>
    <x v="3"/>
    <x v="0"/>
    <x v="1"/>
    <x v="62"/>
    <x v="1829"/>
  </r>
  <r>
    <x v="0"/>
    <n v="1372"/>
    <x v="832"/>
    <x v="0"/>
    <s v="CM"/>
    <s v="N"/>
    <x v="10"/>
    <x v="38"/>
    <x v="38"/>
    <m/>
    <x v="36"/>
    <m/>
    <x v="3"/>
    <x v="0"/>
    <x v="34"/>
    <d v="2011-11-19T00:00:00"/>
    <x v="13"/>
    <x v="0"/>
    <m/>
    <s v="Integral da Ficção de Manuel Mozos"/>
    <x v="0"/>
    <x v="1"/>
    <m/>
    <x v="0"/>
    <x v="0"/>
    <x v="835"/>
    <x v="3"/>
    <x v="0"/>
    <x v="1"/>
    <x v="34"/>
    <x v="1830"/>
  </r>
  <r>
    <x v="0"/>
    <n v="1205"/>
    <x v="833"/>
    <x v="0"/>
    <s v="CM"/>
    <s v="S"/>
    <x v="316"/>
    <x v="1"/>
    <x v="33"/>
    <m/>
    <x v="31"/>
    <m/>
    <x v="10"/>
    <x v="0"/>
    <x v="30"/>
    <d v="2011-04-03T00:00:00"/>
    <x v="3"/>
    <x v="0"/>
    <m/>
    <m/>
    <x v="0"/>
    <x v="0"/>
    <m/>
    <x v="0"/>
    <x v="0"/>
    <x v="836"/>
    <x v="10"/>
    <x v="0"/>
    <x v="0"/>
    <x v="30"/>
    <x v="1831"/>
  </r>
  <r>
    <x v="0"/>
    <n v="1207"/>
    <x v="834"/>
    <x v="4"/>
    <s v=""/>
    <s v=""/>
    <x v="571"/>
    <x v="2"/>
    <x v="77"/>
    <m/>
    <x v="32"/>
    <m/>
    <x v="3"/>
    <x v="0"/>
    <x v="68"/>
    <m/>
    <x v="16"/>
    <x v="0"/>
    <m/>
    <m/>
    <x v="0"/>
    <x v="1"/>
    <m/>
    <x v="0"/>
    <x v="7"/>
    <x v="837"/>
    <x v="3"/>
    <x v="0"/>
    <x v="1"/>
    <x v="68"/>
    <x v="1832"/>
  </r>
  <r>
    <x v="0"/>
    <n v="1208"/>
    <x v="835"/>
    <x v="4"/>
    <s v=""/>
    <s v=""/>
    <x v="15"/>
    <x v="2"/>
    <x v="43"/>
    <m/>
    <x v="40"/>
    <m/>
    <x v="3"/>
    <x v="0"/>
    <x v="20"/>
    <d v="2011-11-26T00:00:00"/>
    <x v="13"/>
    <x v="0"/>
    <m/>
    <m/>
    <x v="0"/>
    <x v="1"/>
    <m/>
    <x v="0"/>
    <x v="7"/>
    <x v="838"/>
    <x v="3"/>
    <x v="0"/>
    <x v="1"/>
    <x v="20"/>
    <x v="1833"/>
  </r>
  <r>
    <x v="0"/>
    <n v="1210"/>
    <x v="836"/>
    <x v="0"/>
    <s v="LM"/>
    <s v="N"/>
    <x v="158"/>
    <x v="35"/>
    <x v="76"/>
    <m/>
    <x v="58"/>
    <m/>
    <x v="17"/>
    <x v="0"/>
    <x v="67"/>
    <d v="2011-11-30T00:00:00"/>
    <x v="13"/>
    <x v="0"/>
    <m/>
    <m/>
    <x v="0"/>
    <x v="0"/>
    <m/>
    <x v="0"/>
    <x v="5"/>
    <x v="839"/>
    <x v="17"/>
    <x v="0"/>
    <x v="0"/>
    <x v="67"/>
    <x v="1834"/>
  </r>
  <r>
    <x v="0"/>
    <n v="1210"/>
    <x v="836"/>
    <x v="0"/>
    <s v="LM"/>
    <s v="N"/>
    <x v="158"/>
    <x v="35"/>
    <x v="46"/>
    <m/>
    <x v="24"/>
    <m/>
    <x v="3"/>
    <x v="0"/>
    <x v="41"/>
    <d v="2011-11-22T00:00:00"/>
    <x v="13"/>
    <x v="0"/>
    <m/>
    <s v="O Cinema à volta de Cinco Artes, Cinco Artes à volta do Cinema"/>
    <x v="0"/>
    <x v="0"/>
    <m/>
    <x v="0"/>
    <x v="5"/>
    <x v="839"/>
    <x v="3"/>
    <x v="0"/>
    <x v="1"/>
    <x v="41"/>
    <x v="1835"/>
  </r>
  <r>
    <x v="0"/>
    <n v="1210"/>
    <x v="836"/>
    <x v="0"/>
    <s v="LM"/>
    <s v="N"/>
    <x v="158"/>
    <x v="35"/>
    <x v="368"/>
    <m/>
    <x v="23"/>
    <m/>
    <x v="3"/>
    <x v="0"/>
    <x v="148"/>
    <m/>
    <x v="12"/>
    <x v="0"/>
    <m/>
    <m/>
    <x v="0"/>
    <x v="1"/>
    <m/>
    <x v="0"/>
    <x v="5"/>
    <x v="839"/>
    <x v="3"/>
    <x v="0"/>
    <x v="1"/>
    <x v="148"/>
    <x v="1836"/>
  </r>
  <r>
    <x v="0"/>
    <n v="1211"/>
    <x v="837"/>
    <x v="4"/>
    <s v=""/>
    <s v=""/>
    <x v="572"/>
    <x v="2"/>
    <x v="22"/>
    <m/>
    <x v="22"/>
    <m/>
    <x v="3"/>
    <x v="0"/>
    <x v="20"/>
    <d v="2011-11-17T00:00:00"/>
    <x v="13"/>
    <x v="1"/>
    <s v="Sessão Competitiva 1"/>
    <m/>
    <x v="0"/>
    <x v="0"/>
    <m/>
    <x v="0"/>
    <x v="7"/>
    <x v="840"/>
    <x v="3"/>
    <x v="0"/>
    <x v="1"/>
    <x v="20"/>
    <x v="1837"/>
  </r>
  <r>
    <x v="0"/>
    <n v="1212"/>
    <x v="838"/>
    <x v="4"/>
    <s v="CM"/>
    <s v=""/>
    <x v="573"/>
    <x v="2"/>
    <x v="166"/>
    <m/>
    <x v="126"/>
    <m/>
    <x v="37"/>
    <x v="0"/>
    <x v="51"/>
    <d v="2011-06-29T00:00:00"/>
    <x v="7"/>
    <x v="0"/>
    <m/>
    <m/>
    <x v="0"/>
    <x v="0"/>
    <m/>
    <x v="0"/>
    <x v="8"/>
    <x v="841"/>
    <x v="37"/>
    <x v="0"/>
    <x v="0"/>
    <x v="51"/>
    <x v="1838"/>
  </r>
  <r>
    <x v="0"/>
    <n v="910"/>
    <x v="839"/>
    <x v="0"/>
    <s v="CM"/>
    <s v="S"/>
    <x v="322"/>
    <x v="5"/>
    <x v="62"/>
    <m/>
    <x v="23"/>
    <m/>
    <x v="3"/>
    <x v="0"/>
    <x v="58"/>
    <d v="2011-03-06T00:00:00"/>
    <x v="19"/>
    <x v="0"/>
    <m/>
    <s v="Panorama do Cinema Português"/>
    <x v="0"/>
    <x v="0"/>
    <m/>
    <x v="0"/>
    <x v="0"/>
    <x v="842"/>
    <x v="3"/>
    <x v="0"/>
    <x v="1"/>
    <x v="58"/>
    <x v="1839"/>
  </r>
  <r>
    <x v="0"/>
    <n v="910"/>
    <x v="839"/>
    <x v="0"/>
    <s v="CM"/>
    <s v="S"/>
    <x v="322"/>
    <x v="5"/>
    <x v="110"/>
    <m/>
    <x v="85"/>
    <m/>
    <x v="23"/>
    <x v="0"/>
    <x v="95"/>
    <m/>
    <x v="7"/>
    <x v="0"/>
    <m/>
    <m/>
    <x v="0"/>
    <x v="1"/>
    <m/>
    <x v="0"/>
    <x v="0"/>
    <x v="842"/>
    <x v="23"/>
    <x v="0"/>
    <x v="0"/>
    <x v="95"/>
    <x v="1840"/>
  </r>
  <r>
    <x v="0"/>
    <n v="910"/>
    <x v="839"/>
    <x v="0"/>
    <s v="CM"/>
    <s v="S"/>
    <x v="322"/>
    <x v="5"/>
    <x v="78"/>
    <m/>
    <x v="59"/>
    <m/>
    <x v="3"/>
    <x v="0"/>
    <x v="66"/>
    <d v="2011-10-30T00:00:00"/>
    <x v="14"/>
    <x v="1"/>
    <s v="Competição Nacional"/>
    <m/>
    <x v="0"/>
    <x v="0"/>
    <m/>
    <x v="0"/>
    <x v="0"/>
    <x v="842"/>
    <x v="3"/>
    <x v="0"/>
    <x v="1"/>
    <x v="66"/>
    <x v="1841"/>
  </r>
  <r>
    <x v="0"/>
    <n v="1220"/>
    <x v="840"/>
    <x v="4"/>
    <s v=""/>
    <s v=""/>
    <x v="574"/>
    <x v="2"/>
    <x v="109"/>
    <m/>
    <x v="23"/>
    <m/>
    <x v="3"/>
    <x v="0"/>
    <x v="115"/>
    <d v="2011-06-05T00:00:00"/>
    <x v="23"/>
    <x v="0"/>
    <m/>
    <s v="Momento XIX"/>
    <x v="0"/>
    <x v="1"/>
    <m/>
    <x v="0"/>
    <x v="7"/>
    <x v="843"/>
    <x v="3"/>
    <x v="0"/>
    <x v="1"/>
    <x v="115"/>
    <x v="1842"/>
  </r>
  <r>
    <x v="0"/>
    <n v="1221"/>
    <x v="841"/>
    <x v="2"/>
    <s v="CM"/>
    <s v="S"/>
    <x v="517"/>
    <x v="2"/>
    <x v="52"/>
    <m/>
    <x v="24"/>
    <m/>
    <x v="3"/>
    <x v="0"/>
    <x v="46"/>
    <m/>
    <x v="9"/>
    <x v="0"/>
    <m/>
    <m/>
    <x v="0"/>
    <x v="1"/>
    <m/>
    <x v="0"/>
    <x v="4"/>
    <x v="844"/>
    <x v="3"/>
    <x v="0"/>
    <x v="1"/>
    <x v="46"/>
    <x v="1843"/>
  </r>
  <r>
    <x v="0"/>
    <n v="1221"/>
    <x v="841"/>
    <x v="2"/>
    <s v="CM"/>
    <s v="S"/>
    <x v="517"/>
    <x v="2"/>
    <x v="88"/>
    <m/>
    <x v="67"/>
    <m/>
    <x v="3"/>
    <x v="0"/>
    <x v="79"/>
    <d v="2011-10-15T00:00:00"/>
    <x v="14"/>
    <x v="1"/>
    <s v="Competição Lusófona"/>
    <m/>
    <x v="0"/>
    <x v="0"/>
    <m/>
    <x v="0"/>
    <x v="4"/>
    <x v="844"/>
    <x v="3"/>
    <x v="0"/>
    <x v="1"/>
    <x v="79"/>
    <x v="1844"/>
  </r>
  <r>
    <x v="0"/>
    <n v="1222"/>
    <x v="842"/>
    <x v="0"/>
    <s v="LM"/>
    <s v="S"/>
    <x v="461"/>
    <x v="10"/>
    <x v="147"/>
    <m/>
    <x v="112"/>
    <m/>
    <x v="34"/>
    <x v="0"/>
    <x v="48"/>
    <d v="2011-08-13T00:00:00"/>
    <x v="16"/>
    <x v="0"/>
    <m/>
    <s v="Programmi Speciali - Films involving Concorso Cineasti del Presente Jury Members: Paulo Branco"/>
    <x v="0"/>
    <x v="0"/>
    <m/>
    <x v="0"/>
    <x v="5"/>
    <x v="845"/>
    <x v="34"/>
    <x v="0"/>
    <x v="0"/>
    <x v="48"/>
    <x v="1845"/>
  </r>
  <r>
    <x v="0"/>
    <n v="1223"/>
    <x v="843"/>
    <x v="4"/>
    <s v=""/>
    <s v=""/>
    <x v="575"/>
    <x v="2"/>
    <x v="34"/>
    <m/>
    <x v="32"/>
    <m/>
    <x v="3"/>
    <x v="0"/>
    <x v="31"/>
    <d v="2011-05-15T00:00:00"/>
    <x v="6"/>
    <x v="0"/>
    <m/>
    <s v="Mostra de Curtas-metragens, Selecção Premiados CINANIMA 2010"/>
    <x v="0"/>
    <x v="0"/>
    <m/>
    <x v="0"/>
    <x v="7"/>
    <x v="846"/>
    <x v="3"/>
    <x v="0"/>
    <x v="1"/>
    <x v="31"/>
    <x v="1846"/>
  </r>
  <r>
    <x v="0"/>
    <n v="1223"/>
    <x v="843"/>
    <x v="4"/>
    <s v=""/>
    <s v=""/>
    <x v="575"/>
    <x v="2"/>
    <x v="220"/>
    <m/>
    <x v="154"/>
    <m/>
    <x v="0"/>
    <x v="0"/>
    <x v="160"/>
    <d v="2011-07-31T00:00:00"/>
    <x v="8"/>
    <x v="0"/>
    <m/>
    <s v="Futuro Animador 1"/>
    <x v="0"/>
    <x v="0"/>
    <m/>
    <x v="0"/>
    <x v="7"/>
    <x v="846"/>
    <x v="0"/>
    <x v="0"/>
    <x v="0"/>
    <x v="160"/>
    <x v="1847"/>
  </r>
  <r>
    <x v="0"/>
    <n v="1224"/>
    <x v="844"/>
    <x v="0"/>
    <s v="LM"/>
    <s v="S"/>
    <x v="20"/>
    <x v="2"/>
    <x v="158"/>
    <m/>
    <x v="121"/>
    <m/>
    <x v="3"/>
    <x v="0"/>
    <x v="119"/>
    <d v="2011-10-02T00:00:00"/>
    <x v="10"/>
    <x v="0"/>
    <m/>
    <s v="Homenagem a Manoel de Oliveira"/>
    <x v="0"/>
    <x v="0"/>
    <m/>
    <x v="0"/>
    <x v="5"/>
    <x v="847"/>
    <x v="3"/>
    <x v="0"/>
    <x v="1"/>
    <x v="119"/>
    <x v="1848"/>
  </r>
  <r>
    <x v="0"/>
    <n v="1224"/>
    <x v="844"/>
    <x v="0"/>
    <s v="LM"/>
    <s v="S"/>
    <x v="20"/>
    <x v="2"/>
    <x v="85"/>
    <m/>
    <x v="64"/>
    <m/>
    <x v="18"/>
    <x v="0"/>
    <x v="77"/>
    <d v="2011-10-14T00:00:00"/>
    <x v="14"/>
    <x v="0"/>
    <m/>
    <s v="Extreme Portuguese Cinema: Six Auteurs in Focus"/>
    <x v="0"/>
    <x v="0"/>
    <m/>
    <x v="0"/>
    <x v="5"/>
    <x v="847"/>
    <x v="18"/>
    <x v="0"/>
    <x v="0"/>
    <x v="77"/>
    <x v="1849"/>
  </r>
  <r>
    <x v="0"/>
    <n v="1226"/>
    <x v="845"/>
    <x v="4"/>
    <s v=""/>
    <s v=""/>
    <x v="576"/>
    <x v="2"/>
    <x v="192"/>
    <m/>
    <x v="140"/>
    <m/>
    <x v="3"/>
    <x v="0"/>
    <x v="140"/>
    <d v="2011-07-24T00:00:00"/>
    <x v="8"/>
    <x v="0"/>
    <m/>
    <m/>
    <x v="0"/>
    <x v="0"/>
    <m/>
    <x v="0"/>
    <x v="7"/>
    <x v="848"/>
    <x v="3"/>
    <x v="0"/>
    <x v="1"/>
    <x v="140"/>
    <x v="1850"/>
  </r>
  <r>
    <x v="0"/>
    <n v="1229"/>
    <x v="846"/>
    <x v="4"/>
    <s v=""/>
    <s v=""/>
    <x v="577"/>
    <x v="2"/>
    <x v="132"/>
    <m/>
    <x v="36"/>
    <m/>
    <x v="3"/>
    <x v="0"/>
    <x v="20"/>
    <m/>
    <x v="13"/>
    <x v="0"/>
    <m/>
    <m/>
    <x v="0"/>
    <x v="1"/>
    <m/>
    <x v="0"/>
    <x v="7"/>
    <x v="849"/>
    <x v="3"/>
    <x v="0"/>
    <x v="1"/>
    <x v="20"/>
    <x v="1851"/>
  </r>
  <r>
    <x v="0"/>
    <n v="1230"/>
    <x v="847"/>
    <x v="4"/>
    <s v=""/>
    <s v=""/>
    <x v="98"/>
    <x v="2"/>
    <x v="68"/>
    <m/>
    <x v="53"/>
    <m/>
    <x v="3"/>
    <x v="0"/>
    <x v="64"/>
    <d v="2011-07-17T00:00:00"/>
    <x v="8"/>
    <x v="1"/>
    <s v="Take One!"/>
    <m/>
    <x v="0"/>
    <x v="0"/>
    <m/>
    <x v="0"/>
    <x v="7"/>
    <x v="850"/>
    <x v="3"/>
    <x v="0"/>
    <x v="1"/>
    <x v="64"/>
    <x v="1852"/>
  </r>
  <r>
    <x v="0"/>
    <n v="1232"/>
    <x v="848"/>
    <x v="4"/>
    <s v=""/>
    <s v=""/>
    <x v="461"/>
    <x v="2"/>
    <x v="91"/>
    <m/>
    <x v="70"/>
    <m/>
    <x v="18"/>
    <x v="0"/>
    <x v="82"/>
    <d v="2011-05-06T00:00:00"/>
    <x v="4"/>
    <x v="0"/>
    <m/>
    <s v="Focus On: Portuguese Cinema 2- Before and After Revolution"/>
    <x v="0"/>
    <x v="0"/>
    <m/>
    <x v="0"/>
    <x v="7"/>
    <x v="851"/>
    <x v="18"/>
    <x v="0"/>
    <x v="0"/>
    <x v="82"/>
    <x v="1853"/>
  </r>
  <r>
    <x v="0"/>
    <n v="1233"/>
    <x v="849"/>
    <x v="0"/>
    <s v="CM"/>
    <s v="N"/>
    <x v="578"/>
    <x v="2"/>
    <x v="62"/>
    <m/>
    <x v="23"/>
    <m/>
    <x v="3"/>
    <x v="0"/>
    <x v="58"/>
    <d v="2011-03-06T00:00:00"/>
    <x v="19"/>
    <x v="0"/>
    <m/>
    <s v="Panorama do Cinema Português"/>
    <x v="0"/>
    <x v="0"/>
    <m/>
    <x v="0"/>
    <x v="0"/>
    <x v="852"/>
    <x v="3"/>
    <x v="0"/>
    <x v="1"/>
    <x v="58"/>
    <x v="1854"/>
  </r>
  <r>
    <x v="0"/>
    <n v="1233"/>
    <x v="849"/>
    <x v="0"/>
    <s v="CM"/>
    <s v="N"/>
    <x v="578"/>
    <x v="2"/>
    <x v="63"/>
    <m/>
    <x v="24"/>
    <m/>
    <x v="3"/>
    <x v="0"/>
    <x v="59"/>
    <d v="2011-05-01T00:00:00"/>
    <x v="4"/>
    <x v="1"/>
    <s v="Sessão Competitiva Curta 2"/>
    <m/>
    <x v="7"/>
    <x v="0"/>
    <m/>
    <x v="1"/>
    <x v="0"/>
    <x v="852"/>
    <x v="3"/>
    <x v="196"/>
    <x v="1"/>
    <x v="59"/>
    <x v="1855"/>
  </r>
  <r>
    <x v="0"/>
    <n v="1233"/>
    <x v="849"/>
    <x v="0"/>
    <s v="CM"/>
    <s v="N"/>
    <x v="578"/>
    <x v="2"/>
    <x v="78"/>
    <m/>
    <x v="59"/>
    <m/>
    <x v="3"/>
    <x v="0"/>
    <x v="66"/>
    <d v="2011-10-30T00:00:00"/>
    <x v="14"/>
    <x v="1"/>
    <s v="Competição Nacional"/>
    <m/>
    <x v="0"/>
    <x v="0"/>
    <m/>
    <x v="0"/>
    <x v="0"/>
    <x v="852"/>
    <x v="3"/>
    <x v="0"/>
    <x v="1"/>
    <x v="66"/>
    <x v="1856"/>
  </r>
  <r>
    <x v="0"/>
    <n v="1233"/>
    <x v="849"/>
    <x v="0"/>
    <s v="CM"/>
    <s v="N"/>
    <x v="578"/>
    <x v="2"/>
    <x v="72"/>
    <m/>
    <x v="22"/>
    <m/>
    <x v="3"/>
    <x v="0"/>
    <x v="14"/>
    <d v="2011-11-26T00:00:00"/>
    <x v="13"/>
    <x v="0"/>
    <m/>
    <m/>
    <x v="0"/>
    <x v="1"/>
    <m/>
    <x v="0"/>
    <x v="0"/>
    <x v="852"/>
    <x v="3"/>
    <x v="0"/>
    <x v="1"/>
    <x v="14"/>
    <x v="1857"/>
  </r>
  <r>
    <x v="0"/>
    <n v="1234"/>
    <x v="850"/>
    <x v="4"/>
    <s v=""/>
    <s v=""/>
    <x v="579"/>
    <x v="2"/>
    <x v="3"/>
    <m/>
    <x v="3"/>
    <m/>
    <x v="2"/>
    <x v="0"/>
    <x v="3"/>
    <d v="2011-04-03T00:00:00"/>
    <x v="3"/>
    <x v="0"/>
    <m/>
    <s v="Au Sud de l'Europe - Portugal"/>
    <x v="0"/>
    <x v="0"/>
    <m/>
    <x v="0"/>
    <x v="7"/>
    <x v="853"/>
    <x v="2"/>
    <x v="0"/>
    <x v="0"/>
    <x v="3"/>
    <x v="1858"/>
  </r>
  <r>
    <x v="0"/>
    <n v="1235"/>
    <x v="851"/>
    <x v="2"/>
    <s v="CM"/>
    <s v="S"/>
    <x v="73"/>
    <x v="5"/>
    <x v="61"/>
    <m/>
    <x v="50"/>
    <m/>
    <x v="13"/>
    <x v="0"/>
    <x v="57"/>
    <d v="2011-02-25T00:00:00"/>
    <x v="1"/>
    <x v="0"/>
    <m/>
    <m/>
    <x v="0"/>
    <x v="1"/>
    <m/>
    <x v="0"/>
    <x v="4"/>
    <x v="854"/>
    <x v="13"/>
    <x v="0"/>
    <x v="0"/>
    <x v="57"/>
    <x v="1859"/>
  </r>
  <r>
    <x v="0"/>
    <n v="1235"/>
    <x v="851"/>
    <x v="2"/>
    <s v="CM"/>
    <s v="S"/>
    <x v="73"/>
    <x v="5"/>
    <x v="358"/>
    <m/>
    <x v="240"/>
    <m/>
    <x v="58"/>
    <x v="0"/>
    <x v="123"/>
    <d v="2011-03-13T00:00:00"/>
    <x v="2"/>
    <x v="1"/>
    <s v="Compétion internationale - Courts-métrages 4"/>
    <m/>
    <x v="0"/>
    <x v="0"/>
    <m/>
    <x v="0"/>
    <x v="4"/>
    <x v="854"/>
    <x v="58"/>
    <x v="0"/>
    <x v="0"/>
    <x v="123"/>
    <x v="1860"/>
  </r>
  <r>
    <x v="0"/>
    <n v="1235"/>
    <x v="851"/>
    <x v="2"/>
    <s v="CM"/>
    <s v="S"/>
    <x v="73"/>
    <x v="5"/>
    <x v="55"/>
    <m/>
    <x v="45"/>
    <m/>
    <x v="3"/>
    <x v="0"/>
    <x v="27"/>
    <d v="2011-03-30T00:00:00"/>
    <x v="2"/>
    <x v="0"/>
    <m/>
    <s v="8º Programa: As Escolhas de Nuno Amorim"/>
    <x v="0"/>
    <x v="1"/>
    <m/>
    <x v="0"/>
    <x v="4"/>
    <x v="854"/>
    <x v="3"/>
    <x v="0"/>
    <x v="1"/>
    <x v="27"/>
    <x v="1861"/>
  </r>
  <r>
    <x v="0"/>
    <n v="1235"/>
    <x v="851"/>
    <x v="2"/>
    <s v="CM"/>
    <s v="S"/>
    <x v="73"/>
    <x v="5"/>
    <x v="30"/>
    <m/>
    <x v="28"/>
    <m/>
    <x v="8"/>
    <x v="0"/>
    <x v="28"/>
    <d v="2011-03-20T00:00:00"/>
    <x v="2"/>
    <x v="0"/>
    <m/>
    <s v="Animation 3 - Lost &amp; Longing"/>
    <x v="0"/>
    <x v="0"/>
    <m/>
    <x v="0"/>
    <x v="4"/>
    <x v="854"/>
    <x v="8"/>
    <x v="0"/>
    <x v="0"/>
    <x v="28"/>
    <x v="1862"/>
  </r>
  <r>
    <x v="0"/>
    <n v="1235"/>
    <x v="851"/>
    <x v="2"/>
    <s v="CM"/>
    <s v="S"/>
    <x v="73"/>
    <x v="5"/>
    <x v="26"/>
    <m/>
    <x v="24"/>
    <m/>
    <x v="3"/>
    <x v="0"/>
    <x v="24"/>
    <d v="2011-03-27T00:00:00"/>
    <x v="2"/>
    <x v="0"/>
    <m/>
    <s v="Retrospectiva Onda Curta &amp; Monstra - Best of Onda Curta"/>
    <x v="0"/>
    <x v="0"/>
    <m/>
    <x v="0"/>
    <x v="4"/>
    <x v="854"/>
    <x v="3"/>
    <x v="0"/>
    <x v="1"/>
    <x v="24"/>
    <x v="1863"/>
  </r>
  <r>
    <x v="0"/>
    <n v="1235"/>
    <x v="851"/>
    <x v="2"/>
    <s v="CM"/>
    <s v="S"/>
    <x v="73"/>
    <x v="5"/>
    <x v="159"/>
    <m/>
    <x v="122"/>
    <m/>
    <x v="0"/>
    <x v="0"/>
    <x v="125"/>
    <d v="2011-04-10T00:00:00"/>
    <x v="3"/>
    <x v="1"/>
    <s v="Competição Internacional - Curtas Metragens"/>
    <m/>
    <x v="7"/>
    <x v="0"/>
    <m/>
    <x v="1"/>
    <x v="4"/>
    <x v="854"/>
    <x v="0"/>
    <x v="197"/>
    <x v="0"/>
    <x v="125"/>
    <x v="1864"/>
  </r>
  <r>
    <x v="0"/>
    <n v="1235"/>
    <x v="851"/>
    <x v="2"/>
    <s v="CM"/>
    <s v="S"/>
    <x v="73"/>
    <x v="5"/>
    <x v="19"/>
    <m/>
    <x v="19"/>
    <m/>
    <x v="0"/>
    <x v="0"/>
    <x v="18"/>
    <d v="2011-05-15T00:00:00"/>
    <x v="6"/>
    <x v="0"/>
    <m/>
    <s v="Mostras Paralelas - FIKE"/>
    <x v="0"/>
    <x v="0"/>
    <m/>
    <x v="0"/>
    <x v="4"/>
    <x v="854"/>
    <x v="0"/>
    <x v="0"/>
    <x v="0"/>
    <x v="18"/>
    <x v="1865"/>
  </r>
  <r>
    <x v="0"/>
    <n v="1235"/>
    <x v="851"/>
    <x v="2"/>
    <s v="CM"/>
    <s v="S"/>
    <x v="73"/>
    <x v="5"/>
    <x v="34"/>
    <m/>
    <x v="32"/>
    <m/>
    <x v="3"/>
    <x v="0"/>
    <x v="31"/>
    <d v="2011-05-15T00:00:00"/>
    <x v="6"/>
    <x v="0"/>
    <m/>
    <s v="Mostra de Curtas-metragens, Selecção Premiados CINANIMA 2010"/>
    <x v="0"/>
    <x v="0"/>
    <m/>
    <x v="0"/>
    <x v="4"/>
    <x v="854"/>
    <x v="3"/>
    <x v="0"/>
    <x v="1"/>
    <x v="31"/>
    <x v="1866"/>
  </r>
  <r>
    <x v="0"/>
    <n v="1235"/>
    <x v="851"/>
    <x v="2"/>
    <s v="CM"/>
    <s v="S"/>
    <x v="73"/>
    <x v="5"/>
    <x v="381"/>
    <m/>
    <x v="156"/>
    <m/>
    <x v="18"/>
    <x v="0"/>
    <x v="162"/>
    <d v="2011-05-25T00:00:00"/>
    <x v="6"/>
    <x v="0"/>
    <m/>
    <s v="Green Panorama"/>
    <x v="0"/>
    <x v="0"/>
    <m/>
    <x v="0"/>
    <x v="4"/>
    <x v="854"/>
    <x v="18"/>
    <x v="0"/>
    <x v="0"/>
    <x v="162"/>
    <x v="1867"/>
  </r>
  <r>
    <x v="0"/>
    <n v="1235"/>
    <x v="851"/>
    <x v="2"/>
    <s v="CM"/>
    <s v="S"/>
    <x v="73"/>
    <x v="5"/>
    <x v="121"/>
    <m/>
    <x v="92"/>
    <m/>
    <x v="16"/>
    <x v="0"/>
    <x v="43"/>
    <d v="2011-05-26T00:00:00"/>
    <x v="6"/>
    <x v="1"/>
    <s v="International Short Film Competition 2"/>
    <m/>
    <x v="172"/>
    <x v="0"/>
    <m/>
    <x v="1"/>
    <x v="4"/>
    <x v="854"/>
    <x v="16"/>
    <x v="198"/>
    <x v="0"/>
    <x v="43"/>
    <x v="1868"/>
  </r>
  <r>
    <x v="0"/>
    <n v="1235"/>
    <x v="851"/>
    <x v="2"/>
    <s v="CM"/>
    <s v="S"/>
    <x v="73"/>
    <x v="5"/>
    <x v="65"/>
    <m/>
    <x v="51"/>
    <m/>
    <x v="14"/>
    <x v="0"/>
    <x v="61"/>
    <d v="2011-06-03T00:00:00"/>
    <x v="7"/>
    <x v="0"/>
    <m/>
    <m/>
    <x v="0"/>
    <x v="0"/>
    <m/>
    <x v="0"/>
    <x v="4"/>
    <x v="854"/>
    <x v="14"/>
    <x v="0"/>
    <x v="0"/>
    <x v="61"/>
    <x v="1869"/>
  </r>
  <r>
    <x v="0"/>
    <n v="1235"/>
    <x v="851"/>
    <x v="2"/>
    <s v="CM"/>
    <s v="S"/>
    <x v="73"/>
    <x v="5"/>
    <x v="122"/>
    <m/>
    <x v="93"/>
    <m/>
    <x v="2"/>
    <x v="0"/>
    <x v="100"/>
    <d v="2011-06-11T00:00:00"/>
    <x v="7"/>
    <x v="1"/>
    <s v="Courts Métrages en Compétition 2"/>
    <m/>
    <x v="0"/>
    <x v="0"/>
    <m/>
    <x v="0"/>
    <x v="4"/>
    <x v="854"/>
    <x v="2"/>
    <x v="0"/>
    <x v="0"/>
    <x v="100"/>
    <x v="1870"/>
  </r>
  <r>
    <x v="0"/>
    <n v="1235"/>
    <x v="851"/>
    <x v="2"/>
    <s v="CM"/>
    <s v="S"/>
    <x v="73"/>
    <x v="5"/>
    <x v="123"/>
    <m/>
    <x v="94"/>
    <m/>
    <x v="6"/>
    <x v="0"/>
    <x v="101"/>
    <d v="2011-06-26T00:00:00"/>
    <x v="7"/>
    <x v="1"/>
    <s v="International Program 7 - Long Shorts"/>
    <m/>
    <x v="0"/>
    <x v="0"/>
    <m/>
    <x v="0"/>
    <x v="4"/>
    <x v="854"/>
    <x v="6"/>
    <x v="0"/>
    <x v="0"/>
    <x v="101"/>
    <x v="1871"/>
  </r>
  <r>
    <x v="0"/>
    <n v="1235"/>
    <x v="851"/>
    <x v="2"/>
    <s v="CM"/>
    <s v="S"/>
    <x v="73"/>
    <x v="5"/>
    <x v="124"/>
    <m/>
    <x v="95"/>
    <m/>
    <x v="2"/>
    <x v="0"/>
    <x v="9"/>
    <d v="2011-07-09T00:00:00"/>
    <x v="8"/>
    <x v="0"/>
    <m/>
    <s v="L'Animation à l'Honneur - Programmation Casa da Animação 2nde Partie"/>
    <x v="0"/>
    <x v="1"/>
    <m/>
    <x v="0"/>
    <x v="4"/>
    <x v="854"/>
    <x v="2"/>
    <x v="0"/>
    <x v="0"/>
    <x v="9"/>
    <x v="1872"/>
  </r>
  <r>
    <x v="0"/>
    <n v="1235"/>
    <x v="851"/>
    <x v="2"/>
    <s v="CM"/>
    <s v="S"/>
    <x v="73"/>
    <x v="5"/>
    <x v="220"/>
    <m/>
    <x v="154"/>
    <m/>
    <x v="0"/>
    <x v="0"/>
    <x v="160"/>
    <d v="2011-07-31T00:00:00"/>
    <x v="8"/>
    <x v="1"/>
    <s v="Competição Internacional - Curtas Metragens 4"/>
    <m/>
    <x v="0"/>
    <x v="0"/>
    <m/>
    <x v="0"/>
    <x v="4"/>
    <x v="854"/>
    <x v="0"/>
    <x v="0"/>
    <x v="0"/>
    <x v="160"/>
    <x v="1873"/>
  </r>
  <r>
    <x v="0"/>
    <n v="1235"/>
    <x v="851"/>
    <x v="2"/>
    <s v="CM"/>
    <s v="S"/>
    <x v="73"/>
    <x v="5"/>
    <x v="223"/>
    <m/>
    <x v="155"/>
    <m/>
    <x v="16"/>
    <x v="0"/>
    <x v="160"/>
    <d v="2011-07-23T00:00:00"/>
    <x v="8"/>
    <x v="1"/>
    <s v="International Competition"/>
    <m/>
    <x v="0"/>
    <x v="0"/>
    <m/>
    <x v="0"/>
    <x v="4"/>
    <x v="854"/>
    <x v="16"/>
    <x v="0"/>
    <x v="0"/>
    <x v="160"/>
    <x v="1874"/>
  </r>
  <r>
    <x v="0"/>
    <n v="1235"/>
    <x v="851"/>
    <x v="2"/>
    <s v="CM"/>
    <s v="S"/>
    <x v="73"/>
    <x v="5"/>
    <x v="224"/>
    <m/>
    <x v="156"/>
    <m/>
    <x v="18"/>
    <x v="0"/>
    <x v="140"/>
    <d v="2011-07-24T00:00:00"/>
    <x v="8"/>
    <x v="1"/>
    <s v="Shorts Films - Professional"/>
    <m/>
    <x v="0"/>
    <x v="0"/>
    <m/>
    <x v="0"/>
    <x v="4"/>
    <x v="854"/>
    <x v="18"/>
    <x v="0"/>
    <x v="0"/>
    <x v="140"/>
    <x v="1875"/>
  </r>
  <r>
    <x v="0"/>
    <n v="1235"/>
    <x v="851"/>
    <x v="2"/>
    <s v="CM"/>
    <s v="S"/>
    <x v="73"/>
    <x v="5"/>
    <x v="382"/>
    <m/>
    <x v="249"/>
    <m/>
    <x v="60"/>
    <x v="0"/>
    <x v="109"/>
    <d v="2011-07-31T00:00:00"/>
    <x v="8"/>
    <x v="1"/>
    <s v="Animación2"/>
    <m/>
    <x v="0"/>
    <x v="0"/>
    <m/>
    <x v="0"/>
    <x v="4"/>
    <x v="854"/>
    <x v="60"/>
    <x v="0"/>
    <x v="0"/>
    <x v="109"/>
    <x v="1876"/>
  </r>
  <r>
    <x v="0"/>
    <n v="1235"/>
    <x v="851"/>
    <x v="2"/>
    <s v="CM"/>
    <s v="S"/>
    <x v="73"/>
    <x v="5"/>
    <x v="383"/>
    <m/>
    <x v="250"/>
    <m/>
    <x v="16"/>
    <x v="0"/>
    <x v="227"/>
    <d v="2011-08-07T00:00:00"/>
    <x v="25"/>
    <x v="0"/>
    <m/>
    <s v="In the Short Run"/>
    <x v="0"/>
    <x v="0"/>
    <m/>
    <x v="0"/>
    <x v="4"/>
    <x v="854"/>
    <x v="16"/>
    <x v="0"/>
    <x v="0"/>
    <x v="227"/>
    <x v="1877"/>
  </r>
  <r>
    <x v="0"/>
    <n v="1235"/>
    <x v="851"/>
    <x v="2"/>
    <s v="CM"/>
    <s v="S"/>
    <x v="73"/>
    <x v="5"/>
    <x v="234"/>
    <m/>
    <x v="164"/>
    <m/>
    <x v="5"/>
    <x v="0"/>
    <x v="200"/>
    <d v="2011-08-15T00:00:00"/>
    <x v="16"/>
    <x v="1"/>
    <m/>
    <m/>
    <x v="0"/>
    <x v="0"/>
    <m/>
    <x v="0"/>
    <x v="4"/>
    <x v="854"/>
    <x v="5"/>
    <x v="0"/>
    <x v="0"/>
    <x v="200"/>
    <x v="1878"/>
  </r>
  <r>
    <x v="0"/>
    <n v="1235"/>
    <x v="851"/>
    <x v="2"/>
    <s v="CM"/>
    <s v="S"/>
    <x v="73"/>
    <x v="5"/>
    <x v="384"/>
    <m/>
    <x v="251"/>
    <m/>
    <x v="2"/>
    <x v="0"/>
    <x v="228"/>
    <d v="2011-08-21T00:00:00"/>
    <x v="16"/>
    <x v="1"/>
    <s v="Compétition"/>
    <m/>
    <x v="0"/>
    <x v="0"/>
    <m/>
    <x v="0"/>
    <x v="4"/>
    <x v="854"/>
    <x v="2"/>
    <x v="0"/>
    <x v="0"/>
    <x v="228"/>
    <x v="1879"/>
  </r>
  <r>
    <x v="0"/>
    <n v="1235"/>
    <x v="851"/>
    <x v="2"/>
    <s v="CM"/>
    <s v="S"/>
    <x v="73"/>
    <x v="5"/>
    <x v="140"/>
    <m/>
    <x v="91"/>
    <m/>
    <x v="28"/>
    <x v="0"/>
    <x v="111"/>
    <d v="2011-09-02T00:00:00"/>
    <x v="20"/>
    <x v="0"/>
    <m/>
    <s v="Mostra Internacional"/>
    <x v="0"/>
    <x v="0"/>
    <m/>
    <x v="0"/>
    <x v="4"/>
    <x v="854"/>
    <x v="28"/>
    <x v="0"/>
    <x v="0"/>
    <x v="111"/>
    <x v="1880"/>
  </r>
  <r>
    <x v="0"/>
    <n v="1235"/>
    <x v="851"/>
    <x v="2"/>
    <s v="CM"/>
    <s v="S"/>
    <x v="73"/>
    <x v="5"/>
    <x v="125"/>
    <m/>
    <x v="58"/>
    <m/>
    <x v="17"/>
    <x v="0"/>
    <x v="102"/>
    <d v="2011-09-04T00:00:00"/>
    <x v="20"/>
    <x v="1"/>
    <s v="International Programme 7 - Long Shorts"/>
    <s v="Animated Documentaries"/>
    <x v="0"/>
    <x v="0"/>
    <m/>
    <x v="0"/>
    <x v="4"/>
    <x v="854"/>
    <x v="17"/>
    <x v="0"/>
    <x v="0"/>
    <x v="102"/>
    <x v="1881"/>
  </r>
  <r>
    <x v="0"/>
    <n v="1235"/>
    <x v="851"/>
    <x v="2"/>
    <s v="CM"/>
    <s v="S"/>
    <x v="73"/>
    <x v="5"/>
    <x v="385"/>
    <m/>
    <x v="17"/>
    <m/>
    <x v="2"/>
    <x v="0"/>
    <x v="65"/>
    <d v="2011-09-04T00:00:00"/>
    <x v="20"/>
    <x v="1"/>
    <s v="Compétition Internationale 4"/>
    <m/>
    <x v="0"/>
    <x v="0"/>
    <m/>
    <x v="0"/>
    <x v="4"/>
    <x v="854"/>
    <x v="2"/>
    <x v="0"/>
    <x v="0"/>
    <x v="65"/>
    <x v="1882"/>
  </r>
  <r>
    <x v="0"/>
    <n v="1235"/>
    <x v="851"/>
    <x v="2"/>
    <s v="CM"/>
    <s v="S"/>
    <x v="73"/>
    <x v="5"/>
    <x v="386"/>
    <m/>
    <x v="252"/>
    <m/>
    <x v="2"/>
    <x v="0"/>
    <x v="84"/>
    <d v="2011-09-10T00:00:00"/>
    <x v="9"/>
    <x v="1"/>
    <s v="Série 4 - Voyage, rond point et non retour"/>
    <m/>
    <x v="0"/>
    <x v="0"/>
    <m/>
    <x v="0"/>
    <x v="4"/>
    <x v="854"/>
    <x v="2"/>
    <x v="0"/>
    <x v="0"/>
    <x v="84"/>
    <x v="1883"/>
  </r>
  <r>
    <x v="0"/>
    <n v="1235"/>
    <x v="851"/>
    <x v="2"/>
    <s v="CM"/>
    <s v="S"/>
    <x v="73"/>
    <x v="5"/>
    <x v="235"/>
    <m/>
    <x v="165"/>
    <m/>
    <x v="4"/>
    <x v="0"/>
    <x v="84"/>
    <d v="2011-09-07T00:00:00"/>
    <x v="9"/>
    <x v="0"/>
    <m/>
    <s v="Muestra Paralela: Mundo Animado Programa 4 13*"/>
    <x v="0"/>
    <x v="0"/>
    <m/>
    <x v="0"/>
    <x v="4"/>
    <x v="854"/>
    <x v="4"/>
    <x v="0"/>
    <x v="0"/>
    <x v="84"/>
    <x v="1884"/>
  </r>
  <r>
    <x v="0"/>
    <n v="1235"/>
    <x v="851"/>
    <x v="2"/>
    <s v="CM"/>
    <s v="S"/>
    <x v="73"/>
    <x v="5"/>
    <x v="225"/>
    <m/>
    <x v="157"/>
    <m/>
    <x v="45"/>
    <x v="0"/>
    <x v="106"/>
    <d v="2011-09-19T00:00:00"/>
    <x v="9"/>
    <x v="1"/>
    <s v="Short Films"/>
    <m/>
    <x v="0"/>
    <x v="0"/>
    <m/>
    <x v="0"/>
    <x v="4"/>
    <x v="854"/>
    <x v="45"/>
    <x v="0"/>
    <x v="0"/>
    <x v="106"/>
    <x v="1885"/>
  </r>
  <r>
    <x v="0"/>
    <n v="1235"/>
    <x v="851"/>
    <x v="2"/>
    <s v="CM"/>
    <s v="S"/>
    <x v="73"/>
    <x v="5"/>
    <x v="141"/>
    <m/>
    <x v="107"/>
    <m/>
    <x v="31"/>
    <x v="0"/>
    <x v="114"/>
    <d v="2011-09-25T00:00:00"/>
    <x v="9"/>
    <x v="1"/>
    <s v="Animation"/>
    <m/>
    <x v="0"/>
    <x v="0"/>
    <m/>
    <x v="0"/>
    <x v="4"/>
    <x v="854"/>
    <x v="31"/>
    <x v="0"/>
    <x v="0"/>
    <x v="114"/>
    <x v="1886"/>
  </r>
  <r>
    <x v="0"/>
    <n v="1235"/>
    <x v="851"/>
    <x v="2"/>
    <s v="CM"/>
    <s v="S"/>
    <x v="73"/>
    <x v="5"/>
    <x v="10"/>
    <m/>
    <x v="10"/>
    <m/>
    <x v="0"/>
    <x v="0"/>
    <x v="10"/>
    <d v="2011-09-25T00:00:00"/>
    <x v="9"/>
    <x v="1"/>
    <s v="Andorinha Curta Animação"/>
    <m/>
    <x v="173"/>
    <x v="0"/>
    <m/>
    <x v="1"/>
    <x v="4"/>
    <x v="854"/>
    <x v="0"/>
    <x v="199"/>
    <x v="0"/>
    <x v="10"/>
    <x v="1887"/>
  </r>
  <r>
    <x v="0"/>
    <n v="1235"/>
    <x v="851"/>
    <x v="2"/>
    <s v="CM"/>
    <s v="S"/>
    <x v="73"/>
    <x v="5"/>
    <x v="240"/>
    <m/>
    <x v="169"/>
    <m/>
    <x v="43"/>
    <x v="0"/>
    <x v="169"/>
    <d v="2011-10-03T00:00:00"/>
    <x v="10"/>
    <x v="1"/>
    <s v="Category III"/>
    <m/>
    <x v="0"/>
    <x v="0"/>
    <m/>
    <x v="0"/>
    <x v="4"/>
    <x v="854"/>
    <x v="43"/>
    <x v="0"/>
    <x v="0"/>
    <x v="169"/>
    <x v="1888"/>
  </r>
  <r>
    <x v="0"/>
    <n v="1235"/>
    <x v="851"/>
    <x v="2"/>
    <s v="CM"/>
    <s v="S"/>
    <x v="73"/>
    <x v="5"/>
    <x v="387"/>
    <m/>
    <x v="253"/>
    <m/>
    <x v="0"/>
    <x v="0"/>
    <x v="217"/>
    <d v="2011-10-09T00:00:00"/>
    <x v="10"/>
    <x v="1"/>
    <m/>
    <m/>
    <x v="0"/>
    <x v="0"/>
    <m/>
    <x v="0"/>
    <x v="4"/>
    <x v="854"/>
    <x v="0"/>
    <x v="0"/>
    <x v="0"/>
    <x v="217"/>
    <x v="1889"/>
  </r>
  <r>
    <x v="0"/>
    <n v="1235"/>
    <x v="851"/>
    <x v="2"/>
    <s v="CM"/>
    <s v="S"/>
    <x v="73"/>
    <x v="5"/>
    <x v="281"/>
    <m/>
    <x v="23"/>
    <m/>
    <x v="3"/>
    <x v="0"/>
    <x v="165"/>
    <d v="2011-10-08T00:00:00"/>
    <x v="14"/>
    <x v="0"/>
    <m/>
    <m/>
    <x v="0"/>
    <x v="1"/>
    <m/>
    <x v="0"/>
    <x v="4"/>
    <x v="854"/>
    <x v="3"/>
    <x v="0"/>
    <x v="1"/>
    <x v="165"/>
    <x v="1890"/>
  </r>
  <r>
    <x v="0"/>
    <n v="1235"/>
    <x v="851"/>
    <x v="2"/>
    <s v="CM"/>
    <s v="S"/>
    <x v="73"/>
    <x v="5"/>
    <x v="388"/>
    <m/>
    <x v="254"/>
    <m/>
    <x v="4"/>
    <x v="0"/>
    <x v="77"/>
    <d v="2011-10-08T00:00:00"/>
    <x v="14"/>
    <x v="1"/>
    <m/>
    <m/>
    <x v="0"/>
    <x v="0"/>
    <m/>
    <x v="0"/>
    <x v="4"/>
    <x v="854"/>
    <x v="4"/>
    <x v="0"/>
    <x v="0"/>
    <x v="77"/>
    <x v="1891"/>
  </r>
  <r>
    <x v="0"/>
    <n v="1235"/>
    <x v="851"/>
    <x v="2"/>
    <s v="CM"/>
    <s v="S"/>
    <x v="73"/>
    <x v="5"/>
    <x v="88"/>
    <m/>
    <x v="67"/>
    <m/>
    <x v="3"/>
    <x v="0"/>
    <x v="79"/>
    <d v="2011-10-15T00:00:00"/>
    <x v="14"/>
    <x v="1"/>
    <s v="Competição Lusófona"/>
    <m/>
    <x v="0"/>
    <x v="0"/>
    <m/>
    <x v="0"/>
    <x v="4"/>
    <x v="854"/>
    <x v="3"/>
    <x v="0"/>
    <x v="1"/>
    <x v="79"/>
    <x v="1892"/>
  </r>
  <r>
    <x v="0"/>
    <n v="1235"/>
    <x v="851"/>
    <x v="2"/>
    <s v="CM"/>
    <s v="S"/>
    <x v="73"/>
    <x v="5"/>
    <x v="389"/>
    <m/>
    <x v="173"/>
    <m/>
    <x v="7"/>
    <x v="0"/>
    <x v="156"/>
    <d v="2011-10-23T00:00:00"/>
    <x v="14"/>
    <x v="1"/>
    <m/>
    <m/>
    <x v="0"/>
    <x v="0"/>
    <m/>
    <x v="0"/>
    <x v="4"/>
    <x v="854"/>
    <x v="7"/>
    <x v="0"/>
    <x v="0"/>
    <x v="156"/>
    <x v="1893"/>
  </r>
  <r>
    <x v="0"/>
    <n v="1235"/>
    <x v="851"/>
    <x v="2"/>
    <s v="CM"/>
    <s v="S"/>
    <x v="73"/>
    <x v="5"/>
    <x v="126"/>
    <m/>
    <x v="96"/>
    <m/>
    <x v="1"/>
    <x v="0"/>
    <x v="103"/>
    <d v="2011-10-23T00:00:00"/>
    <x v="14"/>
    <x v="1"/>
    <s v="Competición Animación"/>
    <m/>
    <x v="0"/>
    <x v="0"/>
    <m/>
    <x v="0"/>
    <x v="4"/>
    <x v="854"/>
    <x v="1"/>
    <x v="0"/>
    <x v="0"/>
    <x v="103"/>
    <x v="1894"/>
  </r>
  <r>
    <x v="0"/>
    <n v="1235"/>
    <x v="851"/>
    <x v="2"/>
    <s v="CM"/>
    <s v="S"/>
    <x v="73"/>
    <x v="5"/>
    <x v="390"/>
    <m/>
    <x v="255"/>
    <m/>
    <x v="2"/>
    <x v="0"/>
    <x v="127"/>
    <d v="2011-10-29T00:00:00"/>
    <x v="14"/>
    <x v="1"/>
    <s v="Courts Métrages"/>
    <m/>
    <x v="0"/>
    <x v="0"/>
    <m/>
    <x v="0"/>
    <x v="4"/>
    <x v="854"/>
    <x v="2"/>
    <x v="0"/>
    <x v="0"/>
    <x v="127"/>
    <x v="1895"/>
  </r>
  <r>
    <x v="0"/>
    <n v="1235"/>
    <x v="851"/>
    <x v="2"/>
    <s v="CM"/>
    <s v="S"/>
    <x v="73"/>
    <x v="5"/>
    <x v="391"/>
    <m/>
    <x v="256"/>
    <m/>
    <x v="9"/>
    <x v="0"/>
    <x v="127"/>
    <d v="2011-10-30T00:00:00"/>
    <x v="14"/>
    <x v="1"/>
    <s v="Cutting Edge Animation 16+, Don't judge 11-13 e World behind my Wall 12+"/>
    <m/>
    <x v="0"/>
    <x v="0"/>
    <m/>
    <x v="0"/>
    <x v="4"/>
    <x v="854"/>
    <x v="9"/>
    <x v="0"/>
    <x v="0"/>
    <x v="127"/>
    <x v="1896"/>
  </r>
  <r>
    <x v="0"/>
    <n v="1235"/>
    <x v="851"/>
    <x v="2"/>
    <s v="CM"/>
    <s v="S"/>
    <x v="73"/>
    <x v="5"/>
    <x v="340"/>
    <m/>
    <x v="230"/>
    <m/>
    <x v="1"/>
    <x v="0"/>
    <x v="139"/>
    <d v="2011-10-29T00:00:00"/>
    <x v="14"/>
    <x v="1"/>
    <s v="Animación"/>
    <m/>
    <x v="0"/>
    <x v="0"/>
    <m/>
    <x v="0"/>
    <x v="4"/>
    <x v="854"/>
    <x v="1"/>
    <x v="0"/>
    <x v="0"/>
    <x v="139"/>
    <x v="1897"/>
  </r>
  <r>
    <x v="0"/>
    <n v="1235"/>
    <x v="851"/>
    <x v="2"/>
    <s v="CM"/>
    <s v="S"/>
    <x v="73"/>
    <x v="5"/>
    <x v="78"/>
    <m/>
    <x v="59"/>
    <m/>
    <x v="3"/>
    <x v="0"/>
    <x v="66"/>
    <d v="2011-10-30T00:00:00"/>
    <x v="14"/>
    <x v="1"/>
    <s v="Competição Nacional"/>
    <m/>
    <x v="174"/>
    <x v="0"/>
    <m/>
    <x v="1"/>
    <x v="4"/>
    <x v="854"/>
    <x v="3"/>
    <x v="200"/>
    <x v="1"/>
    <x v="66"/>
    <x v="1898"/>
  </r>
  <r>
    <x v="0"/>
    <n v="1235"/>
    <x v="851"/>
    <x v="2"/>
    <s v="CM"/>
    <s v="S"/>
    <x v="73"/>
    <x v="5"/>
    <x v="361"/>
    <m/>
    <x v="243"/>
    <m/>
    <x v="64"/>
    <x v="0"/>
    <x v="0"/>
    <d v="2011-11-07T00:00:00"/>
    <x v="0"/>
    <x v="1"/>
    <s v="Vencedores: Art-Snapshot"/>
    <m/>
    <x v="175"/>
    <x v="0"/>
    <m/>
    <x v="1"/>
    <x v="4"/>
    <x v="854"/>
    <x v="64"/>
    <x v="201"/>
    <x v="0"/>
    <x v="0"/>
    <x v="1899"/>
  </r>
  <r>
    <x v="0"/>
    <n v="1235"/>
    <x v="851"/>
    <x v="2"/>
    <s v="CM"/>
    <s v="S"/>
    <x v="73"/>
    <x v="5"/>
    <x v="0"/>
    <m/>
    <x v="0"/>
    <m/>
    <x v="0"/>
    <x v="0"/>
    <x v="0"/>
    <d v="2011-11-06T00:00:00"/>
    <x v="0"/>
    <x v="0"/>
    <m/>
    <s v="Foco Portugal: Programa Onda Curta"/>
    <x v="0"/>
    <x v="0"/>
    <m/>
    <x v="0"/>
    <x v="4"/>
    <x v="854"/>
    <x v="0"/>
    <x v="0"/>
    <x v="0"/>
    <x v="0"/>
    <x v="1900"/>
  </r>
  <r>
    <x v="0"/>
    <n v="1235"/>
    <x v="851"/>
    <x v="2"/>
    <s v="CM"/>
    <s v="S"/>
    <x v="73"/>
    <x v="5"/>
    <x v="14"/>
    <m/>
    <x v="14"/>
    <m/>
    <x v="3"/>
    <x v="0"/>
    <x v="13"/>
    <d v="2011-11-05T00:00:00"/>
    <x v="0"/>
    <x v="1"/>
    <s v="Competição Curtas Metragens"/>
    <m/>
    <x v="127"/>
    <x v="0"/>
    <m/>
    <x v="1"/>
    <x v="4"/>
    <x v="854"/>
    <x v="3"/>
    <x v="202"/>
    <x v="1"/>
    <x v="13"/>
    <x v="1901"/>
  </r>
  <r>
    <x v="0"/>
    <n v="1235"/>
    <x v="851"/>
    <x v="2"/>
    <s v="CM"/>
    <s v="S"/>
    <x v="73"/>
    <x v="5"/>
    <x v="304"/>
    <m/>
    <x v="210"/>
    <m/>
    <x v="2"/>
    <x v="0"/>
    <x v="40"/>
    <d v="2011-11-13T00:00:00"/>
    <x v="13"/>
    <x v="0"/>
    <m/>
    <s v="Panorama 1 "/>
    <x v="0"/>
    <x v="0"/>
    <m/>
    <x v="0"/>
    <x v="4"/>
    <x v="854"/>
    <x v="2"/>
    <x v="0"/>
    <x v="0"/>
    <x v="40"/>
    <x v="1902"/>
  </r>
  <r>
    <x v="0"/>
    <n v="1235"/>
    <x v="851"/>
    <x v="2"/>
    <s v="CM"/>
    <s v="S"/>
    <x v="73"/>
    <x v="5"/>
    <x v="136"/>
    <m/>
    <x v="103"/>
    <m/>
    <x v="31"/>
    <x v="0"/>
    <x v="14"/>
    <d v="2011-11-27T00:00:00"/>
    <x v="13"/>
    <x v="1"/>
    <s v="On the Roads"/>
    <m/>
    <x v="0"/>
    <x v="0"/>
    <m/>
    <x v="0"/>
    <x v="4"/>
    <x v="854"/>
    <x v="31"/>
    <x v="0"/>
    <x v="0"/>
    <x v="14"/>
    <x v="1903"/>
  </r>
  <r>
    <x v="0"/>
    <n v="1235"/>
    <x v="851"/>
    <x v="2"/>
    <s v="CM"/>
    <s v="S"/>
    <x v="73"/>
    <x v="5"/>
    <x v="103"/>
    <m/>
    <x v="80"/>
    <m/>
    <x v="2"/>
    <x v="0"/>
    <x v="91"/>
    <d v="2012-12-10T00:00:00"/>
    <x v="12"/>
    <x v="0"/>
    <m/>
    <s v="Carnets de Voyage 1: Onda Curta RTP2"/>
    <x v="0"/>
    <x v="0"/>
    <m/>
    <x v="0"/>
    <x v="4"/>
    <x v="854"/>
    <x v="2"/>
    <x v="0"/>
    <x v="0"/>
    <x v="91"/>
    <x v="1904"/>
  </r>
  <r>
    <x v="0"/>
    <n v="1235"/>
    <x v="851"/>
    <x v="2"/>
    <s v="CM"/>
    <s v="S"/>
    <x v="73"/>
    <x v="5"/>
    <x v="229"/>
    <m/>
    <x v="160"/>
    <m/>
    <x v="47"/>
    <x v="0"/>
    <x v="148"/>
    <d v="2011-12-20T00:00:00"/>
    <x v="12"/>
    <x v="1"/>
    <s v="International Showcase: Short length Documentaries"/>
    <m/>
    <x v="176"/>
    <x v="0"/>
    <m/>
    <x v="1"/>
    <x v="4"/>
    <x v="854"/>
    <x v="47"/>
    <x v="203"/>
    <x v="0"/>
    <x v="148"/>
    <x v="1905"/>
  </r>
  <r>
    <x v="0"/>
    <n v="1237"/>
    <x v="852"/>
    <x v="0"/>
    <s v="LM"/>
    <s v="S"/>
    <x v="25"/>
    <x v="3"/>
    <x v="146"/>
    <m/>
    <x v="24"/>
    <m/>
    <x v="3"/>
    <x v="0"/>
    <x v="112"/>
    <d v="2011-05-15T00:00:00"/>
    <x v="6"/>
    <x v="0"/>
    <m/>
    <s v="Observatório"/>
    <x v="0"/>
    <x v="0"/>
    <m/>
    <x v="0"/>
    <x v="5"/>
    <x v="855"/>
    <x v="3"/>
    <x v="0"/>
    <x v="1"/>
    <x v="112"/>
    <x v="1906"/>
  </r>
  <r>
    <x v="0"/>
    <n v="1237"/>
    <x v="852"/>
    <x v="0"/>
    <s v="LM"/>
    <s v="S"/>
    <x v="25"/>
    <x v="3"/>
    <x v="392"/>
    <m/>
    <x v="257"/>
    <m/>
    <x v="43"/>
    <x v="0"/>
    <x v="160"/>
    <d v="2011-07-23T00:00:00"/>
    <x v="8"/>
    <x v="0"/>
    <m/>
    <s v="Special Screenings"/>
    <x v="0"/>
    <x v="0"/>
    <m/>
    <x v="0"/>
    <x v="5"/>
    <x v="855"/>
    <x v="43"/>
    <x v="0"/>
    <x v="0"/>
    <x v="160"/>
    <x v="1907"/>
  </r>
  <r>
    <x v="0"/>
    <n v="1237"/>
    <x v="852"/>
    <x v="0"/>
    <s v="LM"/>
    <s v="S"/>
    <x v="25"/>
    <x v="3"/>
    <x v="58"/>
    <m/>
    <x v="47"/>
    <m/>
    <x v="3"/>
    <x v="0"/>
    <x v="53"/>
    <d v="2011-09-04T00:00:00"/>
    <x v="9"/>
    <x v="0"/>
    <m/>
    <m/>
    <x v="0"/>
    <x v="1"/>
    <m/>
    <x v="0"/>
    <x v="5"/>
    <x v="855"/>
    <x v="3"/>
    <x v="0"/>
    <x v="1"/>
    <x v="53"/>
    <x v="1908"/>
  </r>
  <r>
    <x v="0"/>
    <n v="1237"/>
    <x v="852"/>
    <x v="0"/>
    <s v="LM"/>
    <s v="S"/>
    <x v="25"/>
    <x v="3"/>
    <x v="221"/>
    <m/>
    <x v="5"/>
    <m/>
    <x v="3"/>
    <x v="0"/>
    <x v="106"/>
    <m/>
    <x v="9"/>
    <x v="0"/>
    <m/>
    <m/>
    <x v="0"/>
    <x v="1"/>
    <m/>
    <x v="0"/>
    <x v="5"/>
    <x v="855"/>
    <x v="3"/>
    <x v="0"/>
    <x v="1"/>
    <x v="106"/>
    <x v="1909"/>
  </r>
  <r>
    <x v="0"/>
    <n v="1237"/>
    <x v="852"/>
    <x v="0"/>
    <s v="LM"/>
    <s v="S"/>
    <x v="25"/>
    <x v="3"/>
    <x v="188"/>
    <m/>
    <x v="0"/>
    <m/>
    <x v="0"/>
    <x v="0"/>
    <x v="77"/>
    <d v="2011-10-18T00:00:00"/>
    <x v="14"/>
    <x v="0"/>
    <m/>
    <s v="Expectativa"/>
    <x v="0"/>
    <x v="0"/>
    <m/>
    <x v="0"/>
    <x v="5"/>
    <x v="855"/>
    <x v="0"/>
    <x v="0"/>
    <x v="0"/>
    <x v="77"/>
    <x v="1910"/>
  </r>
  <r>
    <x v="0"/>
    <n v="1237"/>
    <x v="852"/>
    <x v="0"/>
    <s v="LM"/>
    <s v="S"/>
    <x v="25"/>
    <x v="3"/>
    <x v="13"/>
    <m/>
    <x v="13"/>
    <m/>
    <x v="3"/>
    <x v="0"/>
    <x v="23"/>
    <m/>
    <x v="14"/>
    <x v="0"/>
    <m/>
    <m/>
    <x v="0"/>
    <x v="1"/>
    <m/>
    <x v="0"/>
    <x v="5"/>
    <x v="855"/>
    <x v="3"/>
    <x v="0"/>
    <x v="1"/>
    <x v="23"/>
    <x v="1911"/>
  </r>
  <r>
    <x v="0"/>
    <n v="1237"/>
    <x v="852"/>
    <x v="0"/>
    <s v="LM"/>
    <s v="S"/>
    <x v="25"/>
    <x v="3"/>
    <x v="14"/>
    <m/>
    <x v="14"/>
    <m/>
    <x v="3"/>
    <x v="0"/>
    <x v="13"/>
    <d v="2011-11-05T00:00:00"/>
    <x v="0"/>
    <x v="1"/>
    <s v="Competição Longas Metragens"/>
    <m/>
    <x v="177"/>
    <x v="0"/>
    <m/>
    <x v="1"/>
    <x v="5"/>
    <x v="855"/>
    <x v="3"/>
    <x v="204"/>
    <x v="1"/>
    <x v="13"/>
    <x v="1912"/>
  </r>
  <r>
    <x v="0"/>
    <n v="1237"/>
    <x v="852"/>
    <x v="0"/>
    <s v="LM"/>
    <s v="S"/>
    <x v="25"/>
    <x v="3"/>
    <x v="22"/>
    <m/>
    <x v="22"/>
    <m/>
    <x v="3"/>
    <x v="0"/>
    <x v="20"/>
    <d v="2011-11-17T00:00:00"/>
    <x v="13"/>
    <x v="1"/>
    <s v="Sessão Competitiva 14"/>
    <m/>
    <x v="178"/>
    <x v="0"/>
    <m/>
    <x v="1"/>
    <x v="5"/>
    <x v="855"/>
    <x v="3"/>
    <x v="205"/>
    <x v="1"/>
    <x v="20"/>
    <x v="1913"/>
  </r>
  <r>
    <x v="0"/>
    <n v="1237"/>
    <x v="852"/>
    <x v="0"/>
    <s v="LM"/>
    <s v="S"/>
    <x v="25"/>
    <x v="3"/>
    <x v="369"/>
    <m/>
    <x v="175"/>
    <m/>
    <x v="3"/>
    <x v="0"/>
    <x v="67"/>
    <m/>
    <x v="13"/>
    <x v="0"/>
    <m/>
    <m/>
    <x v="0"/>
    <x v="1"/>
    <m/>
    <x v="0"/>
    <x v="5"/>
    <x v="855"/>
    <x v="3"/>
    <x v="0"/>
    <x v="1"/>
    <x v="67"/>
    <x v="1914"/>
  </r>
  <r>
    <x v="0"/>
    <n v="1237"/>
    <x v="852"/>
    <x v="0"/>
    <s v="LM"/>
    <s v="S"/>
    <x v="25"/>
    <x v="3"/>
    <x v="18"/>
    <m/>
    <x v="18"/>
    <m/>
    <x v="3"/>
    <x v="0"/>
    <x v="17"/>
    <d v="2011-12-14T00:00:00"/>
    <x v="12"/>
    <x v="0"/>
    <m/>
    <m/>
    <x v="0"/>
    <x v="1"/>
    <m/>
    <x v="0"/>
    <x v="5"/>
    <x v="855"/>
    <x v="3"/>
    <x v="0"/>
    <x v="1"/>
    <x v="17"/>
    <x v="1915"/>
  </r>
  <r>
    <x v="0"/>
    <n v="1238"/>
    <x v="853"/>
    <x v="4"/>
    <s v=""/>
    <s v=""/>
    <x v="29"/>
    <x v="2"/>
    <x v="158"/>
    <m/>
    <x v="121"/>
    <m/>
    <x v="3"/>
    <x v="0"/>
    <x v="119"/>
    <d v="2011-10-02T00:00:00"/>
    <x v="10"/>
    <x v="0"/>
    <m/>
    <s v="Documentários"/>
    <x v="0"/>
    <x v="0"/>
    <m/>
    <x v="0"/>
    <x v="7"/>
    <x v="856"/>
    <x v="3"/>
    <x v="0"/>
    <x v="1"/>
    <x v="119"/>
    <x v="1916"/>
  </r>
  <r>
    <x v="0"/>
    <n v="1239"/>
    <x v="854"/>
    <x v="0"/>
    <s v="LM"/>
    <s v=""/>
    <x v="20"/>
    <x v="2"/>
    <x v="158"/>
    <m/>
    <x v="121"/>
    <m/>
    <x v="3"/>
    <x v="0"/>
    <x v="119"/>
    <d v="2011-10-02T00:00:00"/>
    <x v="10"/>
    <x v="0"/>
    <m/>
    <s v="Homenagem a Manoel de Oliveira"/>
    <x v="0"/>
    <x v="0"/>
    <m/>
    <x v="0"/>
    <x v="5"/>
    <x v="857"/>
    <x v="3"/>
    <x v="0"/>
    <x v="1"/>
    <x v="119"/>
    <x v="1917"/>
  </r>
  <r>
    <x v="0"/>
    <n v="1240"/>
    <x v="855"/>
    <x v="1"/>
    <s v="CM"/>
    <s v="S"/>
    <x v="580"/>
    <x v="2"/>
    <x v="64"/>
    <m/>
    <x v="23"/>
    <m/>
    <x v="3"/>
    <x v="0"/>
    <x v="60"/>
    <d v="2011-05-28T00:00:00"/>
    <x v="6"/>
    <x v="1"/>
    <m/>
    <m/>
    <x v="179"/>
    <x v="1"/>
    <m/>
    <x v="1"/>
    <x v="2"/>
    <x v="858"/>
    <x v="3"/>
    <x v="206"/>
    <x v="1"/>
    <x v="60"/>
    <x v="1918"/>
  </r>
  <r>
    <x v="0"/>
    <n v="1240"/>
    <x v="855"/>
    <x v="1"/>
    <s v="CM"/>
    <s v="S"/>
    <x v="580"/>
    <x v="2"/>
    <x v="68"/>
    <m/>
    <x v="53"/>
    <m/>
    <x v="3"/>
    <x v="0"/>
    <x v="64"/>
    <d v="2011-07-17T00:00:00"/>
    <x v="8"/>
    <x v="1"/>
    <s v="Take One!"/>
    <m/>
    <x v="0"/>
    <x v="0"/>
    <m/>
    <x v="0"/>
    <x v="2"/>
    <x v="858"/>
    <x v="3"/>
    <x v="0"/>
    <x v="1"/>
    <x v="64"/>
    <x v="1919"/>
  </r>
  <r>
    <x v="0"/>
    <n v="1243"/>
    <x v="856"/>
    <x v="4"/>
    <s v=""/>
    <s v=""/>
    <x v="581"/>
    <x v="2"/>
    <x v="24"/>
    <m/>
    <x v="24"/>
    <m/>
    <x v="3"/>
    <x v="0"/>
    <x v="22"/>
    <d v="2011-09-24T00:00:00"/>
    <x v="9"/>
    <x v="1"/>
    <s v="Secção Competitiva para Melhor Curta Metragem"/>
    <m/>
    <x v="0"/>
    <x v="0"/>
    <m/>
    <x v="0"/>
    <x v="7"/>
    <x v="859"/>
    <x v="3"/>
    <x v="0"/>
    <x v="1"/>
    <x v="22"/>
    <x v="1920"/>
  </r>
  <r>
    <x v="0"/>
    <n v="1244"/>
    <x v="857"/>
    <x v="0"/>
    <s v="CM"/>
    <s v="N"/>
    <x v="9"/>
    <x v="5"/>
    <x v="393"/>
    <m/>
    <x v="24"/>
    <m/>
    <x v="3"/>
    <x v="0"/>
    <x v="229"/>
    <m/>
    <x v="15"/>
    <x v="1"/>
    <m/>
    <m/>
    <x v="180"/>
    <x v="2"/>
    <m/>
    <x v="1"/>
    <x v="0"/>
    <x v="860"/>
    <x v="3"/>
    <x v="207"/>
    <x v="1"/>
    <x v="229"/>
    <x v="1921"/>
  </r>
  <r>
    <x v="0"/>
    <n v="1244"/>
    <x v="857"/>
    <x v="0"/>
    <s v="CM"/>
    <s v="N"/>
    <x v="9"/>
    <x v="5"/>
    <x v="394"/>
    <m/>
    <x v="258"/>
    <m/>
    <x v="9"/>
    <x v="0"/>
    <x v="179"/>
    <d v="2011-02-12T00:00:00"/>
    <x v="1"/>
    <x v="1"/>
    <s v="Short Films"/>
    <m/>
    <x v="181"/>
    <x v="0"/>
    <m/>
    <x v="1"/>
    <x v="0"/>
    <x v="860"/>
    <x v="9"/>
    <x v="208"/>
    <x v="0"/>
    <x v="179"/>
    <x v="1922"/>
  </r>
  <r>
    <x v="0"/>
    <n v="1244"/>
    <x v="857"/>
    <x v="0"/>
    <s v="CM"/>
    <s v="N"/>
    <x v="9"/>
    <x v="5"/>
    <x v="65"/>
    <m/>
    <x v="51"/>
    <m/>
    <x v="14"/>
    <x v="0"/>
    <x v="61"/>
    <d v="2011-06-03T00:00:00"/>
    <x v="7"/>
    <x v="0"/>
    <m/>
    <m/>
    <x v="0"/>
    <x v="0"/>
    <m/>
    <x v="0"/>
    <x v="0"/>
    <x v="860"/>
    <x v="14"/>
    <x v="0"/>
    <x v="0"/>
    <x v="61"/>
    <x v="1923"/>
  </r>
  <r>
    <x v="0"/>
    <n v="1244"/>
    <x v="857"/>
    <x v="0"/>
    <s v="CM"/>
    <s v="N"/>
    <x v="9"/>
    <x v="5"/>
    <x v="395"/>
    <m/>
    <x v="158"/>
    <m/>
    <x v="5"/>
    <x v="0"/>
    <x v="193"/>
    <d v="2011-06-22T00:00:00"/>
    <x v="7"/>
    <x v="1"/>
    <s v="International Competition"/>
    <m/>
    <x v="0"/>
    <x v="0"/>
    <m/>
    <x v="0"/>
    <x v="0"/>
    <x v="860"/>
    <x v="5"/>
    <x v="0"/>
    <x v="0"/>
    <x v="193"/>
    <x v="1924"/>
  </r>
  <r>
    <x v="0"/>
    <n v="1244"/>
    <x v="857"/>
    <x v="0"/>
    <s v="CM"/>
    <s v="N"/>
    <x v="9"/>
    <x v="5"/>
    <x v="277"/>
    <m/>
    <x v="193"/>
    <m/>
    <x v="57"/>
    <x v="0"/>
    <x v="7"/>
    <d v="2011-06-25T00:00:00"/>
    <x v="7"/>
    <x v="1"/>
    <s v="International Competition Shorts V                                                                                                                         "/>
    <m/>
    <x v="0"/>
    <x v="0"/>
    <m/>
    <x v="0"/>
    <x v="0"/>
    <x v="860"/>
    <x v="57"/>
    <x v="0"/>
    <x v="0"/>
    <x v="7"/>
    <x v="1925"/>
  </r>
  <r>
    <x v="0"/>
    <n v="1244"/>
    <x v="857"/>
    <x v="0"/>
    <s v="CM"/>
    <s v="N"/>
    <x v="9"/>
    <x v="5"/>
    <x v="396"/>
    <m/>
    <x v="259"/>
    <m/>
    <x v="15"/>
    <x v="0"/>
    <x v="76"/>
    <d v="2011-07-09T00:00:00"/>
    <x v="8"/>
    <x v="1"/>
    <s v="Competição Internacional Maremetraggio"/>
    <m/>
    <x v="0"/>
    <x v="0"/>
    <m/>
    <x v="0"/>
    <x v="0"/>
    <x v="860"/>
    <x v="15"/>
    <x v="0"/>
    <x v="0"/>
    <x v="76"/>
    <x v="1926"/>
  </r>
  <r>
    <x v="0"/>
    <n v="1244"/>
    <x v="857"/>
    <x v="0"/>
    <s v="CM"/>
    <s v="N"/>
    <x v="9"/>
    <x v="5"/>
    <x v="139"/>
    <m/>
    <x v="106"/>
    <m/>
    <x v="15"/>
    <x v="0"/>
    <x v="109"/>
    <d v="2011-07-30T00:00:00"/>
    <x v="8"/>
    <x v="1"/>
    <s v="Sui generis 2"/>
    <m/>
    <x v="0"/>
    <x v="0"/>
    <m/>
    <x v="0"/>
    <x v="0"/>
    <x v="860"/>
    <x v="15"/>
    <x v="0"/>
    <x v="0"/>
    <x v="109"/>
    <x v="1927"/>
  </r>
  <r>
    <x v="0"/>
    <n v="1244"/>
    <x v="857"/>
    <x v="0"/>
    <s v="CM"/>
    <s v="N"/>
    <x v="9"/>
    <x v="5"/>
    <x v="234"/>
    <m/>
    <x v="164"/>
    <m/>
    <x v="5"/>
    <x v="0"/>
    <x v="200"/>
    <d v="2011-08-15T00:00:00"/>
    <x v="16"/>
    <x v="1"/>
    <m/>
    <m/>
    <x v="0"/>
    <x v="0"/>
    <m/>
    <x v="0"/>
    <x v="0"/>
    <x v="860"/>
    <x v="5"/>
    <x v="0"/>
    <x v="0"/>
    <x v="200"/>
    <x v="1928"/>
  </r>
  <r>
    <x v="0"/>
    <n v="1244"/>
    <x v="857"/>
    <x v="0"/>
    <s v="CM"/>
    <s v="N"/>
    <x v="9"/>
    <x v="5"/>
    <x v="256"/>
    <m/>
    <x v="177"/>
    <m/>
    <x v="50"/>
    <x v="0"/>
    <x v="37"/>
    <d v="2011-08-27T00:00:00"/>
    <x v="16"/>
    <x v="1"/>
    <s v="European Short Critic - Part 3"/>
    <m/>
    <x v="0"/>
    <x v="0"/>
    <m/>
    <x v="0"/>
    <x v="0"/>
    <x v="860"/>
    <x v="50"/>
    <x v="0"/>
    <x v="0"/>
    <x v="37"/>
    <x v="1929"/>
  </r>
  <r>
    <x v="0"/>
    <n v="1244"/>
    <x v="857"/>
    <x v="0"/>
    <s v="CM"/>
    <s v="N"/>
    <x v="9"/>
    <x v="5"/>
    <x v="141"/>
    <m/>
    <x v="107"/>
    <m/>
    <x v="31"/>
    <x v="0"/>
    <x v="114"/>
    <d v="2011-09-25T00:00:00"/>
    <x v="9"/>
    <x v="1"/>
    <s v="Fiction"/>
    <m/>
    <x v="0"/>
    <x v="0"/>
    <m/>
    <x v="0"/>
    <x v="0"/>
    <x v="860"/>
    <x v="31"/>
    <x v="0"/>
    <x v="0"/>
    <x v="114"/>
    <x v="1930"/>
  </r>
  <r>
    <x v="0"/>
    <n v="1244"/>
    <x v="857"/>
    <x v="0"/>
    <s v="CM"/>
    <s v="N"/>
    <x v="9"/>
    <x v="5"/>
    <x v="397"/>
    <m/>
    <x v="139"/>
    <m/>
    <x v="10"/>
    <x v="0"/>
    <x v="217"/>
    <d v="2011-10-09T00:00:00"/>
    <x v="10"/>
    <x v="1"/>
    <m/>
    <m/>
    <x v="0"/>
    <x v="0"/>
    <m/>
    <x v="0"/>
    <x v="0"/>
    <x v="860"/>
    <x v="10"/>
    <x v="0"/>
    <x v="0"/>
    <x v="217"/>
    <x v="1931"/>
  </r>
  <r>
    <x v="0"/>
    <n v="1244"/>
    <x v="857"/>
    <x v="0"/>
    <s v="CM"/>
    <s v="N"/>
    <x v="9"/>
    <x v="5"/>
    <x v="230"/>
    <m/>
    <x v="161"/>
    <m/>
    <x v="34"/>
    <x v="0"/>
    <x v="165"/>
    <d v="2011-10-09T00:00:00"/>
    <x v="14"/>
    <x v="1"/>
    <m/>
    <m/>
    <x v="0"/>
    <x v="0"/>
    <m/>
    <x v="0"/>
    <x v="0"/>
    <x v="860"/>
    <x v="34"/>
    <x v="0"/>
    <x v="0"/>
    <x v="165"/>
    <x v="1932"/>
  </r>
  <r>
    <x v="0"/>
    <n v="1244"/>
    <x v="857"/>
    <x v="0"/>
    <s v="CM"/>
    <s v="N"/>
    <x v="9"/>
    <x v="5"/>
    <x v="226"/>
    <m/>
    <x v="158"/>
    <m/>
    <x v="5"/>
    <x v="0"/>
    <x v="156"/>
    <d v="2011-10-16T00:00:00"/>
    <x v="14"/>
    <x v="1"/>
    <s v="Helden wie wir"/>
    <m/>
    <x v="0"/>
    <x v="0"/>
    <m/>
    <x v="0"/>
    <x v="0"/>
    <x v="860"/>
    <x v="5"/>
    <x v="0"/>
    <x v="0"/>
    <x v="156"/>
    <x v="1933"/>
  </r>
  <r>
    <x v="0"/>
    <n v="1244"/>
    <x v="857"/>
    <x v="0"/>
    <s v="CM"/>
    <s v="N"/>
    <x v="9"/>
    <x v="5"/>
    <x v="126"/>
    <m/>
    <x v="96"/>
    <m/>
    <x v="1"/>
    <x v="0"/>
    <x v="103"/>
    <d v="2011-10-23T00:00:00"/>
    <x v="14"/>
    <x v="1"/>
    <s v="Competitión Cortometrajes ficción"/>
    <m/>
    <x v="182"/>
    <x v="0"/>
    <m/>
    <x v="1"/>
    <x v="0"/>
    <x v="860"/>
    <x v="1"/>
    <x v="209"/>
    <x v="0"/>
    <x v="103"/>
    <x v="1934"/>
  </r>
  <r>
    <x v="0"/>
    <n v="1244"/>
    <x v="857"/>
    <x v="0"/>
    <s v="CM"/>
    <s v="N"/>
    <x v="9"/>
    <x v="5"/>
    <x v="308"/>
    <m/>
    <x v="211"/>
    <m/>
    <x v="59"/>
    <x v="0"/>
    <x v="184"/>
    <d v="2011-10-22T00:00:00"/>
    <x v="14"/>
    <x v="1"/>
    <m/>
    <m/>
    <x v="0"/>
    <x v="0"/>
    <m/>
    <x v="0"/>
    <x v="0"/>
    <x v="860"/>
    <x v="59"/>
    <x v="0"/>
    <x v="0"/>
    <x v="184"/>
    <x v="1935"/>
  </r>
  <r>
    <x v="0"/>
    <n v="1244"/>
    <x v="857"/>
    <x v="0"/>
    <s v="CM"/>
    <s v="N"/>
    <x v="9"/>
    <x v="5"/>
    <x v="94"/>
    <m/>
    <x v="73"/>
    <m/>
    <x v="3"/>
    <x v="0"/>
    <x v="85"/>
    <d v="2011-10-30T00:00:00"/>
    <x v="14"/>
    <x v="1"/>
    <s v="Sessão Competitiva 1"/>
    <s v="Curtas Metragens Portuguesas "/>
    <x v="117"/>
    <x v="0"/>
    <m/>
    <x v="1"/>
    <x v="0"/>
    <x v="860"/>
    <x v="3"/>
    <x v="210"/>
    <x v="1"/>
    <x v="85"/>
    <x v="1936"/>
  </r>
  <r>
    <x v="0"/>
    <n v="1244"/>
    <x v="857"/>
    <x v="0"/>
    <s v="CM"/>
    <s v="N"/>
    <x v="9"/>
    <x v="5"/>
    <x v="398"/>
    <m/>
    <x v="89"/>
    <m/>
    <x v="26"/>
    <x v="0"/>
    <x v="210"/>
    <d v="2011-10-30T00:00:00"/>
    <x v="14"/>
    <x v="1"/>
    <m/>
    <m/>
    <x v="0"/>
    <x v="0"/>
    <m/>
    <x v="0"/>
    <x v="0"/>
    <x v="860"/>
    <x v="26"/>
    <x v="0"/>
    <x v="0"/>
    <x v="210"/>
    <x v="1937"/>
  </r>
  <r>
    <x v="0"/>
    <n v="1244"/>
    <x v="857"/>
    <x v="0"/>
    <s v="CM"/>
    <s v="N"/>
    <x v="9"/>
    <x v="5"/>
    <x v="78"/>
    <m/>
    <x v="59"/>
    <m/>
    <x v="3"/>
    <x v="0"/>
    <x v="66"/>
    <d v="2011-10-30T00:00:00"/>
    <x v="14"/>
    <x v="1"/>
    <m/>
    <m/>
    <x v="0"/>
    <x v="0"/>
    <m/>
    <x v="0"/>
    <x v="0"/>
    <x v="860"/>
    <x v="3"/>
    <x v="0"/>
    <x v="1"/>
    <x v="66"/>
    <x v="1938"/>
  </r>
  <r>
    <x v="0"/>
    <n v="1244"/>
    <x v="857"/>
    <x v="0"/>
    <s v="CM"/>
    <s v="N"/>
    <x v="9"/>
    <x v="5"/>
    <x v="14"/>
    <m/>
    <x v="14"/>
    <m/>
    <x v="3"/>
    <x v="0"/>
    <x v="13"/>
    <d v="2011-11-05T00:00:00"/>
    <x v="0"/>
    <x v="1"/>
    <s v="Competição Curtas Metragens"/>
    <m/>
    <x v="4"/>
    <x v="0"/>
    <m/>
    <x v="1"/>
    <x v="0"/>
    <x v="860"/>
    <x v="3"/>
    <x v="211"/>
    <x v="1"/>
    <x v="13"/>
    <x v="1939"/>
  </r>
  <r>
    <x v="0"/>
    <n v="1244"/>
    <x v="857"/>
    <x v="0"/>
    <s v="CM"/>
    <s v="N"/>
    <x v="9"/>
    <x v="5"/>
    <x v="399"/>
    <m/>
    <x v="260"/>
    <m/>
    <x v="17"/>
    <x v="0"/>
    <x v="70"/>
    <d v="2011-11-06T00:00:00"/>
    <x v="13"/>
    <x v="1"/>
    <m/>
    <m/>
    <x v="0"/>
    <x v="0"/>
    <m/>
    <x v="0"/>
    <x v="0"/>
    <x v="860"/>
    <x v="17"/>
    <x v="0"/>
    <x v="0"/>
    <x v="70"/>
    <x v="1940"/>
  </r>
  <r>
    <x v="0"/>
    <n v="1244"/>
    <x v="857"/>
    <x v="0"/>
    <s v="CM"/>
    <s v="N"/>
    <x v="9"/>
    <x v="5"/>
    <x v="400"/>
    <m/>
    <x v="261"/>
    <m/>
    <x v="1"/>
    <x v="0"/>
    <x v="230"/>
    <d v="2011-11-27T00:00:00"/>
    <x v="13"/>
    <x v="1"/>
    <m/>
    <m/>
    <x v="183"/>
    <x v="0"/>
    <m/>
    <x v="1"/>
    <x v="0"/>
    <x v="860"/>
    <x v="1"/>
    <x v="212"/>
    <x v="0"/>
    <x v="230"/>
    <x v="1941"/>
  </r>
  <r>
    <x v="0"/>
    <n v="1244"/>
    <x v="857"/>
    <x v="0"/>
    <s v="CM"/>
    <s v="N"/>
    <x v="9"/>
    <x v="5"/>
    <x v="37"/>
    <m/>
    <x v="35"/>
    <m/>
    <x v="2"/>
    <x v="0"/>
    <x v="15"/>
    <d v="2011-12-04T00:00:00"/>
    <x v="12"/>
    <x v="1"/>
    <s v="Compétition international 1"/>
    <m/>
    <x v="0"/>
    <x v="0"/>
    <m/>
    <x v="0"/>
    <x v="0"/>
    <x v="860"/>
    <x v="2"/>
    <x v="0"/>
    <x v="0"/>
    <x v="15"/>
    <x v="1942"/>
  </r>
  <r>
    <x v="0"/>
    <n v="1244"/>
    <x v="857"/>
    <x v="0"/>
    <s v="CM"/>
    <s v="N"/>
    <x v="9"/>
    <x v="5"/>
    <x v="21"/>
    <m/>
    <x v="21"/>
    <m/>
    <x v="3"/>
    <x v="0"/>
    <x v="15"/>
    <d v="2011-12-03T00:00:00"/>
    <x v="12"/>
    <x v="1"/>
    <s v="Curtas Ficção"/>
    <m/>
    <x v="184"/>
    <x v="0"/>
    <m/>
    <x v="1"/>
    <x v="0"/>
    <x v="860"/>
    <x v="3"/>
    <x v="213"/>
    <x v="1"/>
    <x v="15"/>
    <x v="1943"/>
  </r>
  <r>
    <x v="0"/>
    <n v="1246"/>
    <x v="858"/>
    <x v="1"/>
    <s v="LM"/>
    <s v="N"/>
    <x v="15"/>
    <x v="35"/>
    <x v="91"/>
    <m/>
    <x v="70"/>
    <m/>
    <x v="18"/>
    <x v="0"/>
    <x v="82"/>
    <d v="2011-05-06T00:00:00"/>
    <x v="4"/>
    <x v="0"/>
    <m/>
    <s v="Focus On: Portuguese Cinema 2- Before and After Revolution"/>
    <x v="0"/>
    <x v="0"/>
    <m/>
    <x v="0"/>
    <x v="1"/>
    <x v="861"/>
    <x v="18"/>
    <x v="0"/>
    <x v="0"/>
    <x v="82"/>
    <x v="1944"/>
  </r>
  <r>
    <x v="0"/>
    <n v="1246"/>
    <x v="858"/>
    <x v="1"/>
    <s v="LM"/>
    <s v="N"/>
    <x v="15"/>
    <x v="35"/>
    <x v="43"/>
    <m/>
    <x v="40"/>
    <m/>
    <x v="3"/>
    <x v="0"/>
    <x v="20"/>
    <d v="2011-11-26T00:00:00"/>
    <x v="13"/>
    <x v="0"/>
    <m/>
    <m/>
    <x v="0"/>
    <x v="1"/>
    <m/>
    <x v="0"/>
    <x v="1"/>
    <x v="861"/>
    <x v="3"/>
    <x v="0"/>
    <x v="1"/>
    <x v="20"/>
    <x v="1945"/>
  </r>
  <r>
    <x v="0"/>
    <n v="1247"/>
    <x v="859"/>
    <x v="4"/>
    <s v=""/>
    <s v=""/>
    <x v="582"/>
    <x v="2"/>
    <x v="113"/>
    <m/>
    <x v="86"/>
    <m/>
    <x v="0"/>
    <x v="0"/>
    <x v="98"/>
    <d v="2011-05-21T00:00:00"/>
    <x v="6"/>
    <x v="1"/>
    <s v="Aromas e Sabores"/>
    <m/>
    <x v="185"/>
    <x v="0"/>
    <m/>
    <x v="1"/>
    <x v="7"/>
    <x v="862"/>
    <x v="0"/>
    <x v="214"/>
    <x v="0"/>
    <x v="98"/>
    <x v="1946"/>
  </r>
  <r>
    <x v="0"/>
    <n v="1248"/>
    <x v="860"/>
    <x v="1"/>
    <s v="CM"/>
    <s v="N"/>
    <x v="583"/>
    <x v="2"/>
    <x v="70"/>
    <m/>
    <x v="38"/>
    <m/>
    <x v="3"/>
    <x v="0"/>
    <x v="19"/>
    <d v="2011-09-11T00:00:00"/>
    <x v="9"/>
    <x v="1"/>
    <s v="2ª Sessão Competitiva"/>
    <m/>
    <x v="0"/>
    <x v="0"/>
    <m/>
    <x v="0"/>
    <x v="2"/>
    <x v="863"/>
    <x v="3"/>
    <x v="0"/>
    <x v="1"/>
    <x v="19"/>
    <x v="1947"/>
  </r>
  <r>
    <x v="0"/>
    <n v="1250"/>
    <x v="861"/>
    <x v="0"/>
    <s v="CM"/>
    <s v=""/>
    <x v="358"/>
    <x v="1"/>
    <x v="93"/>
    <m/>
    <x v="72"/>
    <m/>
    <x v="15"/>
    <x v="0"/>
    <x v="84"/>
    <d v="2011-09-03T00:00:00"/>
    <x v="9"/>
    <x v="0"/>
    <m/>
    <s v="Focus on Gabriel Abrantes"/>
    <x v="0"/>
    <x v="0"/>
    <m/>
    <x v="0"/>
    <x v="0"/>
    <x v="864"/>
    <x v="15"/>
    <x v="0"/>
    <x v="0"/>
    <x v="84"/>
    <x v="1948"/>
  </r>
  <r>
    <x v="0"/>
    <n v="1250"/>
    <x v="861"/>
    <x v="0"/>
    <s v="CM"/>
    <s v=""/>
    <x v="358"/>
    <x v="1"/>
    <x v="96"/>
    <m/>
    <x v="75"/>
    <m/>
    <x v="15"/>
    <x v="0"/>
    <x v="87"/>
    <m/>
    <x v="12"/>
    <x v="0"/>
    <m/>
    <m/>
    <x v="0"/>
    <x v="1"/>
    <m/>
    <x v="0"/>
    <x v="0"/>
    <x v="864"/>
    <x v="15"/>
    <x v="0"/>
    <x v="0"/>
    <x v="87"/>
    <x v="1949"/>
  </r>
  <r>
    <x v="0"/>
    <n v="1253"/>
    <x v="862"/>
    <x v="4"/>
    <s v=""/>
    <s v=""/>
    <x v="584"/>
    <x v="2"/>
    <x v="224"/>
    <m/>
    <x v="156"/>
    <m/>
    <x v="18"/>
    <x v="0"/>
    <x v="140"/>
    <d v="2011-07-24T00:00:00"/>
    <x v="8"/>
    <x v="0"/>
    <m/>
    <s v="SICAF Perspective"/>
    <x v="0"/>
    <x v="0"/>
    <m/>
    <x v="0"/>
    <x v="7"/>
    <x v="865"/>
    <x v="18"/>
    <x v="0"/>
    <x v="0"/>
    <x v="140"/>
    <x v="1950"/>
  </r>
  <r>
    <x v="0"/>
    <n v="1254"/>
    <x v="863"/>
    <x v="0"/>
    <s v="CM"/>
    <s v="S"/>
    <x v="80"/>
    <x v="5"/>
    <x v="90"/>
    <m/>
    <x v="69"/>
    <m/>
    <x v="8"/>
    <x v="0"/>
    <x v="81"/>
    <d v="2011-02-06T00:00:00"/>
    <x v="18"/>
    <x v="0"/>
    <m/>
    <s v="Spectrum Shorts - Short Profile: Sandro Aguilar"/>
    <x v="0"/>
    <x v="0"/>
    <m/>
    <x v="0"/>
    <x v="0"/>
    <x v="866"/>
    <x v="8"/>
    <x v="0"/>
    <x v="0"/>
    <x v="81"/>
    <x v="1951"/>
  </r>
  <r>
    <x v="0"/>
    <n v="1254"/>
    <x v="863"/>
    <x v="0"/>
    <s v="CM"/>
    <s v="S"/>
    <x v="80"/>
    <x v="5"/>
    <x v="30"/>
    <m/>
    <x v="28"/>
    <m/>
    <x v="8"/>
    <x v="0"/>
    <x v="28"/>
    <d v="2011-03-20T00:00:00"/>
    <x v="2"/>
    <x v="0"/>
    <m/>
    <s v="The Labo 1 - Into the Deep"/>
    <x v="0"/>
    <x v="0"/>
    <m/>
    <x v="0"/>
    <x v="0"/>
    <x v="866"/>
    <x v="8"/>
    <x v="0"/>
    <x v="0"/>
    <x v="28"/>
    <x v="1952"/>
  </r>
  <r>
    <x v="0"/>
    <n v="1254"/>
    <x v="863"/>
    <x v="0"/>
    <s v="CM"/>
    <s v="S"/>
    <x v="80"/>
    <x v="5"/>
    <x v="269"/>
    <m/>
    <x v="188"/>
    <m/>
    <x v="55"/>
    <x v="0"/>
    <x v="178"/>
    <d v="2011-04-30T00:00:00"/>
    <x v="5"/>
    <x v="0"/>
    <m/>
    <m/>
    <x v="0"/>
    <x v="0"/>
    <m/>
    <x v="0"/>
    <x v="0"/>
    <x v="866"/>
    <x v="55"/>
    <x v="0"/>
    <x v="0"/>
    <x v="178"/>
    <x v="1953"/>
  </r>
  <r>
    <x v="0"/>
    <n v="1254"/>
    <x v="863"/>
    <x v="0"/>
    <s v="CM"/>
    <s v="S"/>
    <x v="80"/>
    <x v="5"/>
    <x v="49"/>
    <m/>
    <x v="16"/>
    <m/>
    <x v="1"/>
    <x v="0"/>
    <x v="43"/>
    <d v="2011-05-26T00:00:00"/>
    <x v="6"/>
    <x v="0"/>
    <m/>
    <s v="Fictions"/>
    <x v="0"/>
    <x v="1"/>
    <m/>
    <x v="0"/>
    <x v="0"/>
    <x v="866"/>
    <x v="1"/>
    <x v="0"/>
    <x v="0"/>
    <x v="43"/>
    <x v="1954"/>
  </r>
  <r>
    <x v="0"/>
    <n v="1254"/>
    <x v="863"/>
    <x v="0"/>
    <s v="CM"/>
    <s v="S"/>
    <x v="80"/>
    <x v="5"/>
    <x v="50"/>
    <m/>
    <x v="20"/>
    <m/>
    <x v="5"/>
    <x v="0"/>
    <x v="44"/>
    <d v="2011-07-03T00:00:00"/>
    <x v="17"/>
    <x v="0"/>
    <m/>
    <s v="Fictions"/>
    <x v="0"/>
    <x v="1"/>
    <m/>
    <x v="0"/>
    <x v="0"/>
    <x v="866"/>
    <x v="5"/>
    <x v="0"/>
    <x v="0"/>
    <x v="44"/>
    <x v="1955"/>
  </r>
  <r>
    <x v="0"/>
    <n v="1254"/>
    <x v="863"/>
    <x v="0"/>
    <s v="CM"/>
    <s v="S"/>
    <x v="80"/>
    <x v="5"/>
    <x v="315"/>
    <m/>
    <x v="215"/>
    <m/>
    <x v="60"/>
    <x v="0"/>
    <x v="84"/>
    <d v="2011-09-09T00:00:00"/>
    <x v="9"/>
    <x v="1"/>
    <s v="Cortometrajes iberamericanos 2"/>
    <m/>
    <x v="0"/>
    <x v="0"/>
    <m/>
    <x v="0"/>
    <x v="0"/>
    <x v="866"/>
    <x v="60"/>
    <x v="0"/>
    <x v="0"/>
    <x v="84"/>
    <x v="1956"/>
  </r>
  <r>
    <x v="0"/>
    <n v="1254"/>
    <x v="863"/>
    <x v="0"/>
    <s v="CM"/>
    <s v="S"/>
    <x v="80"/>
    <x v="5"/>
    <x v="401"/>
    <m/>
    <x v="262"/>
    <m/>
    <x v="63"/>
    <x v="0"/>
    <x v="80"/>
    <d v="2011-10-30T00:00:00"/>
    <x v="14"/>
    <x v="1"/>
    <s v="International Competition"/>
    <m/>
    <x v="0"/>
    <x v="0"/>
    <m/>
    <x v="0"/>
    <x v="0"/>
    <x v="866"/>
    <x v="63"/>
    <x v="0"/>
    <x v="0"/>
    <x v="80"/>
    <x v="1957"/>
  </r>
  <r>
    <x v="0"/>
    <n v="1254"/>
    <x v="863"/>
    <x v="0"/>
    <s v="CM"/>
    <s v="S"/>
    <x v="80"/>
    <x v="5"/>
    <x v="0"/>
    <m/>
    <x v="0"/>
    <m/>
    <x v="0"/>
    <x v="0"/>
    <x v="0"/>
    <d v="2011-11-06T00:00:00"/>
    <x v="0"/>
    <x v="0"/>
    <m/>
    <s v="Foco Portugal: Programa Aguilar+Gomes"/>
    <x v="0"/>
    <x v="0"/>
    <m/>
    <x v="0"/>
    <x v="0"/>
    <x v="866"/>
    <x v="0"/>
    <x v="0"/>
    <x v="0"/>
    <x v="0"/>
    <x v="1958"/>
  </r>
  <r>
    <x v="0"/>
    <n v="1254"/>
    <x v="863"/>
    <x v="0"/>
    <s v="CM"/>
    <s v="S"/>
    <x v="80"/>
    <x v="5"/>
    <x v="95"/>
    <m/>
    <x v="74"/>
    <m/>
    <x v="1"/>
    <x v="0"/>
    <x v="86"/>
    <d v="2011-11-18T00:00:00"/>
    <x v="13"/>
    <x v="1"/>
    <s v="Certamen Europeo de Cortometrages"/>
    <m/>
    <x v="0"/>
    <x v="0"/>
    <m/>
    <x v="0"/>
    <x v="0"/>
    <x v="866"/>
    <x v="1"/>
    <x v="0"/>
    <x v="0"/>
    <x v="86"/>
    <x v="1959"/>
  </r>
  <r>
    <x v="0"/>
    <n v="1254"/>
    <x v="863"/>
    <x v="0"/>
    <s v="CM"/>
    <s v="S"/>
    <x v="80"/>
    <x v="5"/>
    <x v="86"/>
    <m/>
    <x v="65"/>
    <m/>
    <x v="9"/>
    <x v="0"/>
    <x v="15"/>
    <d v="2011-12-06T00:00:00"/>
    <x v="12"/>
    <x v="0"/>
    <m/>
    <s v="Sandro Aguilar Shorts"/>
    <x v="0"/>
    <x v="1"/>
    <m/>
    <x v="0"/>
    <x v="0"/>
    <x v="866"/>
    <x v="9"/>
    <x v="0"/>
    <x v="0"/>
    <x v="15"/>
    <x v="1960"/>
  </r>
  <r>
    <x v="0"/>
    <n v="1255"/>
    <x v="864"/>
    <x v="4"/>
    <s v=""/>
    <s v=""/>
    <x v="481"/>
    <x v="2"/>
    <x v="26"/>
    <m/>
    <x v="24"/>
    <m/>
    <x v="3"/>
    <x v="0"/>
    <x v="24"/>
    <d v="2011-03-27T00:00:00"/>
    <x v="2"/>
    <x v="0"/>
    <m/>
    <s v="Retrospectiva &quot;20 Anos da ANIMANOSTRA&quot;"/>
    <x v="0"/>
    <x v="0"/>
    <m/>
    <x v="0"/>
    <x v="7"/>
    <x v="867"/>
    <x v="3"/>
    <x v="0"/>
    <x v="1"/>
    <x v="24"/>
    <x v="1961"/>
  </r>
  <r>
    <x v="0"/>
    <n v="1256"/>
    <x v="865"/>
    <x v="4"/>
    <s v=""/>
    <s v=""/>
    <x v="557"/>
    <x v="2"/>
    <x v="120"/>
    <m/>
    <x v="83"/>
    <m/>
    <x v="3"/>
    <x v="0"/>
    <x v="16"/>
    <d v="2011-12-04T00:00:00"/>
    <x v="12"/>
    <x v="1"/>
    <s v="Cineastas: Ficção"/>
    <m/>
    <x v="0"/>
    <x v="0"/>
    <m/>
    <x v="0"/>
    <x v="7"/>
    <x v="868"/>
    <x v="3"/>
    <x v="0"/>
    <x v="1"/>
    <x v="16"/>
    <x v="1962"/>
  </r>
  <r>
    <x v="0"/>
    <n v="1258"/>
    <x v="866"/>
    <x v="4"/>
    <s v=""/>
    <s v=""/>
    <x v="585"/>
    <x v="2"/>
    <x v="251"/>
    <m/>
    <x v="24"/>
    <m/>
    <x v="3"/>
    <x v="0"/>
    <x v="170"/>
    <d v="2011-11-20T00:00:00"/>
    <x v="13"/>
    <x v="0"/>
    <m/>
    <m/>
    <x v="0"/>
    <x v="1"/>
    <m/>
    <x v="0"/>
    <x v="7"/>
    <x v="869"/>
    <x v="3"/>
    <x v="0"/>
    <x v="1"/>
    <x v="170"/>
    <x v="1963"/>
  </r>
  <r>
    <x v="0"/>
    <n v="1259"/>
    <x v="867"/>
    <x v="1"/>
    <s v="CM"/>
    <s v="S"/>
    <x v="586"/>
    <x v="3"/>
    <x v="146"/>
    <m/>
    <x v="24"/>
    <m/>
    <x v="3"/>
    <x v="0"/>
    <x v="112"/>
    <d v="2011-05-15T00:00:00"/>
    <x v="6"/>
    <x v="1"/>
    <s v="Competição Internacional - Curtas Metragens"/>
    <m/>
    <x v="186"/>
    <x v="0"/>
    <m/>
    <x v="1"/>
    <x v="2"/>
    <x v="870"/>
    <x v="3"/>
    <x v="215"/>
    <x v="1"/>
    <x v="112"/>
    <x v="1964"/>
  </r>
  <r>
    <x v="0"/>
    <n v="1260"/>
    <x v="868"/>
    <x v="0"/>
    <s v="CM"/>
    <s v="N"/>
    <x v="587"/>
    <x v="2"/>
    <x v="71"/>
    <m/>
    <x v="55"/>
    <m/>
    <x v="3"/>
    <x v="0"/>
    <x v="66"/>
    <d v="2011-10-29T00:00:00"/>
    <x v="14"/>
    <x v="0"/>
    <m/>
    <m/>
    <x v="0"/>
    <x v="1"/>
    <m/>
    <x v="0"/>
    <x v="0"/>
    <x v="871"/>
    <x v="3"/>
    <x v="0"/>
    <x v="1"/>
    <x v="66"/>
    <x v="1965"/>
  </r>
  <r>
    <x v="0"/>
    <n v="1261"/>
    <x v="869"/>
    <x v="4"/>
    <s v=""/>
    <s v=""/>
    <x v="56"/>
    <x v="2"/>
    <x v="178"/>
    <m/>
    <x v="25"/>
    <m/>
    <x v="3"/>
    <x v="0"/>
    <x v="44"/>
    <d v="2011-07-03T00:00:00"/>
    <x v="17"/>
    <x v="1"/>
    <s v="Sessão Competitiva 4"/>
    <m/>
    <x v="0"/>
    <x v="0"/>
    <m/>
    <x v="0"/>
    <x v="7"/>
    <x v="872"/>
    <x v="3"/>
    <x v="0"/>
    <x v="1"/>
    <x v="44"/>
    <x v="1966"/>
  </r>
  <r>
    <x v="0"/>
    <n v="1263"/>
    <x v="870"/>
    <x v="4"/>
    <s v=""/>
    <s v=""/>
    <x v="35"/>
    <x v="2"/>
    <x v="81"/>
    <m/>
    <x v="61"/>
    <m/>
    <x v="2"/>
    <x v="0"/>
    <x v="71"/>
    <d v="2011-02-12T00:00:00"/>
    <x v="1"/>
    <x v="0"/>
    <m/>
    <s v="Décibels 1"/>
    <x v="0"/>
    <x v="0"/>
    <m/>
    <x v="0"/>
    <x v="7"/>
    <x v="873"/>
    <x v="2"/>
    <x v="0"/>
    <x v="0"/>
    <x v="71"/>
    <x v="1967"/>
  </r>
  <r>
    <x v="0"/>
    <n v="1265"/>
    <x v="871"/>
    <x v="4"/>
    <s v=""/>
    <s v=""/>
    <x v="588"/>
    <x v="2"/>
    <x v="192"/>
    <m/>
    <x v="140"/>
    <m/>
    <x v="3"/>
    <x v="0"/>
    <x v="140"/>
    <d v="2011-07-24T00:00:00"/>
    <x v="8"/>
    <x v="1"/>
    <s v="Competição Televisão"/>
    <m/>
    <x v="0"/>
    <x v="0"/>
    <m/>
    <x v="0"/>
    <x v="7"/>
    <x v="874"/>
    <x v="3"/>
    <x v="0"/>
    <x v="1"/>
    <x v="140"/>
    <x v="1968"/>
  </r>
  <r>
    <x v="0"/>
    <n v="1267"/>
    <x v="872"/>
    <x v="0"/>
    <s v="LM"/>
    <s v="S"/>
    <x v="10"/>
    <x v="40"/>
    <x v="38"/>
    <m/>
    <x v="36"/>
    <m/>
    <x v="3"/>
    <x v="0"/>
    <x v="34"/>
    <d v="2011-11-19T00:00:00"/>
    <x v="13"/>
    <x v="0"/>
    <m/>
    <s v="Integral da Ficção de Manuel Mozos"/>
    <x v="0"/>
    <x v="1"/>
    <m/>
    <x v="0"/>
    <x v="5"/>
    <x v="875"/>
    <x v="3"/>
    <x v="0"/>
    <x v="1"/>
    <x v="34"/>
    <x v="1969"/>
  </r>
  <r>
    <x v="0"/>
    <n v="1267"/>
    <x v="872"/>
    <x v="0"/>
    <s v="LM"/>
    <s v="S"/>
    <x v="10"/>
    <x v="40"/>
    <x v="368"/>
    <m/>
    <x v="23"/>
    <m/>
    <x v="3"/>
    <x v="0"/>
    <x v="15"/>
    <m/>
    <x v="12"/>
    <x v="0"/>
    <m/>
    <m/>
    <x v="0"/>
    <x v="1"/>
    <m/>
    <x v="0"/>
    <x v="5"/>
    <x v="875"/>
    <x v="3"/>
    <x v="0"/>
    <x v="1"/>
    <x v="15"/>
    <x v="1970"/>
  </r>
  <r>
    <x v="0"/>
    <n v="1268"/>
    <x v="873"/>
    <x v="1"/>
    <s v="CM"/>
    <s v="N"/>
    <x v="589"/>
    <x v="2"/>
    <x v="25"/>
    <m/>
    <x v="24"/>
    <m/>
    <x v="3"/>
    <x v="0"/>
    <x v="23"/>
    <d v="2011-10-30T00:00:00"/>
    <x v="14"/>
    <x v="1"/>
    <s v="Competição Portuguesa - Médias e Longas"/>
    <m/>
    <x v="187"/>
    <x v="0"/>
    <m/>
    <x v="1"/>
    <x v="2"/>
    <x v="876"/>
    <x v="3"/>
    <x v="216"/>
    <x v="1"/>
    <x v="23"/>
    <x v="1971"/>
  </r>
  <r>
    <x v="0"/>
    <n v="1268"/>
    <x v="873"/>
    <x v="1"/>
    <s v="CM"/>
    <s v="N"/>
    <x v="589"/>
    <x v="2"/>
    <x v="133"/>
    <m/>
    <x v="101"/>
    <m/>
    <x v="3"/>
    <x v="0"/>
    <x v="108"/>
    <d v="2011-12-11T00:00:00"/>
    <x v="12"/>
    <x v="1"/>
    <s v="Longas Metragens SC 5"/>
    <m/>
    <x v="188"/>
    <x v="0"/>
    <m/>
    <x v="1"/>
    <x v="2"/>
    <x v="876"/>
    <x v="3"/>
    <x v="217"/>
    <x v="1"/>
    <x v="108"/>
    <x v="1972"/>
  </r>
  <r>
    <x v="0"/>
    <n v="1270"/>
    <x v="874"/>
    <x v="1"/>
    <s v="LM"/>
    <s v="N"/>
    <x v="590"/>
    <x v="2"/>
    <x v="207"/>
    <m/>
    <x v="24"/>
    <m/>
    <x v="3"/>
    <x v="0"/>
    <x v="109"/>
    <d v="2011-08-14T00:00:00"/>
    <x v="25"/>
    <x v="0"/>
    <m/>
    <m/>
    <x v="0"/>
    <x v="1"/>
    <m/>
    <x v="0"/>
    <x v="1"/>
    <x v="877"/>
    <x v="3"/>
    <x v="0"/>
    <x v="1"/>
    <x v="109"/>
    <x v="1973"/>
  </r>
  <r>
    <x v="0"/>
    <n v="1270"/>
    <x v="874"/>
    <x v="1"/>
    <s v="LM"/>
    <s v="N"/>
    <x v="590"/>
    <x v="2"/>
    <x v="275"/>
    <m/>
    <x v="24"/>
    <m/>
    <x v="3"/>
    <x v="0"/>
    <x v="119"/>
    <d v="2011-10-02T00:00:00"/>
    <x v="10"/>
    <x v="0"/>
    <m/>
    <m/>
    <x v="0"/>
    <x v="1"/>
    <m/>
    <x v="0"/>
    <x v="1"/>
    <x v="877"/>
    <x v="3"/>
    <x v="0"/>
    <x v="1"/>
    <x v="119"/>
    <x v="1974"/>
  </r>
  <r>
    <x v="0"/>
    <n v="1271"/>
    <x v="875"/>
    <x v="2"/>
    <s v="CM"/>
    <s v="S"/>
    <x v="170"/>
    <x v="2"/>
    <x v="297"/>
    <m/>
    <x v="203"/>
    <m/>
    <x v="3"/>
    <x v="0"/>
    <x v="191"/>
    <m/>
    <x v="12"/>
    <x v="0"/>
    <m/>
    <m/>
    <x v="0"/>
    <x v="1"/>
    <m/>
    <x v="0"/>
    <x v="4"/>
    <x v="878"/>
    <x v="3"/>
    <x v="0"/>
    <x v="1"/>
    <x v="191"/>
    <x v="1975"/>
  </r>
  <r>
    <x v="0"/>
    <n v="1272"/>
    <x v="876"/>
    <x v="2"/>
    <s v="CM"/>
    <s v="S"/>
    <x v="300"/>
    <x v="2"/>
    <x v="119"/>
    <m/>
    <x v="91"/>
    <m/>
    <x v="28"/>
    <x v="0"/>
    <x v="33"/>
    <d v="2011-06-25T00:00:00"/>
    <x v="7"/>
    <x v="0"/>
    <m/>
    <m/>
    <x v="0"/>
    <x v="1"/>
    <m/>
    <x v="0"/>
    <x v="4"/>
    <x v="879"/>
    <x v="28"/>
    <x v="0"/>
    <x v="0"/>
    <x v="33"/>
    <x v="1976"/>
  </r>
  <r>
    <x v="0"/>
    <n v="1272"/>
    <x v="876"/>
    <x v="2"/>
    <s v="CM"/>
    <s v="S"/>
    <x v="300"/>
    <x v="2"/>
    <x v="22"/>
    <m/>
    <x v="22"/>
    <m/>
    <x v="3"/>
    <x v="0"/>
    <x v="20"/>
    <d v="2011-11-17T00:00:00"/>
    <x v="13"/>
    <x v="0"/>
    <m/>
    <s v="Caminhos Juniores"/>
    <x v="0"/>
    <x v="0"/>
    <m/>
    <x v="0"/>
    <x v="4"/>
    <x v="879"/>
    <x v="3"/>
    <x v="0"/>
    <x v="1"/>
    <x v="20"/>
    <x v="1977"/>
  </r>
  <r>
    <x v="0"/>
    <n v="1273"/>
    <x v="877"/>
    <x v="1"/>
    <s v="CM"/>
    <s v=""/>
    <x v="374"/>
    <x v="2"/>
    <x v="300"/>
    <m/>
    <x v="206"/>
    <m/>
    <x v="3"/>
    <x v="0"/>
    <x v="21"/>
    <d v="2011-11-09T00:00:00"/>
    <x v="27"/>
    <x v="0"/>
    <m/>
    <m/>
    <x v="0"/>
    <x v="1"/>
    <m/>
    <x v="0"/>
    <x v="2"/>
    <x v="880"/>
    <x v="3"/>
    <x v="0"/>
    <x v="1"/>
    <x v="21"/>
    <x v="1978"/>
  </r>
  <r>
    <x v="0"/>
    <n v="1274"/>
    <x v="878"/>
    <x v="0"/>
    <s v="CM"/>
    <s v="N"/>
    <x v="89"/>
    <x v="20"/>
    <x v="62"/>
    <m/>
    <x v="23"/>
    <m/>
    <x v="3"/>
    <x v="0"/>
    <x v="58"/>
    <d v="2011-03-06T00:00:00"/>
    <x v="19"/>
    <x v="0"/>
    <m/>
    <s v="João Menezes 10 Anos"/>
    <x v="0"/>
    <x v="0"/>
    <m/>
    <x v="0"/>
    <x v="0"/>
    <x v="881"/>
    <x v="3"/>
    <x v="0"/>
    <x v="1"/>
    <x v="58"/>
    <x v="1979"/>
  </r>
  <r>
    <x v="0"/>
    <n v="1275"/>
    <x v="879"/>
    <x v="0"/>
    <s v="CM"/>
    <s v="S"/>
    <x v="235"/>
    <x v="3"/>
    <x v="133"/>
    <m/>
    <x v="101"/>
    <m/>
    <x v="3"/>
    <x v="0"/>
    <x v="108"/>
    <d v="2011-12-11T00:00:00"/>
    <x v="12"/>
    <x v="1"/>
    <s v="Sessão Competitiva de Curtas Metragens 7"/>
    <m/>
    <x v="0"/>
    <x v="0"/>
    <m/>
    <x v="0"/>
    <x v="0"/>
    <x v="882"/>
    <x v="3"/>
    <x v="0"/>
    <x v="1"/>
    <x v="108"/>
    <x v="1980"/>
  </r>
  <r>
    <x v="0"/>
    <n v="1276"/>
    <x v="880"/>
    <x v="4"/>
    <s v=""/>
    <s v=""/>
    <x v="557"/>
    <x v="2"/>
    <x v="26"/>
    <m/>
    <x v="24"/>
    <m/>
    <x v="3"/>
    <x v="0"/>
    <x v="24"/>
    <d v="2011-03-27T00:00:00"/>
    <x v="2"/>
    <x v="0"/>
    <s v=" "/>
    <s v="Retrospectiva &quot;20 Anos da ANIMANOSTRA&quot;"/>
    <x v="0"/>
    <x v="0"/>
    <m/>
    <x v="0"/>
    <x v="7"/>
    <x v="883"/>
    <x v="3"/>
    <x v="0"/>
    <x v="1"/>
    <x v="24"/>
    <x v="1981"/>
  </r>
  <r>
    <x v="1"/>
    <n v="1561"/>
    <x v="881"/>
    <x v="0"/>
    <s v="CM"/>
    <s v="N"/>
    <x v="591"/>
    <x v="41"/>
    <x v="402"/>
    <m/>
    <x v="24"/>
    <m/>
    <x v="3"/>
    <x v="0"/>
    <x v="231"/>
    <d v="2012-12-09T00:00:00"/>
    <x v="12"/>
    <x v="1"/>
    <s v="Categoria Fundação INATEL e Prémio Jovem Realizador"/>
    <m/>
    <x v="0"/>
    <x v="1"/>
    <m/>
    <x v="0"/>
    <x v="0"/>
    <x v="884"/>
    <x v="3"/>
    <x v="0"/>
    <x v="1"/>
    <x v="231"/>
    <x v="1982"/>
  </r>
  <r>
    <x v="1"/>
    <n v="1"/>
    <x v="0"/>
    <x v="0"/>
    <s v="CM"/>
    <s v="S"/>
    <x v="0"/>
    <x v="0"/>
    <x v="403"/>
    <m/>
    <x v="263"/>
    <m/>
    <x v="2"/>
    <x v="0"/>
    <x v="232"/>
    <d v="2012-04-15T00:00:00"/>
    <x v="5"/>
    <x v="0"/>
    <m/>
    <s v="Rétrospectives et Thématiques - Jeune Cinéma Portugais"/>
    <x v="0"/>
    <x v="0"/>
    <m/>
    <x v="0"/>
    <x v="0"/>
    <x v="0"/>
    <x v="2"/>
    <x v="0"/>
    <x v="0"/>
    <x v="232"/>
    <x v="1983"/>
  </r>
  <r>
    <x v="1"/>
    <n v="1"/>
    <x v="0"/>
    <x v="0"/>
    <s v="CM"/>
    <s v="S"/>
    <x v="0"/>
    <x v="0"/>
    <x v="179"/>
    <m/>
    <x v="133"/>
    <m/>
    <x v="0"/>
    <x v="0"/>
    <x v="233"/>
    <d v="2012-11-01T00:00:00"/>
    <x v="0"/>
    <x v="0"/>
    <m/>
    <s v="Homenagem a Miguel Gomes"/>
    <x v="0"/>
    <x v="0"/>
    <m/>
    <x v="0"/>
    <x v="0"/>
    <x v="0"/>
    <x v="0"/>
    <x v="0"/>
    <x v="0"/>
    <x v="233"/>
    <x v="1984"/>
  </r>
  <r>
    <x v="1"/>
    <n v="1"/>
    <x v="0"/>
    <x v="0"/>
    <s v="CM"/>
    <s v="S"/>
    <x v="0"/>
    <x v="0"/>
    <x v="404"/>
    <m/>
    <x v="264"/>
    <m/>
    <x v="15"/>
    <x v="0"/>
    <x v="234"/>
    <d v="2012-12-01T00:00:00"/>
    <x v="11"/>
    <x v="0"/>
    <m/>
    <s v="Onde: Omaggio a Miguel Gomes"/>
    <x v="0"/>
    <x v="0"/>
    <m/>
    <x v="0"/>
    <x v="0"/>
    <x v="0"/>
    <x v="15"/>
    <x v="0"/>
    <x v="0"/>
    <x v="234"/>
    <x v="1985"/>
  </r>
  <r>
    <x v="1"/>
    <n v="2"/>
    <x v="1"/>
    <x v="1"/>
    <s v="LM"/>
    <s v="S"/>
    <x v="1"/>
    <x v="1"/>
    <x v="405"/>
    <m/>
    <x v="24"/>
    <m/>
    <x v="3"/>
    <x v="0"/>
    <x v="235"/>
    <m/>
    <x v="15"/>
    <x v="0"/>
    <m/>
    <m/>
    <x v="0"/>
    <x v="1"/>
    <m/>
    <x v="0"/>
    <x v="1"/>
    <x v="1"/>
    <x v="3"/>
    <x v="0"/>
    <x v="1"/>
    <x v="235"/>
    <x v="1986"/>
  </r>
  <r>
    <x v="1"/>
    <n v="2"/>
    <x v="1"/>
    <x v="1"/>
    <s v="LM"/>
    <s v="S"/>
    <x v="1"/>
    <x v="1"/>
    <x v="406"/>
    <m/>
    <x v="265"/>
    <m/>
    <x v="3"/>
    <x v="0"/>
    <x v="236"/>
    <d v="2012-06-24T00:00:00"/>
    <x v="7"/>
    <x v="0"/>
    <m/>
    <m/>
    <x v="0"/>
    <x v="1"/>
    <m/>
    <x v="0"/>
    <x v="1"/>
    <x v="1"/>
    <x v="3"/>
    <x v="0"/>
    <x v="1"/>
    <x v="236"/>
    <x v="1987"/>
  </r>
  <r>
    <x v="1"/>
    <n v="2"/>
    <x v="1"/>
    <x v="1"/>
    <s v="LM"/>
    <s v="S"/>
    <x v="1"/>
    <x v="1"/>
    <x v="407"/>
    <m/>
    <x v="154"/>
    <m/>
    <x v="0"/>
    <x v="0"/>
    <x v="237"/>
    <d v="2012-07-08T00:00:00"/>
    <x v="17"/>
    <x v="0"/>
    <m/>
    <m/>
    <x v="0"/>
    <x v="1"/>
    <m/>
    <x v="0"/>
    <x v="1"/>
    <x v="1"/>
    <x v="0"/>
    <x v="0"/>
    <x v="0"/>
    <x v="237"/>
    <x v="1988"/>
  </r>
  <r>
    <x v="1"/>
    <n v="2"/>
    <x v="1"/>
    <x v="1"/>
    <s v="LM"/>
    <s v="S"/>
    <x v="1"/>
    <x v="1"/>
    <x v="408"/>
    <m/>
    <x v="266"/>
    <m/>
    <x v="2"/>
    <x v="0"/>
    <x v="238"/>
    <d v="2012-08-25T00:00:00"/>
    <x v="16"/>
    <x v="0"/>
    <m/>
    <s v="Route du Doc: Portugal"/>
    <x v="0"/>
    <x v="1"/>
    <m/>
    <x v="0"/>
    <x v="1"/>
    <x v="1"/>
    <x v="2"/>
    <x v="0"/>
    <x v="0"/>
    <x v="238"/>
    <x v="1989"/>
  </r>
  <r>
    <x v="1"/>
    <n v="2"/>
    <x v="1"/>
    <x v="1"/>
    <s v="LM"/>
    <s v="S"/>
    <x v="1"/>
    <x v="1"/>
    <x v="409"/>
    <m/>
    <x v="58"/>
    <m/>
    <x v="17"/>
    <x v="0"/>
    <x v="239"/>
    <d v="2012-12-08T00:00:00"/>
    <x v="11"/>
    <x v="0"/>
    <m/>
    <m/>
    <x v="0"/>
    <x v="1"/>
    <m/>
    <x v="0"/>
    <x v="1"/>
    <x v="1"/>
    <x v="17"/>
    <x v="0"/>
    <x v="0"/>
    <x v="239"/>
    <x v="1990"/>
  </r>
  <r>
    <x v="1"/>
    <n v="1379"/>
    <x v="882"/>
    <x v="3"/>
    <s v="CM"/>
    <s v="N"/>
    <x v="592"/>
    <x v="2"/>
    <x v="410"/>
    <m/>
    <x v="267"/>
    <m/>
    <x v="3"/>
    <x v="0"/>
    <x v="240"/>
    <m/>
    <x v="14"/>
    <x v="1"/>
    <s v="Competição Nacional"/>
    <m/>
    <x v="0"/>
    <x v="0"/>
    <m/>
    <x v="0"/>
    <x v="6"/>
    <x v="885"/>
    <x v="3"/>
    <x v="0"/>
    <x v="1"/>
    <x v="240"/>
    <x v="1991"/>
  </r>
  <r>
    <x v="1"/>
    <n v="3"/>
    <x v="2"/>
    <x v="0"/>
    <s v="CM"/>
    <s v="N"/>
    <x v="2"/>
    <x v="1"/>
    <x v="411"/>
    <m/>
    <x v="268"/>
    <m/>
    <x v="0"/>
    <x v="0"/>
    <x v="241"/>
    <d v="2012-05-18T00:00:00"/>
    <x v="6"/>
    <x v="0"/>
    <m/>
    <s v="Mostra dos Festivais - FIKE"/>
    <x v="0"/>
    <x v="0"/>
    <m/>
    <x v="0"/>
    <x v="0"/>
    <x v="2"/>
    <x v="0"/>
    <x v="0"/>
    <x v="0"/>
    <x v="241"/>
    <x v="1992"/>
  </r>
  <r>
    <x v="1"/>
    <n v="4"/>
    <x v="883"/>
    <x v="3"/>
    <s v="CM"/>
    <s v="N"/>
    <x v="593"/>
    <x v="2"/>
    <x v="412"/>
    <m/>
    <x v="269"/>
    <m/>
    <x v="3"/>
    <x v="0"/>
    <x v="242"/>
    <m/>
    <x v="7"/>
    <x v="1"/>
    <m/>
    <m/>
    <x v="0"/>
    <x v="0"/>
    <m/>
    <x v="0"/>
    <x v="6"/>
    <x v="886"/>
    <x v="3"/>
    <x v="0"/>
    <x v="1"/>
    <x v="242"/>
    <x v="1993"/>
  </r>
  <r>
    <x v="1"/>
    <n v="5"/>
    <x v="884"/>
    <x v="1"/>
    <s v="CM"/>
    <s v="N"/>
    <x v="594"/>
    <x v="2"/>
    <x v="413"/>
    <m/>
    <x v="270"/>
    <m/>
    <x v="3"/>
    <x v="0"/>
    <x v="243"/>
    <d v="2012-06-03T00:00:00"/>
    <x v="7"/>
    <x v="1"/>
    <s v="Geral"/>
    <m/>
    <x v="189"/>
    <x v="0"/>
    <m/>
    <x v="1"/>
    <x v="2"/>
    <x v="887"/>
    <x v="3"/>
    <x v="218"/>
    <x v="1"/>
    <x v="243"/>
    <x v="1994"/>
  </r>
  <r>
    <x v="1"/>
    <n v="6"/>
    <x v="885"/>
    <x v="1"/>
    <s v="CM"/>
    <s v="N"/>
    <x v="595"/>
    <x v="2"/>
    <x v="414"/>
    <m/>
    <x v="24"/>
    <m/>
    <x v="3"/>
    <x v="0"/>
    <x v="244"/>
    <d v="2012-02-29T00:00:00"/>
    <x v="1"/>
    <x v="0"/>
    <m/>
    <m/>
    <x v="0"/>
    <x v="1"/>
    <m/>
    <x v="0"/>
    <x v="2"/>
    <x v="888"/>
    <x v="3"/>
    <x v="0"/>
    <x v="1"/>
    <x v="244"/>
    <x v="1995"/>
  </r>
  <r>
    <x v="1"/>
    <n v="7"/>
    <x v="886"/>
    <x v="0"/>
    <s v="CM"/>
    <s v="N"/>
    <x v="596"/>
    <x v="2"/>
    <x v="415"/>
    <m/>
    <x v="24"/>
    <m/>
    <x v="3"/>
    <x v="0"/>
    <x v="245"/>
    <m/>
    <x v="1"/>
    <x v="1"/>
    <m/>
    <m/>
    <x v="0"/>
    <x v="1"/>
    <m/>
    <x v="0"/>
    <x v="0"/>
    <x v="889"/>
    <x v="3"/>
    <x v="0"/>
    <x v="1"/>
    <x v="245"/>
    <x v="1996"/>
  </r>
  <r>
    <x v="1"/>
    <n v="8"/>
    <x v="887"/>
    <x v="0"/>
    <s v="CM"/>
    <s v="N"/>
    <x v="597"/>
    <x v="2"/>
    <x v="412"/>
    <m/>
    <x v="269"/>
    <m/>
    <x v="3"/>
    <x v="0"/>
    <x v="242"/>
    <m/>
    <x v="7"/>
    <x v="1"/>
    <m/>
    <m/>
    <x v="0"/>
    <x v="0"/>
    <m/>
    <x v="0"/>
    <x v="0"/>
    <x v="890"/>
    <x v="3"/>
    <x v="0"/>
    <x v="1"/>
    <x v="242"/>
    <x v="1997"/>
  </r>
  <r>
    <x v="1"/>
    <n v="1551"/>
    <x v="3"/>
    <x v="1"/>
    <s v="CM"/>
    <s v="N"/>
    <x v="3"/>
    <x v="5"/>
    <x v="416"/>
    <m/>
    <x v="24"/>
    <m/>
    <x v="3"/>
    <x v="0"/>
    <x v="246"/>
    <m/>
    <x v="12"/>
    <x v="1"/>
    <m/>
    <m/>
    <x v="0"/>
    <x v="1"/>
    <m/>
    <x v="0"/>
    <x v="2"/>
    <x v="3"/>
    <x v="3"/>
    <x v="0"/>
    <x v="1"/>
    <x v="246"/>
    <x v="1998"/>
  </r>
  <r>
    <x v="1"/>
    <n v="10"/>
    <x v="888"/>
    <x v="0"/>
    <s v="CM"/>
    <s v="N"/>
    <x v="598"/>
    <x v="2"/>
    <x v="417"/>
    <m/>
    <x v="24"/>
    <m/>
    <x v="3"/>
    <x v="0"/>
    <x v="247"/>
    <m/>
    <x v="1"/>
    <x v="0"/>
    <m/>
    <s v="Extra - CM portuguesas seleccionadas para a 5ª edição dos &quot;Jameson Empire Awards done in 60 seconds&quot;"/>
    <x v="0"/>
    <x v="1"/>
    <m/>
    <x v="0"/>
    <x v="0"/>
    <x v="891"/>
    <x v="3"/>
    <x v="0"/>
    <x v="1"/>
    <x v="247"/>
    <x v="1999"/>
  </r>
  <r>
    <x v="1"/>
    <n v="10"/>
    <x v="888"/>
    <x v="0"/>
    <s v="CM"/>
    <s v="N"/>
    <x v="598"/>
    <x v="2"/>
    <x v="418"/>
    <m/>
    <x v="23"/>
    <m/>
    <x v="3"/>
    <x v="0"/>
    <x v="248"/>
    <m/>
    <x v="2"/>
    <x v="0"/>
    <m/>
    <s v="Finalistas portugueses &quot;Jameson Empire Awards done in 60 Seconds&quot;"/>
    <x v="0"/>
    <x v="1"/>
    <m/>
    <x v="0"/>
    <x v="0"/>
    <x v="891"/>
    <x v="3"/>
    <x v="0"/>
    <x v="1"/>
    <x v="248"/>
    <x v="2000"/>
  </r>
  <r>
    <x v="1"/>
    <n v="12"/>
    <x v="889"/>
    <x v="0"/>
    <s v="CM"/>
    <s v="N"/>
    <x v="599"/>
    <x v="2"/>
    <x v="412"/>
    <m/>
    <x v="269"/>
    <m/>
    <x v="3"/>
    <x v="0"/>
    <x v="242"/>
    <m/>
    <x v="7"/>
    <x v="1"/>
    <m/>
    <m/>
    <x v="0"/>
    <x v="0"/>
    <m/>
    <x v="0"/>
    <x v="0"/>
    <x v="892"/>
    <x v="3"/>
    <x v="0"/>
    <x v="1"/>
    <x v="242"/>
    <x v="2001"/>
  </r>
  <r>
    <x v="1"/>
    <n v="13"/>
    <x v="890"/>
    <x v="0"/>
    <s v="CM"/>
    <s v="N"/>
    <x v="456"/>
    <x v="2"/>
    <x v="419"/>
    <m/>
    <x v="11"/>
    <m/>
    <x v="3"/>
    <x v="0"/>
    <x v="243"/>
    <m/>
    <x v="7"/>
    <x v="1"/>
    <m/>
    <m/>
    <x v="0"/>
    <x v="1"/>
    <m/>
    <x v="0"/>
    <x v="0"/>
    <x v="893"/>
    <x v="3"/>
    <x v="0"/>
    <x v="1"/>
    <x v="243"/>
    <x v="2002"/>
  </r>
  <r>
    <x v="1"/>
    <n v="13"/>
    <x v="890"/>
    <x v="0"/>
    <s v="CM"/>
    <s v="N"/>
    <x v="456"/>
    <x v="2"/>
    <x v="316"/>
    <m/>
    <x v="11"/>
    <m/>
    <x v="3"/>
    <x v="0"/>
    <x v="199"/>
    <d v="2012-08-25T00:00:00"/>
    <x v="16"/>
    <x v="1"/>
    <s v="Ficção"/>
    <m/>
    <x v="0"/>
    <x v="0"/>
    <m/>
    <x v="0"/>
    <x v="0"/>
    <x v="893"/>
    <x v="3"/>
    <x v="0"/>
    <x v="1"/>
    <x v="199"/>
    <x v="2003"/>
  </r>
  <r>
    <x v="1"/>
    <n v="15"/>
    <x v="891"/>
    <x v="1"/>
    <s v="CM"/>
    <s v="N"/>
    <x v="525"/>
    <x v="2"/>
    <x v="420"/>
    <m/>
    <x v="8"/>
    <m/>
    <x v="3"/>
    <x v="0"/>
    <x v="249"/>
    <m/>
    <x v="15"/>
    <x v="0"/>
    <m/>
    <m/>
    <x v="0"/>
    <x v="1"/>
    <m/>
    <x v="0"/>
    <x v="2"/>
    <x v="894"/>
    <x v="3"/>
    <x v="0"/>
    <x v="1"/>
    <x v="249"/>
    <x v="2004"/>
  </r>
  <r>
    <x v="1"/>
    <n v="1320"/>
    <x v="892"/>
    <x v="1"/>
    <s v="CM"/>
    <s v="N"/>
    <x v="600"/>
    <x v="2"/>
    <x v="316"/>
    <m/>
    <x v="11"/>
    <m/>
    <x v="3"/>
    <x v="0"/>
    <x v="199"/>
    <d v="2012-08-25T00:00:00"/>
    <x v="16"/>
    <x v="1"/>
    <s v="Documentário"/>
    <m/>
    <x v="0"/>
    <x v="0"/>
    <m/>
    <x v="0"/>
    <x v="2"/>
    <x v="895"/>
    <x v="3"/>
    <x v="0"/>
    <x v="1"/>
    <x v="199"/>
    <x v="2005"/>
  </r>
  <r>
    <x v="1"/>
    <n v="1280"/>
    <x v="893"/>
    <x v="2"/>
    <s v="CM"/>
    <s v=""/>
    <x v="601"/>
    <x v="41"/>
    <x v="192"/>
    <m/>
    <x v="140"/>
    <m/>
    <x v="3"/>
    <x v="0"/>
    <x v="250"/>
    <d v="2012-07-29T00:00:00"/>
    <x v="8"/>
    <x v="1"/>
    <s v="Competição AVANCA"/>
    <m/>
    <x v="0"/>
    <x v="0"/>
    <m/>
    <x v="0"/>
    <x v="4"/>
    <x v="896"/>
    <x v="3"/>
    <x v="0"/>
    <x v="1"/>
    <x v="250"/>
    <x v="2006"/>
  </r>
  <r>
    <x v="1"/>
    <n v="1280"/>
    <x v="893"/>
    <x v="2"/>
    <s v="CM"/>
    <s v=""/>
    <x v="601"/>
    <x v="41"/>
    <x v="421"/>
    <m/>
    <x v="271"/>
    <m/>
    <x v="5"/>
    <x v="0"/>
    <x v="231"/>
    <d v="2012-12-08T00:00:00"/>
    <x v="12"/>
    <x v="1"/>
    <s v="Internationale Wettbewerb 3"/>
    <m/>
    <x v="190"/>
    <x v="0"/>
    <m/>
    <x v="1"/>
    <x v="4"/>
    <x v="896"/>
    <x v="5"/>
    <x v="219"/>
    <x v="0"/>
    <x v="231"/>
    <x v="2007"/>
  </r>
  <r>
    <x v="1"/>
    <n v="16"/>
    <x v="6"/>
    <x v="1"/>
    <s v="CM"/>
    <s v=""/>
    <x v="6"/>
    <x v="3"/>
    <x v="408"/>
    <m/>
    <x v="266"/>
    <m/>
    <x v="2"/>
    <x v="0"/>
    <x v="238"/>
    <d v="2012-08-25T00:00:00"/>
    <x v="16"/>
    <x v="0"/>
    <m/>
    <s v="Route du Doc: Portugal"/>
    <x v="0"/>
    <x v="1"/>
    <m/>
    <x v="0"/>
    <x v="2"/>
    <x v="6"/>
    <x v="2"/>
    <x v="0"/>
    <x v="0"/>
    <x v="238"/>
    <x v="2008"/>
  </r>
  <r>
    <x v="1"/>
    <n v="16"/>
    <x v="6"/>
    <x v="1"/>
    <s v="CM"/>
    <s v=""/>
    <x v="6"/>
    <x v="3"/>
    <x v="80"/>
    <m/>
    <x v="60"/>
    <m/>
    <x v="3"/>
    <x v="0"/>
    <x v="251"/>
    <d v="2012-11-18T00:00:00"/>
    <x v="13"/>
    <x v="1"/>
    <s v="Encontros - Competição Curtas Meragens MEO "/>
    <m/>
    <x v="0"/>
    <x v="0"/>
    <m/>
    <x v="0"/>
    <x v="2"/>
    <x v="6"/>
    <x v="3"/>
    <x v="0"/>
    <x v="1"/>
    <x v="251"/>
    <x v="2009"/>
  </r>
  <r>
    <x v="1"/>
    <n v="17"/>
    <x v="894"/>
    <x v="0"/>
    <s v="LM"/>
    <s v="N"/>
    <x v="602"/>
    <x v="2"/>
    <x v="422"/>
    <m/>
    <x v="272"/>
    <m/>
    <x v="9"/>
    <x v="0"/>
    <x v="252"/>
    <d v="2012-10-28T00:00:00"/>
    <x v="14"/>
    <x v="1"/>
    <m/>
    <m/>
    <x v="0"/>
    <x v="0"/>
    <m/>
    <x v="0"/>
    <x v="5"/>
    <x v="897"/>
    <x v="9"/>
    <x v="0"/>
    <x v="0"/>
    <x v="252"/>
    <x v="2010"/>
  </r>
  <r>
    <x v="1"/>
    <n v="17"/>
    <x v="894"/>
    <x v="0"/>
    <s v="LM"/>
    <s v="N"/>
    <x v="602"/>
    <x v="2"/>
    <x v="204"/>
    <m/>
    <x v="117"/>
    <m/>
    <x v="9"/>
    <x v="4"/>
    <x v="78"/>
    <m/>
    <x v="15"/>
    <x v="1"/>
    <s v="Narrative Features"/>
    <m/>
    <x v="42"/>
    <x v="2"/>
    <s v="Jan"/>
    <x v="1"/>
    <x v="5"/>
    <x v="897"/>
    <x v="9"/>
    <x v="220"/>
    <x v="0"/>
    <x v="78"/>
    <x v="2011"/>
  </r>
  <r>
    <x v="1"/>
    <n v="19"/>
    <x v="895"/>
    <x v="3"/>
    <s v="CM"/>
    <s v="N"/>
    <x v="603"/>
    <x v="3"/>
    <x v="68"/>
    <m/>
    <x v="53"/>
    <m/>
    <x v="3"/>
    <x v="0"/>
    <x v="253"/>
    <d v="2012-07-15T00:00:00"/>
    <x v="8"/>
    <x v="1"/>
    <s v="15º Videorun RESTART"/>
    <m/>
    <x v="191"/>
    <x v="0"/>
    <m/>
    <x v="1"/>
    <x v="6"/>
    <x v="898"/>
    <x v="3"/>
    <x v="221"/>
    <x v="1"/>
    <x v="253"/>
    <x v="2012"/>
  </r>
  <r>
    <x v="1"/>
    <n v="19"/>
    <x v="895"/>
    <x v="3"/>
    <s v="CM"/>
    <s v="N"/>
    <x v="603"/>
    <x v="3"/>
    <x v="402"/>
    <m/>
    <x v="24"/>
    <m/>
    <x v="3"/>
    <x v="0"/>
    <x v="231"/>
    <d v="2012-12-09T00:00:00"/>
    <x v="12"/>
    <x v="1"/>
    <s v="Categoria Fundação INATEL"/>
    <m/>
    <x v="0"/>
    <x v="1"/>
    <m/>
    <x v="0"/>
    <x v="6"/>
    <x v="898"/>
    <x v="3"/>
    <x v="0"/>
    <x v="1"/>
    <x v="231"/>
    <x v="2013"/>
  </r>
  <r>
    <x v="1"/>
    <n v="1514"/>
    <x v="896"/>
    <x v="0"/>
    <s v="CM"/>
    <s v="N"/>
    <x v="604"/>
    <x v="41"/>
    <x v="423"/>
    <m/>
    <x v="273"/>
    <m/>
    <x v="11"/>
    <x v="0"/>
    <x v="254"/>
    <d v="2012-11-10T00:00:00"/>
    <x v="13"/>
    <x v="1"/>
    <s v="Films in Competition"/>
    <m/>
    <x v="0"/>
    <x v="0"/>
    <m/>
    <x v="0"/>
    <x v="0"/>
    <x v="899"/>
    <x v="11"/>
    <x v="0"/>
    <x v="0"/>
    <x v="254"/>
    <x v="2014"/>
  </r>
  <r>
    <x v="1"/>
    <n v="20"/>
    <x v="897"/>
    <x v="1"/>
    <s v="CM"/>
    <s v="N"/>
    <x v="605"/>
    <x v="2"/>
    <x v="424"/>
    <m/>
    <x v="24"/>
    <m/>
    <x v="3"/>
    <x v="0"/>
    <x v="255"/>
    <d v="2012-06-17T00:00:00"/>
    <x v="7"/>
    <x v="1"/>
    <s v="Curta Metragem"/>
    <m/>
    <x v="0"/>
    <x v="0"/>
    <m/>
    <x v="0"/>
    <x v="2"/>
    <x v="900"/>
    <x v="3"/>
    <x v="0"/>
    <x v="1"/>
    <x v="255"/>
    <x v="2015"/>
  </r>
  <r>
    <x v="1"/>
    <n v="21"/>
    <x v="8"/>
    <x v="1"/>
    <s v="LM"/>
    <s v="N"/>
    <x v="8"/>
    <x v="2"/>
    <x v="425"/>
    <m/>
    <x v="269"/>
    <m/>
    <x v="3"/>
    <x v="0"/>
    <x v="256"/>
    <d v="2012-03-17T00:00:00"/>
    <x v="2"/>
    <x v="0"/>
    <m/>
    <m/>
    <x v="0"/>
    <x v="3"/>
    <m/>
    <x v="0"/>
    <x v="1"/>
    <x v="8"/>
    <x v="3"/>
    <x v="0"/>
    <x v="1"/>
    <x v="256"/>
    <x v="2016"/>
  </r>
  <r>
    <x v="1"/>
    <n v="21"/>
    <x v="8"/>
    <x v="1"/>
    <s v="LM"/>
    <s v="N"/>
    <x v="8"/>
    <x v="2"/>
    <x v="158"/>
    <m/>
    <x v="121"/>
    <m/>
    <x v="3"/>
    <x v="0"/>
    <x v="257"/>
    <d v="2012-09-30T00:00:00"/>
    <x v="9"/>
    <x v="0"/>
    <m/>
    <s v="Sessão Especial"/>
    <x v="0"/>
    <x v="0"/>
    <m/>
    <x v="0"/>
    <x v="1"/>
    <x v="8"/>
    <x v="3"/>
    <x v="0"/>
    <x v="1"/>
    <x v="257"/>
    <x v="2017"/>
  </r>
  <r>
    <x v="1"/>
    <n v="22"/>
    <x v="9"/>
    <x v="0"/>
    <s v="CM"/>
    <s v="N"/>
    <x v="9"/>
    <x v="1"/>
    <x v="426"/>
    <m/>
    <x v="274"/>
    <m/>
    <x v="9"/>
    <x v="0"/>
    <x v="258"/>
    <d v="2012-02-21T00:00:00"/>
    <x v="1"/>
    <x v="0"/>
    <m/>
    <s v="Your Shorts are showin'"/>
    <x v="0"/>
    <x v="0"/>
    <m/>
    <x v="0"/>
    <x v="0"/>
    <x v="9"/>
    <x v="9"/>
    <x v="0"/>
    <x v="0"/>
    <x v="258"/>
    <x v="2018"/>
  </r>
  <r>
    <x v="1"/>
    <n v="22"/>
    <x v="9"/>
    <x v="0"/>
    <s v="CM"/>
    <s v="N"/>
    <x v="9"/>
    <x v="1"/>
    <x v="427"/>
    <m/>
    <x v="275"/>
    <m/>
    <x v="65"/>
    <x v="0"/>
    <x v="259"/>
    <d v="2012-03-11T00:00:00"/>
    <x v="2"/>
    <x v="0"/>
    <m/>
    <s v="Opening e Portugal2"/>
    <x v="0"/>
    <x v="0"/>
    <m/>
    <x v="0"/>
    <x v="0"/>
    <x v="9"/>
    <x v="65"/>
    <x v="0"/>
    <x v="0"/>
    <x v="259"/>
    <x v="2019"/>
  </r>
  <r>
    <x v="1"/>
    <n v="22"/>
    <x v="9"/>
    <x v="0"/>
    <s v="CM"/>
    <s v="N"/>
    <x v="9"/>
    <x v="1"/>
    <x v="428"/>
    <m/>
    <x v="24"/>
    <m/>
    <x v="3"/>
    <x v="0"/>
    <x v="260"/>
    <d v="2012-04-19T00:00:00"/>
    <x v="5"/>
    <x v="0"/>
    <m/>
    <m/>
    <x v="0"/>
    <x v="1"/>
    <m/>
    <x v="0"/>
    <x v="0"/>
    <x v="9"/>
    <x v="3"/>
    <x v="0"/>
    <x v="1"/>
    <x v="260"/>
    <x v="2020"/>
  </r>
  <r>
    <x v="1"/>
    <n v="22"/>
    <x v="9"/>
    <x v="0"/>
    <s v="CM"/>
    <s v="N"/>
    <x v="9"/>
    <x v="1"/>
    <x v="411"/>
    <m/>
    <x v="268"/>
    <m/>
    <x v="0"/>
    <x v="0"/>
    <x v="241"/>
    <d v="2012-05-18T00:00:00"/>
    <x v="6"/>
    <x v="1"/>
    <s v="Mostra Atlântica"/>
    <m/>
    <x v="192"/>
    <x v="0"/>
    <m/>
    <x v="1"/>
    <x v="0"/>
    <x v="9"/>
    <x v="0"/>
    <x v="222"/>
    <x v="0"/>
    <x v="241"/>
    <x v="2021"/>
  </r>
  <r>
    <x v="1"/>
    <n v="22"/>
    <x v="9"/>
    <x v="0"/>
    <s v="CM"/>
    <s v="N"/>
    <x v="9"/>
    <x v="1"/>
    <x v="429"/>
    <m/>
    <x v="276"/>
    <m/>
    <x v="6"/>
    <x v="0"/>
    <x v="261"/>
    <d v="2012-10-01T00:00:00"/>
    <x v="10"/>
    <x v="1"/>
    <s v="Under 10 minute short film section"/>
    <m/>
    <x v="193"/>
    <x v="0"/>
    <m/>
    <x v="1"/>
    <x v="0"/>
    <x v="9"/>
    <x v="6"/>
    <x v="223"/>
    <x v="0"/>
    <x v="261"/>
    <x v="2022"/>
  </r>
  <r>
    <x v="1"/>
    <n v="22"/>
    <x v="9"/>
    <x v="0"/>
    <s v="CM"/>
    <s v="N"/>
    <x v="9"/>
    <x v="1"/>
    <x v="423"/>
    <m/>
    <x v="273"/>
    <m/>
    <x v="11"/>
    <x v="0"/>
    <x v="254"/>
    <d v="2012-11-10T00:00:00"/>
    <x v="13"/>
    <x v="1"/>
    <s v="Films in Competition"/>
    <m/>
    <x v="194"/>
    <x v="0"/>
    <m/>
    <x v="1"/>
    <x v="0"/>
    <x v="9"/>
    <x v="11"/>
    <x v="224"/>
    <x v="0"/>
    <x v="254"/>
    <x v="2023"/>
  </r>
  <r>
    <x v="1"/>
    <n v="1479"/>
    <x v="898"/>
    <x v="1"/>
    <s v="CM"/>
    <s v="N"/>
    <x v="606"/>
    <x v="41"/>
    <x v="88"/>
    <m/>
    <x v="67"/>
    <m/>
    <x v="3"/>
    <x v="0"/>
    <x v="262"/>
    <d v="2012-10-13T00:00:00"/>
    <x v="14"/>
    <x v="0"/>
    <m/>
    <s v="Panorama Ambiental Infanto-Juvenil"/>
    <x v="0"/>
    <x v="0"/>
    <m/>
    <x v="0"/>
    <x v="2"/>
    <x v="901"/>
    <x v="3"/>
    <x v="0"/>
    <x v="1"/>
    <x v="262"/>
    <x v="2024"/>
  </r>
  <r>
    <x v="1"/>
    <n v="24"/>
    <x v="12"/>
    <x v="0"/>
    <s v="CM"/>
    <s v="N"/>
    <x v="12"/>
    <x v="3"/>
    <x v="430"/>
    <m/>
    <x v="24"/>
    <m/>
    <x v="3"/>
    <x v="0"/>
    <x v="263"/>
    <m/>
    <x v="15"/>
    <x v="1"/>
    <m/>
    <m/>
    <x v="0"/>
    <x v="1"/>
    <m/>
    <x v="0"/>
    <x v="0"/>
    <x v="12"/>
    <x v="3"/>
    <x v="0"/>
    <x v="1"/>
    <x v="263"/>
    <x v="2025"/>
  </r>
  <r>
    <x v="1"/>
    <n v="24"/>
    <x v="12"/>
    <x v="0"/>
    <s v="CM"/>
    <s v="N"/>
    <x v="12"/>
    <x v="3"/>
    <x v="431"/>
    <m/>
    <x v="277"/>
    <m/>
    <x v="14"/>
    <x v="0"/>
    <x v="243"/>
    <d v="2012-06-02T00:00:00"/>
    <x v="7"/>
    <x v="0"/>
    <m/>
    <m/>
    <x v="0"/>
    <x v="0"/>
    <m/>
    <x v="0"/>
    <x v="0"/>
    <x v="12"/>
    <x v="14"/>
    <x v="0"/>
    <x v="0"/>
    <x v="243"/>
    <x v="2026"/>
  </r>
  <r>
    <x v="1"/>
    <n v="24"/>
    <x v="12"/>
    <x v="0"/>
    <s v="CM"/>
    <s v="N"/>
    <x v="12"/>
    <x v="3"/>
    <x v="412"/>
    <m/>
    <x v="269"/>
    <m/>
    <x v="3"/>
    <x v="0"/>
    <x v="242"/>
    <m/>
    <x v="7"/>
    <x v="1"/>
    <m/>
    <m/>
    <x v="39"/>
    <x v="0"/>
    <m/>
    <x v="1"/>
    <x v="0"/>
    <x v="12"/>
    <x v="3"/>
    <x v="41"/>
    <x v="1"/>
    <x v="242"/>
    <x v="2027"/>
  </r>
  <r>
    <x v="1"/>
    <n v="24"/>
    <x v="12"/>
    <x v="0"/>
    <s v="CM"/>
    <s v="N"/>
    <x v="12"/>
    <x v="3"/>
    <x v="67"/>
    <m/>
    <x v="23"/>
    <m/>
    <x v="3"/>
    <x v="0"/>
    <x v="264"/>
    <d v="2012-06-17T00:00:00"/>
    <x v="7"/>
    <x v="1"/>
    <s v="Curtas Nacionais"/>
    <m/>
    <x v="0"/>
    <x v="0"/>
    <m/>
    <x v="0"/>
    <x v="0"/>
    <x v="12"/>
    <x v="3"/>
    <x v="0"/>
    <x v="1"/>
    <x v="264"/>
    <x v="2028"/>
  </r>
  <r>
    <x v="1"/>
    <n v="24"/>
    <x v="12"/>
    <x v="0"/>
    <s v="CM"/>
    <s v="N"/>
    <x v="12"/>
    <x v="3"/>
    <x v="316"/>
    <m/>
    <x v="11"/>
    <m/>
    <x v="3"/>
    <x v="0"/>
    <x v="199"/>
    <d v="2012-08-25T00:00:00"/>
    <x v="16"/>
    <x v="1"/>
    <s v="Ficção"/>
    <m/>
    <x v="0"/>
    <x v="0"/>
    <m/>
    <x v="0"/>
    <x v="0"/>
    <x v="12"/>
    <x v="3"/>
    <x v="0"/>
    <x v="1"/>
    <x v="199"/>
    <x v="2029"/>
  </r>
  <r>
    <x v="1"/>
    <n v="24"/>
    <x v="12"/>
    <x v="0"/>
    <s v="CM"/>
    <s v="N"/>
    <x v="12"/>
    <x v="3"/>
    <x v="22"/>
    <m/>
    <x v="22"/>
    <m/>
    <x v="3"/>
    <x v="0"/>
    <x v="251"/>
    <d v="2012-11-18T00:00:00"/>
    <x v="13"/>
    <x v="1"/>
    <s v="Secção Competitiva"/>
    <m/>
    <x v="0"/>
    <x v="0"/>
    <m/>
    <x v="0"/>
    <x v="0"/>
    <x v="12"/>
    <x v="3"/>
    <x v="0"/>
    <x v="1"/>
    <x v="251"/>
    <x v="2030"/>
  </r>
  <r>
    <x v="1"/>
    <n v="25"/>
    <x v="899"/>
    <x v="0"/>
    <s v="CM"/>
    <s v="N"/>
    <x v="607"/>
    <x v="41"/>
    <x v="432"/>
    <m/>
    <x v="39"/>
    <m/>
    <x v="3"/>
    <x v="0"/>
    <x v="265"/>
    <d v="2012-04-21T00:00:00"/>
    <x v="5"/>
    <x v="1"/>
    <s v="Competição Regional"/>
    <m/>
    <x v="195"/>
    <x v="0"/>
    <m/>
    <x v="1"/>
    <x v="0"/>
    <x v="902"/>
    <x v="3"/>
    <x v="225"/>
    <x v="1"/>
    <x v="265"/>
    <x v="2031"/>
  </r>
  <r>
    <x v="1"/>
    <n v="25"/>
    <x v="899"/>
    <x v="0"/>
    <s v="CM"/>
    <s v="N"/>
    <x v="607"/>
    <x v="41"/>
    <x v="433"/>
    <m/>
    <x v="278"/>
    <m/>
    <x v="3"/>
    <x v="0"/>
    <x v="242"/>
    <d v="2012-06-03T00:00:00"/>
    <x v="7"/>
    <x v="0"/>
    <m/>
    <m/>
    <x v="0"/>
    <x v="3"/>
    <m/>
    <x v="0"/>
    <x v="0"/>
    <x v="902"/>
    <x v="3"/>
    <x v="0"/>
    <x v="1"/>
    <x v="242"/>
    <x v="2032"/>
  </r>
  <r>
    <x v="1"/>
    <n v="25"/>
    <x v="899"/>
    <x v="0"/>
    <s v="CM"/>
    <s v="N"/>
    <x v="607"/>
    <x v="41"/>
    <x v="192"/>
    <m/>
    <x v="140"/>
    <m/>
    <x v="3"/>
    <x v="0"/>
    <x v="250"/>
    <d v="2012-07-29T00:00:00"/>
    <x v="8"/>
    <x v="1"/>
    <s v="Competição AVANCA"/>
    <m/>
    <x v="0"/>
    <x v="0"/>
    <m/>
    <x v="0"/>
    <x v="0"/>
    <x v="902"/>
    <x v="3"/>
    <x v="0"/>
    <x v="1"/>
    <x v="250"/>
    <x v="2033"/>
  </r>
  <r>
    <x v="1"/>
    <n v="25"/>
    <x v="899"/>
    <x v="0"/>
    <s v="CM"/>
    <s v="N"/>
    <x v="607"/>
    <x v="41"/>
    <x v="434"/>
    <m/>
    <x v="279"/>
    <m/>
    <x v="3"/>
    <x v="0"/>
    <x v="266"/>
    <d v="2012-09-30T00:00:00"/>
    <x v="9"/>
    <x v="1"/>
    <s v="Competição Regional"/>
    <m/>
    <x v="196"/>
    <x v="0"/>
    <m/>
    <x v="1"/>
    <x v="0"/>
    <x v="902"/>
    <x v="3"/>
    <x v="226"/>
    <x v="1"/>
    <x v="266"/>
    <x v="2034"/>
  </r>
  <r>
    <x v="1"/>
    <n v="25"/>
    <x v="899"/>
    <x v="0"/>
    <s v="CM"/>
    <s v="N"/>
    <x v="607"/>
    <x v="41"/>
    <x v="115"/>
    <m/>
    <x v="88"/>
    <m/>
    <x v="25"/>
    <x v="0"/>
    <x v="267"/>
    <d v="2012-11-17T00:00:00"/>
    <x v="13"/>
    <x v="1"/>
    <s v="Bester Spielfilm 2012"/>
    <m/>
    <x v="0"/>
    <x v="0"/>
    <m/>
    <x v="0"/>
    <x v="0"/>
    <x v="902"/>
    <x v="25"/>
    <x v="0"/>
    <x v="0"/>
    <x v="267"/>
    <x v="2035"/>
  </r>
  <r>
    <x v="1"/>
    <n v="28"/>
    <x v="900"/>
    <x v="2"/>
    <s v="CM"/>
    <s v="N"/>
    <x v="228"/>
    <x v="2"/>
    <x v="26"/>
    <m/>
    <x v="24"/>
    <m/>
    <x v="3"/>
    <x v="0"/>
    <x v="268"/>
    <d v="2012-03-25T00:00:00"/>
    <x v="2"/>
    <x v="1"/>
    <s v="Curtíssimas"/>
    <m/>
    <x v="0"/>
    <x v="0"/>
    <m/>
    <x v="0"/>
    <x v="4"/>
    <x v="903"/>
    <x v="3"/>
    <x v="0"/>
    <x v="1"/>
    <x v="268"/>
    <x v="2036"/>
  </r>
  <r>
    <x v="1"/>
    <n v="29"/>
    <x v="901"/>
    <x v="0"/>
    <s v="LM"/>
    <s v="S"/>
    <x v="158"/>
    <x v="2"/>
    <x v="435"/>
    <m/>
    <x v="24"/>
    <m/>
    <x v="3"/>
    <x v="0"/>
    <x v="269"/>
    <d v="2012-03-11T00:00:00"/>
    <x v="2"/>
    <x v="0"/>
    <m/>
    <m/>
    <x v="0"/>
    <x v="1"/>
    <m/>
    <x v="0"/>
    <x v="5"/>
    <x v="904"/>
    <x v="3"/>
    <x v="0"/>
    <x v="1"/>
    <x v="269"/>
    <x v="2037"/>
  </r>
  <r>
    <x v="1"/>
    <n v="1564"/>
    <x v="902"/>
    <x v="1"/>
    <s v="CM"/>
    <s v="N"/>
    <x v="608"/>
    <x v="41"/>
    <x v="402"/>
    <m/>
    <x v="24"/>
    <m/>
    <x v="3"/>
    <x v="0"/>
    <x v="231"/>
    <d v="2012-12-09T00:00:00"/>
    <x v="12"/>
    <x v="1"/>
    <s v="Categoria Património Imaterial"/>
    <m/>
    <x v="0"/>
    <x v="1"/>
    <m/>
    <x v="0"/>
    <x v="2"/>
    <x v="905"/>
    <x v="3"/>
    <x v="0"/>
    <x v="1"/>
    <x v="231"/>
    <x v="2038"/>
  </r>
  <r>
    <x v="1"/>
    <n v="30"/>
    <x v="15"/>
    <x v="1"/>
    <s v="CM"/>
    <s v="N"/>
    <x v="15"/>
    <x v="6"/>
    <x v="109"/>
    <m/>
    <x v="23"/>
    <m/>
    <x v="3"/>
    <x v="0"/>
    <x v="270"/>
    <d v="2012-04-15T00:00:00"/>
    <x v="31"/>
    <x v="0"/>
    <m/>
    <s v="Momento XXI"/>
    <x v="0"/>
    <x v="1"/>
    <m/>
    <x v="0"/>
    <x v="2"/>
    <x v="15"/>
    <x v="3"/>
    <x v="0"/>
    <x v="1"/>
    <x v="270"/>
    <x v="2039"/>
  </r>
  <r>
    <x v="1"/>
    <n v="31"/>
    <x v="16"/>
    <x v="1"/>
    <s v="LM"/>
    <s v="S"/>
    <x v="16"/>
    <x v="3"/>
    <x v="90"/>
    <m/>
    <x v="69"/>
    <m/>
    <x v="8"/>
    <x v="0"/>
    <x v="271"/>
    <d v="2012-02-05T00:00:00"/>
    <x v="18"/>
    <x v="0"/>
    <m/>
    <s v="Bright Future"/>
    <x v="0"/>
    <x v="0"/>
    <m/>
    <x v="0"/>
    <x v="1"/>
    <x v="16"/>
    <x v="8"/>
    <x v="0"/>
    <x v="0"/>
    <x v="271"/>
    <x v="2040"/>
  </r>
  <r>
    <x v="1"/>
    <n v="31"/>
    <x v="16"/>
    <x v="1"/>
    <s v="LM"/>
    <s v="S"/>
    <x v="16"/>
    <x v="3"/>
    <x v="436"/>
    <m/>
    <x v="280"/>
    <m/>
    <x v="0"/>
    <x v="0"/>
    <x v="267"/>
    <d v="2012-11-18T00:00:00"/>
    <x v="13"/>
    <x v="1"/>
    <s v="Seleção Oficial"/>
    <m/>
    <x v="6"/>
    <x v="0"/>
    <m/>
    <x v="1"/>
    <x v="1"/>
    <x v="16"/>
    <x v="0"/>
    <x v="227"/>
    <x v="0"/>
    <x v="267"/>
    <x v="2041"/>
  </r>
  <r>
    <x v="1"/>
    <n v="31"/>
    <x v="16"/>
    <x v="1"/>
    <s v="LM"/>
    <s v="S"/>
    <x v="16"/>
    <x v="3"/>
    <x v="368"/>
    <m/>
    <x v="23"/>
    <m/>
    <x v="3"/>
    <x v="0"/>
    <x v="272"/>
    <m/>
    <x v="12"/>
    <x v="0"/>
    <m/>
    <m/>
    <x v="0"/>
    <x v="1"/>
    <m/>
    <x v="0"/>
    <x v="1"/>
    <x v="16"/>
    <x v="3"/>
    <x v="0"/>
    <x v="1"/>
    <x v="272"/>
    <x v="2042"/>
  </r>
  <r>
    <x v="1"/>
    <n v="32"/>
    <x v="17"/>
    <x v="0"/>
    <s v="CM"/>
    <s v="N"/>
    <x v="17"/>
    <x v="2"/>
    <x v="437"/>
    <m/>
    <x v="49"/>
    <m/>
    <x v="3"/>
    <x v="0"/>
    <x v="273"/>
    <m/>
    <x v="15"/>
    <x v="0"/>
    <m/>
    <m/>
    <x v="0"/>
    <x v="1"/>
    <m/>
    <x v="0"/>
    <x v="0"/>
    <x v="17"/>
    <x v="3"/>
    <x v="0"/>
    <x v="1"/>
    <x v="273"/>
    <x v="2043"/>
  </r>
  <r>
    <x v="1"/>
    <n v="33"/>
    <x v="903"/>
    <x v="0"/>
    <s v="CM"/>
    <s v="N"/>
    <x v="609"/>
    <x v="2"/>
    <x v="63"/>
    <m/>
    <x v="24"/>
    <m/>
    <x v="3"/>
    <x v="0"/>
    <x v="274"/>
    <d v="2012-05-16T00:00:00"/>
    <x v="6"/>
    <x v="0"/>
    <m/>
    <s v="Inclusão Social pelo Cinema"/>
    <x v="0"/>
    <x v="0"/>
    <m/>
    <x v="0"/>
    <x v="0"/>
    <x v="906"/>
    <x v="3"/>
    <x v="0"/>
    <x v="1"/>
    <x v="274"/>
    <x v="2044"/>
  </r>
  <r>
    <x v="1"/>
    <n v="34"/>
    <x v="18"/>
    <x v="0"/>
    <s v="LM"/>
    <s v="S"/>
    <x v="18"/>
    <x v="5"/>
    <x v="438"/>
    <m/>
    <x v="127"/>
    <m/>
    <x v="38"/>
    <x v="0"/>
    <x v="275"/>
    <d v="2012-06-14T00:00:00"/>
    <x v="22"/>
    <x v="0"/>
    <m/>
    <m/>
    <x v="0"/>
    <x v="1"/>
    <m/>
    <x v="0"/>
    <x v="5"/>
    <x v="18"/>
    <x v="38"/>
    <x v="0"/>
    <x v="0"/>
    <x v="275"/>
    <x v="2045"/>
  </r>
  <r>
    <x v="1"/>
    <n v="1311"/>
    <x v="904"/>
    <x v="0"/>
    <s v="CM"/>
    <s v="N"/>
    <x v="610"/>
    <x v="41"/>
    <x v="48"/>
    <m/>
    <x v="24"/>
    <m/>
    <x v="3"/>
    <x v="0"/>
    <x v="276"/>
    <d v="2012-09-16T00:00:00"/>
    <x v="9"/>
    <x v="1"/>
    <s v="Prémio Motelx  - Melhor Curta de Terror Portuguesa"/>
    <m/>
    <x v="62"/>
    <x v="0"/>
    <m/>
    <x v="1"/>
    <x v="0"/>
    <x v="907"/>
    <x v="3"/>
    <x v="228"/>
    <x v="1"/>
    <x v="276"/>
    <x v="2046"/>
  </r>
  <r>
    <x v="1"/>
    <n v="1311"/>
    <x v="904"/>
    <x v="0"/>
    <s v="CM"/>
    <s v="N"/>
    <x v="610"/>
    <x v="41"/>
    <x v="439"/>
    <m/>
    <x v="281"/>
    <m/>
    <x v="3"/>
    <x v="0"/>
    <x v="277"/>
    <d v="2012-11-03T00:00:00"/>
    <x v="0"/>
    <x v="0"/>
    <m/>
    <m/>
    <x v="0"/>
    <x v="0"/>
    <m/>
    <x v="0"/>
    <x v="0"/>
    <x v="907"/>
    <x v="3"/>
    <x v="0"/>
    <x v="1"/>
    <x v="277"/>
    <x v="2047"/>
  </r>
  <r>
    <x v="1"/>
    <n v="1311"/>
    <x v="904"/>
    <x v="0"/>
    <s v="CM"/>
    <s v="N"/>
    <x v="610"/>
    <x v="41"/>
    <x v="22"/>
    <m/>
    <x v="22"/>
    <m/>
    <x v="3"/>
    <x v="0"/>
    <x v="251"/>
    <d v="2012-11-18T00:00:00"/>
    <x v="13"/>
    <x v="1"/>
    <s v="Secção Competitiva"/>
    <m/>
    <x v="0"/>
    <x v="0"/>
    <m/>
    <x v="0"/>
    <x v="0"/>
    <x v="907"/>
    <x v="3"/>
    <x v="0"/>
    <x v="1"/>
    <x v="251"/>
    <x v="2048"/>
  </r>
  <r>
    <x v="1"/>
    <n v="35"/>
    <x v="905"/>
    <x v="0"/>
    <s v="CM"/>
    <s v="N"/>
    <x v="611"/>
    <x v="2"/>
    <x v="440"/>
    <m/>
    <x v="24"/>
    <m/>
    <x v="3"/>
    <x v="0"/>
    <x v="278"/>
    <m/>
    <x v="2"/>
    <x v="1"/>
    <m/>
    <m/>
    <x v="0"/>
    <x v="1"/>
    <m/>
    <x v="0"/>
    <x v="0"/>
    <x v="908"/>
    <x v="3"/>
    <x v="0"/>
    <x v="1"/>
    <x v="278"/>
    <x v="2049"/>
  </r>
  <r>
    <x v="1"/>
    <n v="1531"/>
    <x v="906"/>
    <x v="0"/>
    <s v="LM"/>
    <s v="S"/>
    <x v="20"/>
    <x v="39"/>
    <x v="280"/>
    <m/>
    <x v="196"/>
    <m/>
    <x v="2"/>
    <x v="0"/>
    <x v="279"/>
    <d v="2012-12-02T00:00:00"/>
    <x v="11"/>
    <x v="0"/>
    <m/>
    <s v="Retrospectives: L'argent"/>
    <x v="0"/>
    <x v="0"/>
    <m/>
    <x v="0"/>
    <x v="5"/>
    <x v="909"/>
    <x v="2"/>
    <x v="0"/>
    <x v="0"/>
    <x v="279"/>
    <x v="2050"/>
  </r>
  <r>
    <x v="1"/>
    <n v="680"/>
    <x v="907"/>
    <x v="2"/>
    <s v="CM"/>
    <s v="N"/>
    <x v="364"/>
    <x v="41"/>
    <x v="22"/>
    <m/>
    <x v="22"/>
    <m/>
    <x v="3"/>
    <x v="0"/>
    <x v="251"/>
    <d v="2012-11-18T00:00:00"/>
    <x v="13"/>
    <x v="1"/>
    <s v="Secção Competitiva"/>
    <m/>
    <x v="0"/>
    <x v="0"/>
    <m/>
    <x v="0"/>
    <x v="4"/>
    <x v="910"/>
    <x v="3"/>
    <x v="0"/>
    <x v="1"/>
    <x v="251"/>
    <x v="2051"/>
  </r>
  <r>
    <x v="1"/>
    <n v="40"/>
    <x v="908"/>
    <x v="0"/>
    <s v="LM"/>
    <s v="S"/>
    <x v="0"/>
    <x v="9"/>
    <x v="441"/>
    <m/>
    <x v="282"/>
    <m/>
    <x v="2"/>
    <x v="0"/>
    <x v="280"/>
    <d v="2012-07-08T00:00:00"/>
    <x v="17"/>
    <x v="0"/>
    <m/>
    <s v="Hommages: Miguel Gomes"/>
    <x v="0"/>
    <x v="0"/>
    <m/>
    <x v="0"/>
    <x v="5"/>
    <x v="911"/>
    <x v="2"/>
    <x v="0"/>
    <x v="0"/>
    <x v="280"/>
    <x v="2052"/>
  </r>
  <r>
    <x v="1"/>
    <n v="40"/>
    <x v="908"/>
    <x v="0"/>
    <s v="LM"/>
    <s v="S"/>
    <x v="0"/>
    <x v="9"/>
    <x v="179"/>
    <m/>
    <x v="133"/>
    <m/>
    <x v="0"/>
    <x v="0"/>
    <x v="233"/>
    <d v="2012-11-01T00:00:00"/>
    <x v="0"/>
    <x v="0"/>
    <m/>
    <s v="Homenagem a Miguel Gomes"/>
    <x v="0"/>
    <x v="0"/>
    <m/>
    <x v="0"/>
    <x v="5"/>
    <x v="911"/>
    <x v="0"/>
    <x v="0"/>
    <x v="0"/>
    <x v="233"/>
    <x v="2053"/>
  </r>
  <r>
    <x v="1"/>
    <n v="40"/>
    <x v="908"/>
    <x v="0"/>
    <s v="LM"/>
    <s v="S"/>
    <x v="0"/>
    <x v="9"/>
    <x v="404"/>
    <m/>
    <x v="264"/>
    <m/>
    <x v="15"/>
    <x v="0"/>
    <x v="234"/>
    <d v="2012-12-01T00:00:00"/>
    <x v="11"/>
    <x v="0"/>
    <m/>
    <s v="Onde: Omaggio a Miguel Gomes"/>
    <x v="0"/>
    <x v="0"/>
    <m/>
    <x v="0"/>
    <x v="5"/>
    <x v="911"/>
    <x v="15"/>
    <x v="0"/>
    <x v="0"/>
    <x v="234"/>
    <x v="2054"/>
  </r>
  <r>
    <x v="1"/>
    <n v="41"/>
    <x v="909"/>
    <x v="0"/>
    <s v="CM"/>
    <s v="N"/>
    <x v="612"/>
    <x v="2"/>
    <x v="412"/>
    <m/>
    <x v="269"/>
    <m/>
    <x v="3"/>
    <x v="0"/>
    <x v="242"/>
    <m/>
    <x v="7"/>
    <x v="1"/>
    <m/>
    <m/>
    <x v="197"/>
    <x v="0"/>
    <m/>
    <x v="1"/>
    <x v="0"/>
    <x v="912"/>
    <x v="3"/>
    <x v="229"/>
    <x v="1"/>
    <x v="242"/>
    <x v="2055"/>
  </r>
  <r>
    <x v="1"/>
    <n v="41"/>
    <x v="909"/>
    <x v="0"/>
    <s v="CM"/>
    <s v="N"/>
    <x v="612"/>
    <x v="2"/>
    <x v="316"/>
    <m/>
    <x v="11"/>
    <m/>
    <x v="3"/>
    <x v="0"/>
    <x v="199"/>
    <d v="2012-08-25T00:00:00"/>
    <x v="16"/>
    <x v="1"/>
    <s v="Ficção"/>
    <m/>
    <x v="0"/>
    <x v="0"/>
    <m/>
    <x v="0"/>
    <x v="0"/>
    <x v="912"/>
    <x v="3"/>
    <x v="0"/>
    <x v="1"/>
    <x v="199"/>
    <x v="2056"/>
  </r>
  <r>
    <x v="1"/>
    <n v="42"/>
    <x v="910"/>
    <x v="1"/>
    <s v="LM"/>
    <s v=""/>
    <x v="11"/>
    <x v="41"/>
    <x v="146"/>
    <m/>
    <x v="24"/>
    <m/>
    <x v="3"/>
    <x v="0"/>
    <x v="281"/>
    <d v="2012-05-06T00:00:00"/>
    <x v="4"/>
    <x v="1"/>
    <s v="Competição Nacional Longas Metragens"/>
    <s v="Cinema Emergente Longas Metragens"/>
    <x v="0"/>
    <x v="0"/>
    <m/>
    <x v="0"/>
    <x v="1"/>
    <x v="913"/>
    <x v="3"/>
    <x v="0"/>
    <x v="1"/>
    <x v="281"/>
    <x v="2057"/>
  </r>
  <r>
    <x v="1"/>
    <n v="42"/>
    <x v="910"/>
    <x v="1"/>
    <s v="LM"/>
    <s v=""/>
    <x v="11"/>
    <x v="41"/>
    <x v="179"/>
    <m/>
    <x v="133"/>
    <m/>
    <x v="0"/>
    <x v="0"/>
    <x v="233"/>
    <d v="2012-11-01T00:00:00"/>
    <x v="0"/>
    <x v="1"/>
    <s v="Competição Novos Diretores"/>
    <m/>
    <x v="0"/>
    <x v="0"/>
    <m/>
    <x v="0"/>
    <x v="1"/>
    <x v="913"/>
    <x v="0"/>
    <x v="0"/>
    <x v="0"/>
    <x v="233"/>
    <x v="2058"/>
  </r>
  <r>
    <x v="1"/>
    <n v="42"/>
    <x v="910"/>
    <x v="1"/>
    <s v="LM"/>
    <s v=""/>
    <x v="11"/>
    <x v="41"/>
    <x v="442"/>
    <m/>
    <x v="6"/>
    <m/>
    <x v="4"/>
    <x v="0"/>
    <x v="282"/>
    <d v="2012-11-25T00:00:00"/>
    <x v="13"/>
    <x v="0"/>
    <m/>
    <s v="Focos: Panorama Documental"/>
    <x v="0"/>
    <x v="0"/>
    <m/>
    <x v="0"/>
    <x v="1"/>
    <x v="913"/>
    <x v="4"/>
    <x v="0"/>
    <x v="0"/>
    <x v="282"/>
    <x v="2059"/>
  </r>
  <r>
    <x v="1"/>
    <n v="1583"/>
    <x v="911"/>
    <x v="3"/>
    <s v="CM"/>
    <s v="N"/>
    <x v="595"/>
    <x v="3"/>
    <x v="371"/>
    <m/>
    <x v="0"/>
    <m/>
    <x v="0"/>
    <x v="0"/>
    <x v="283"/>
    <d v="2012-07-08T00:00:00"/>
    <x v="8"/>
    <x v="0"/>
    <m/>
    <s v="Programa Especial Internacional"/>
    <x v="0"/>
    <x v="0"/>
    <m/>
    <x v="0"/>
    <x v="6"/>
    <x v="914"/>
    <x v="0"/>
    <x v="0"/>
    <x v="0"/>
    <x v="283"/>
    <x v="2060"/>
  </r>
  <r>
    <x v="1"/>
    <n v="1583"/>
    <x v="911"/>
    <x v="3"/>
    <s v="CM"/>
    <s v="N"/>
    <x v="595"/>
    <x v="3"/>
    <x v="22"/>
    <m/>
    <x v="22"/>
    <m/>
    <x v="3"/>
    <x v="0"/>
    <x v="251"/>
    <d v="2012-11-18T00:00:00"/>
    <x v="13"/>
    <x v="1"/>
    <s v="Secção Competitiva"/>
    <m/>
    <x v="0"/>
    <x v="0"/>
    <m/>
    <x v="0"/>
    <x v="6"/>
    <x v="914"/>
    <x v="3"/>
    <x v="0"/>
    <x v="1"/>
    <x v="251"/>
    <x v="2061"/>
  </r>
  <r>
    <x v="1"/>
    <n v="1349"/>
    <x v="912"/>
    <x v="4"/>
    <s v="CM"/>
    <s v="N"/>
    <x v="613"/>
    <x v="2"/>
    <x v="158"/>
    <m/>
    <x v="121"/>
    <m/>
    <x v="3"/>
    <x v="0"/>
    <x v="257"/>
    <d v="2012-09-30T00:00:00"/>
    <x v="9"/>
    <x v="0"/>
    <m/>
    <s v="Cinema e Arquitetura"/>
    <x v="0"/>
    <x v="0"/>
    <m/>
    <x v="0"/>
    <x v="8"/>
    <x v="915"/>
    <x v="3"/>
    <x v="0"/>
    <x v="1"/>
    <x v="257"/>
    <x v="2062"/>
  </r>
  <r>
    <x v="1"/>
    <n v="44"/>
    <x v="24"/>
    <x v="0"/>
    <s v="CM"/>
    <s v="S"/>
    <x v="24"/>
    <x v="9"/>
    <x v="403"/>
    <m/>
    <x v="263"/>
    <m/>
    <x v="2"/>
    <x v="0"/>
    <x v="232"/>
    <d v="2012-04-15T00:00:00"/>
    <x v="5"/>
    <x v="0"/>
    <m/>
    <s v="Rétrospectives et Thématiques - Jeune Cinéma Portugais"/>
    <x v="0"/>
    <x v="0"/>
    <m/>
    <x v="0"/>
    <x v="0"/>
    <x v="24"/>
    <x v="2"/>
    <x v="0"/>
    <x v="0"/>
    <x v="232"/>
    <x v="2063"/>
  </r>
  <r>
    <x v="1"/>
    <n v="44"/>
    <x v="24"/>
    <x v="0"/>
    <s v="CM"/>
    <s v="S"/>
    <x v="24"/>
    <x v="9"/>
    <x v="443"/>
    <m/>
    <x v="240"/>
    <m/>
    <x v="58"/>
    <x v="0"/>
    <x v="284"/>
    <d v="2012-11-28T00:00:00"/>
    <x v="13"/>
    <x v="0"/>
    <m/>
    <m/>
    <x v="0"/>
    <x v="1"/>
    <m/>
    <x v="0"/>
    <x v="0"/>
    <x v="24"/>
    <x v="58"/>
    <x v="0"/>
    <x v="0"/>
    <x v="284"/>
    <x v="2064"/>
  </r>
  <r>
    <x v="1"/>
    <n v="1418"/>
    <x v="913"/>
    <x v="1"/>
    <s v="LM"/>
    <s v="N"/>
    <x v="614"/>
    <x v="1"/>
    <x v="408"/>
    <m/>
    <x v="266"/>
    <m/>
    <x v="2"/>
    <x v="0"/>
    <x v="238"/>
    <d v="2012-08-25T00:00:00"/>
    <x v="16"/>
    <x v="0"/>
    <m/>
    <s v="Route du Doc: Portugal"/>
    <x v="0"/>
    <x v="1"/>
    <m/>
    <x v="0"/>
    <x v="1"/>
    <x v="916"/>
    <x v="2"/>
    <x v="0"/>
    <x v="0"/>
    <x v="238"/>
    <x v="2065"/>
  </r>
  <r>
    <x v="1"/>
    <n v="47"/>
    <x v="914"/>
    <x v="0"/>
    <s v="CM"/>
    <s v="S"/>
    <x v="615"/>
    <x v="41"/>
    <x v="68"/>
    <m/>
    <x v="53"/>
    <m/>
    <x v="3"/>
    <x v="0"/>
    <x v="253"/>
    <d v="2012-07-15T00:00:00"/>
    <x v="8"/>
    <x v="1"/>
    <s v="Competição Nacional"/>
    <m/>
    <x v="7"/>
    <x v="0"/>
    <m/>
    <x v="1"/>
    <x v="0"/>
    <x v="917"/>
    <x v="3"/>
    <x v="230"/>
    <x v="1"/>
    <x v="253"/>
    <x v="2066"/>
  </r>
  <r>
    <x v="1"/>
    <n v="47"/>
    <x v="914"/>
    <x v="0"/>
    <s v="CM"/>
    <s v="S"/>
    <x v="615"/>
    <x v="41"/>
    <x v="444"/>
    <m/>
    <x v="283"/>
    <m/>
    <x v="3"/>
    <x v="0"/>
    <x v="285"/>
    <d v="2012-10-17T00:00:00"/>
    <x v="14"/>
    <x v="0"/>
    <m/>
    <m/>
    <x v="0"/>
    <x v="1"/>
    <m/>
    <x v="0"/>
    <x v="0"/>
    <x v="917"/>
    <x v="3"/>
    <x v="0"/>
    <x v="1"/>
    <x v="285"/>
    <x v="2067"/>
  </r>
  <r>
    <x v="1"/>
    <n v="47"/>
    <x v="914"/>
    <x v="0"/>
    <s v="CM"/>
    <s v="S"/>
    <x v="615"/>
    <x v="41"/>
    <x v="22"/>
    <m/>
    <x v="22"/>
    <m/>
    <x v="3"/>
    <x v="0"/>
    <x v="251"/>
    <d v="2012-11-18T00:00:00"/>
    <x v="13"/>
    <x v="1"/>
    <s v="Secção Competitiva"/>
    <m/>
    <x v="0"/>
    <x v="0"/>
    <m/>
    <x v="0"/>
    <x v="0"/>
    <x v="917"/>
    <x v="3"/>
    <x v="0"/>
    <x v="1"/>
    <x v="251"/>
    <x v="2068"/>
  </r>
  <r>
    <x v="1"/>
    <n v="1987"/>
    <x v="915"/>
    <x v="3"/>
    <s v="CM"/>
    <s v="N"/>
    <x v="616"/>
    <x v="41"/>
    <x v="46"/>
    <m/>
    <x v="24"/>
    <m/>
    <x v="3"/>
    <x v="0"/>
    <x v="231"/>
    <d v="2012-12-11T00:00:00"/>
    <x v="12"/>
    <x v="1"/>
    <s v="Prémio de Cinema para Filmes sobre Arte"/>
    <m/>
    <x v="0"/>
    <x v="0"/>
    <m/>
    <x v="0"/>
    <x v="6"/>
    <x v="918"/>
    <x v="3"/>
    <x v="0"/>
    <x v="1"/>
    <x v="231"/>
    <x v="2069"/>
  </r>
  <r>
    <x v="1"/>
    <n v="1302"/>
    <x v="916"/>
    <x v="1"/>
    <s v="CM"/>
    <s v="N"/>
    <x v="617"/>
    <x v="2"/>
    <x v="445"/>
    <m/>
    <x v="284"/>
    <m/>
    <x v="3"/>
    <x v="0"/>
    <x v="286"/>
    <d v="2012-09-08T00:00:00"/>
    <x v="9"/>
    <x v="1"/>
    <m/>
    <m/>
    <x v="0"/>
    <x v="0"/>
    <m/>
    <x v="0"/>
    <x v="2"/>
    <x v="919"/>
    <x v="3"/>
    <x v="0"/>
    <x v="1"/>
    <x v="286"/>
    <x v="2070"/>
  </r>
  <r>
    <x v="1"/>
    <n v="48"/>
    <x v="917"/>
    <x v="0"/>
    <s v="CM"/>
    <s v="N"/>
    <x v="618"/>
    <x v="2"/>
    <x v="417"/>
    <m/>
    <x v="24"/>
    <m/>
    <x v="3"/>
    <x v="0"/>
    <x v="247"/>
    <m/>
    <x v="1"/>
    <x v="0"/>
    <m/>
    <s v="Extra - CM portuguesas seleccionadas para a 5ª edição dos &quot;Jameson Empire Awards done in 60 seconds&quot;"/>
    <x v="0"/>
    <x v="1"/>
    <m/>
    <x v="0"/>
    <x v="0"/>
    <x v="920"/>
    <x v="3"/>
    <x v="0"/>
    <x v="1"/>
    <x v="247"/>
    <x v="2071"/>
  </r>
  <r>
    <x v="1"/>
    <n v="48"/>
    <x v="917"/>
    <x v="0"/>
    <s v="CM"/>
    <s v="N"/>
    <x v="618"/>
    <x v="2"/>
    <x v="418"/>
    <m/>
    <x v="23"/>
    <m/>
    <x v="3"/>
    <x v="0"/>
    <x v="248"/>
    <m/>
    <x v="2"/>
    <x v="0"/>
    <m/>
    <s v="Finalistas portugueses &quot;Jameson Empire Awards done in 60 Seconds&quot;"/>
    <x v="0"/>
    <x v="1"/>
    <m/>
    <x v="0"/>
    <x v="0"/>
    <x v="920"/>
    <x v="3"/>
    <x v="0"/>
    <x v="1"/>
    <x v="248"/>
    <x v="2072"/>
  </r>
  <r>
    <x v="1"/>
    <n v="1288"/>
    <x v="918"/>
    <x v="2"/>
    <s v="CM"/>
    <s v=""/>
    <x v="619"/>
    <x v="2"/>
    <x v="446"/>
    <m/>
    <x v="65"/>
    <m/>
    <x v="9"/>
    <x v="0"/>
    <x v="287"/>
    <m/>
    <x v="2"/>
    <x v="0"/>
    <m/>
    <m/>
    <x v="0"/>
    <x v="1"/>
    <m/>
    <x v="0"/>
    <x v="4"/>
    <x v="921"/>
    <x v="9"/>
    <x v="0"/>
    <x v="0"/>
    <x v="287"/>
    <x v="2073"/>
  </r>
  <r>
    <x v="1"/>
    <n v="49"/>
    <x v="919"/>
    <x v="0"/>
    <s v="LM"/>
    <s v="S"/>
    <x v="461"/>
    <x v="42"/>
    <x v="447"/>
    <m/>
    <x v="185"/>
    <m/>
    <x v="0"/>
    <x v="0"/>
    <x v="288"/>
    <d v="2012-03-15T00:00:00"/>
    <x v="2"/>
    <x v="0"/>
    <m/>
    <s v="Mostra Portugal"/>
    <x v="0"/>
    <x v="0"/>
    <m/>
    <x v="0"/>
    <x v="5"/>
    <x v="922"/>
    <x v="0"/>
    <x v="0"/>
    <x v="0"/>
    <x v="288"/>
    <x v="2074"/>
  </r>
  <r>
    <x v="1"/>
    <n v="49"/>
    <x v="919"/>
    <x v="0"/>
    <s v="LM"/>
    <s v="S"/>
    <x v="461"/>
    <x v="42"/>
    <x v="280"/>
    <m/>
    <x v="196"/>
    <m/>
    <x v="2"/>
    <x v="0"/>
    <x v="279"/>
    <d v="2012-12-02T00:00:00"/>
    <x v="11"/>
    <x v="0"/>
    <m/>
    <s v="Retrospectives: Artpress. 40ans de regard"/>
    <x v="0"/>
    <x v="0"/>
    <m/>
    <x v="0"/>
    <x v="5"/>
    <x v="922"/>
    <x v="2"/>
    <x v="0"/>
    <x v="0"/>
    <x v="279"/>
    <x v="2075"/>
  </r>
  <r>
    <x v="1"/>
    <n v="50"/>
    <x v="920"/>
    <x v="1"/>
    <s v="CM"/>
    <s v="N"/>
    <x v="313"/>
    <x v="41"/>
    <x v="68"/>
    <m/>
    <x v="53"/>
    <m/>
    <x v="3"/>
    <x v="0"/>
    <x v="253"/>
    <d v="2012-07-15T00:00:00"/>
    <x v="8"/>
    <x v="1"/>
    <s v="Competição Nacional"/>
    <m/>
    <x v="40"/>
    <x v="0"/>
    <m/>
    <x v="1"/>
    <x v="2"/>
    <x v="923"/>
    <x v="3"/>
    <x v="231"/>
    <x v="1"/>
    <x v="253"/>
    <x v="2076"/>
  </r>
  <r>
    <x v="1"/>
    <n v="50"/>
    <x v="920"/>
    <x v="1"/>
    <s v="CM"/>
    <s v="N"/>
    <x v="313"/>
    <x v="41"/>
    <x v="448"/>
    <m/>
    <x v="59"/>
    <m/>
    <x v="3"/>
    <x v="0"/>
    <x v="289"/>
    <d v="2012-12-02T00:00:00"/>
    <x v="11"/>
    <x v="1"/>
    <s v="Competição Nacional"/>
    <m/>
    <x v="0"/>
    <x v="0"/>
    <m/>
    <x v="0"/>
    <x v="2"/>
    <x v="923"/>
    <x v="3"/>
    <x v="0"/>
    <x v="1"/>
    <x v="289"/>
    <x v="2077"/>
  </r>
  <r>
    <x v="1"/>
    <n v="53"/>
    <x v="921"/>
    <x v="1"/>
    <s v="CM"/>
    <s v="N"/>
    <x v="620"/>
    <x v="2"/>
    <x v="449"/>
    <m/>
    <x v="22"/>
    <m/>
    <x v="3"/>
    <x v="0"/>
    <x v="290"/>
    <m/>
    <x v="7"/>
    <x v="1"/>
    <s v="Social"/>
    <m/>
    <x v="0"/>
    <x v="0"/>
    <m/>
    <x v="0"/>
    <x v="2"/>
    <x v="924"/>
    <x v="3"/>
    <x v="0"/>
    <x v="1"/>
    <x v="290"/>
    <x v="2078"/>
  </r>
  <r>
    <x v="1"/>
    <n v="53"/>
    <x v="921"/>
    <x v="1"/>
    <s v="CM"/>
    <s v="N"/>
    <x v="620"/>
    <x v="2"/>
    <x v="316"/>
    <m/>
    <x v="11"/>
    <m/>
    <x v="3"/>
    <x v="0"/>
    <x v="199"/>
    <d v="2012-08-25T00:00:00"/>
    <x v="16"/>
    <x v="1"/>
    <s v="Documentário"/>
    <m/>
    <x v="0"/>
    <x v="0"/>
    <m/>
    <x v="0"/>
    <x v="2"/>
    <x v="924"/>
    <x v="3"/>
    <x v="0"/>
    <x v="1"/>
    <x v="199"/>
    <x v="2079"/>
  </r>
  <r>
    <x v="1"/>
    <n v="54"/>
    <x v="28"/>
    <x v="0"/>
    <s v="CM"/>
    <s v="N"/>
    <x v="28"/>
    <x v="2"/>
    <x v="437"/>
    <m/>
    <x v="49"/>
    <m/>
    <x v="3"/>
    <x v="0"/>
    <x v="291"/>
    <m/>
    <x v="15"/>
    <x v="0"/>
    <m/>
    <m/>
    <x v="0"/>
    <x v="0"/>
    <m/>
    <x v="0"/>
    <x v="0"/>
    <x v="28"/>
    <x v="3"/>
    <x v="0"/>
    <x v="1"/>
    <x v="291"/>
    <x v="2080"/>
  </r>
  <r>
    <x v="1"/>
    <n v="54"/>
    <x v="28"/>
    <x v="0"/>
    <s v="CM"/>
    <s v="N"/>
    <x v="28"/>
    <x v="2"/>
    <x v="450"/>
    <m/>
    <x v="24"/>
    <m/>
    <x v="3"/>
    <x v="0"/>
    <x v="292"/>
    <m/>
    <x v="1"/>
    <x v="0"/>
    <m/>
    <m/>
    <x v="0"/>
    <x v="1"/>
    <m/>
    <x v="0"/>
    <x v="0"/>
    <x v="28"/>
    <x v="3"/>
    <x v="0"/>
    <x v="1"/>
    <x v="292"/>
    <x v="2081"/>
  </r>
  <r>
    <x v="1"/>
    <n v="54"/>
    <x v="28"/>
    <x v="0"/>
    <s v="CM"/>
    <s v="N"/>
    <x v="28"/>
    <x v="2"/>
    <x v="428"/>
    <m/>
    <x v="24"/>
    <m/>
    <x v="3"/>
    <x v="0"/>
    <x v="260"/>
    <d v="2012-04-19T00:00:00"/>
    <x v="5"/>
    <x v="0"/>
    <m/>
    <m/>
    <x v="0"/>
    <x v="1"/>
    <m/>
    <x v="0"/>
    <x v="0"/>
    <x v="28"/>
    <x v="3"/>
    <x v="0"/>
    <x v="1"/>
    <x v="260"/>
    <x v="2082"/>
  </r>
  <r>
    <x v="1"/>
    <n v="54"/>
    <x v="28"/>
    <x v="0"/>
    <s v="CM"/>
    <s v="N"/>
    <x v="28"/>
    <x v="2"/>
    <x v="178"/>
    <m/>
    <x v="25"/>
    <m/>
    <x v="3"/>
    <x v="0"/>
    <x v="293"/>
    <d v="2012-07-08T00:00:00"/>
    <x v="8"/>
    <x v="1"/>
    <s v="Curtas Metragens Ficção"/>
    <m/>
    <x v="0"/>
    <x v="0"/>
    <m/>
    <x v="0"/>
    <x v="0"/>
    <x v="28"/>
    <x v="3"/>
    <x v="0"/>
    <x v="1"/>
    <x v="293"/>
    <x v="2083"/>
  </r>
  <r>
    <x v="1"/>
    <n v="54"/>
    <x v="28"/>
    <x v="0"/>
    <s v="CM"/>
    <s v="N"/>
    <x v="28"/>
    <x v="2"/>
    <x v="316"/>
    <m/>
    <x v="11"/>
    <m/>
    <x v="3"/>
    <x v="0"/>
    <x v="199"/>
    <d v="2012-08-25T00:00:00"/>
    <x v="16"/>
    <x v="1"/>
    <s v="Ficção"/>
    <m/>
    <x v="0"/>
    <x v="0"/>
    <m/>
    <x v="0"/>
    <x v="0"/>
    <x v="28"/>
    <x v="3"/>
    <x v="0"/>
    <x v="1"/>
    <x v="199"/>
    <x v="2084"/>
  </r>
  <r>
    <x v="1"/>
    <n v="54"/>
    <x v="28"/>
    <x v="0"/>
    <s v="CM"/>
    <s v="N"/>
    <x v="28"/>
    <x v="2"/>
    <x v="219"/>
    <m/>
    <x v="153"/>
    <m/>
    <x v="44"/>
    <x v="0"/>
    <x v="294"/>
    <d v="2012-10-21T00:00:00"/>
    <x v="14"/>
    <x v="1"/>
    <s v="Curta-Metragem"/>
    <m/>
    <x v="0"/>
    <x v="0"/>
    <m/>
    <x v="0"/>
    <x v="0"/>
    <x v="28"/>
    <x v="44"/>
    <x v="0"/>
    <x v="0"/>
    <x v="294"/>
    <x v="2085"/>
  </r>
  <r>
    <x v="1"/>
    <n v="54"/>
    <x v="28"/>
    <x v="0"/>
    <s v="CM"/>
    <s v="N"/>
    <x v="28"/>
    <x v="2"/>
    <x v="451"/>
    <m/>
    <x v="24"/>
    <m/>
    <x v="3"/>
    <x v="0"/>
    <x v="295"/>
    <d v="2012-10-28T00:00:00"/>
    <x v="14"/>
    <x v="0"/>
    <m/>
    <m/>
    <x v="0"/>
    <x v="1"/>
    <m/>
    <x v="0"/>
    <x v="0"/>
    <x v="28"/>
    <x v="3"/>
    <x v="0"/>
    <x v="1"/>
    <x v="295"/>
    <x v="2086"/>
  </r>
  <r>
    <x v="1"/>
    <n v="55"/>
    <x v="29"/>
    <x v="0"/>
    <s v="LM"/>
    <s v="S"/>
    <x v="29"/>
    <x v="4"/>
    <x v="452"/>
    <m/>
    <x v="24"/>
    <m/>
    <x v="3"/>
    <x v="0"/>
    <x v="296"/>
    <d v="2012-12-09T00:00:00"/>
    <x v="12"/>
    <x v="0"/>
    <m/>
    <m/>
    <x v="0"/>
    <x v="0"/>
    <m/>
    <x v="0"/>
    <x v="5"/>
    <x v="29"/>
    <x v="3"/>
    <x v="0"/>
    <x v="1"/>
    <x v="296"/>
    <x v="2087"/>
  </r>
  <r>
    <x v="1"/>
    <n v="56"/>
    <x v="30"/>
    <x v="0"/>
    <s v="LM"/>
    <s v="S"/>
    <x v="30"/>
    <x v="9"/>
    <x v="407"/>
    <m/>
    <x v="154"/>
    <m/>
    <x v="0"/>
    <x v="0"/>
    <x v="237"/>
    <d v="2012-07-08T00:00:00"/>
    <x v="17"/>
    <x v="0"/>
    <m/>
    <m/>
    <x v="0"/>
    <x v="1"/>
    <m/>
    <x v="0"/>
    <x v="5"/>
    <x v="30"/>
    <x v="0"/>
    <x v="0"/>
    <x v="0"/>
    <x v="237"/>
    <x v="2088"/>
  </r>
  <r>
    <x v="1"/>
    <n v="56"/>
    <x v="30"/>
    <x v="0"/>
    <s v="LM"/>
    <s v="S"/>
    <x v="30"/>
    <x v="9"/>
    <x v="453"/>
    <m/>
    <x v="77"/>
    <m/>
    <x v="3"/>
    <x v="0"/>
    <x v="297"/>
    <d v="2012-10-25T00:00:00"/>
    <x v="14"/>
    <x v="0"/>
    <m/>
    <m/>
    <x v="0"/>
    <x v="1"/>
    <m/>
    <x v="0"/>
    <x v="5"/>
    <x v="30"/>
    <x v="3"/>
    <x v="0"/>
    <x v="1"/>
    <x v="297"/>
    <x v="2089"/>
  </r>
  <r>
    <x v="1"/>
    <n v="57"/>
    <x v="31"/>
    <x v="0"/>
    <s v="CM"/>
    <s v="N"/>
    <x v="31"/>
    <x v="3"/>
    <x v="454"/>
    <m/>
    <x v="15"/>
    <m/>
    <x v="3"/>
    <x v="0"/>
    <x v="298"/>
    <m/>
    <x v="8"/>
    <x v="1"/>
    <s v="Ficção"/>
    <m/>
    <x v="198"/>
    <x v="0"/>
    <m/>
    <x v="1"/>
    <x v="0"/>
    <x v="31"/>
    <x v="3"/>
    <x v="232"/>
    <x v="1"/>
    <x v="298"/>
    <x v="2090"/>
  </r>
  <r>
    <x v="1"/>
    <n v="58"/>
    <x v="32"/>
    <x v="0"/>
    <s v="CM"/>
    <s v="N"/>
    <x v="32"/>
    <x v="2"/>
    <x v="455"/>
    <m/>
    <x v="24"/>
    <m/>
    <x v="3"/>
    <x v="0"/>
    <x v="299"/>
    <m/>
    <x v="1"/>
    <x v="0"/>
    <m/>
    <m/>
    <x v="0"/>
    <x v="1"/>
    <m/>
    <x v="0"/>
    <x v="0"/>
    <x v="32"/>
    <x v="3"/>
    <x v="0"/>
    <x v="1"/>
    <x v="299"/>
    <x v="2091"/>
  </r>
  <r>
    <x v="1"/>
    <n v="58"/>
    <x v="32"/>
    <x v="0"/>
    <s v="CM"/>
    <s v="N"/>
    <x v="32"/>
    <x v="2"/>
    <x v="456"/>
    <m/>
    <x v="24"/>
    <m/>
    <x v="3"/>
    <x v="0"/>
    <x v="300"/>
    <m/>
    <x v="1"/>
    <x v="0"/>
    <m/>
    <s v="Especial Curtas Nomeadas para Melhor Curta Prémios Shortcutz Lisboa 2011"/>
    <x v="0"/>
    <x v="1"/>
    <m/>
    <x v="0"/>
    <x v="0"/>
    <x v="32"/>
    <x v="3"/>
    <x v="0"/>
    <x v="1"/>
    <x v="300"/>
    <x v="2092"/>
  </r>
  <r>
    <x v="1"/>
    <n v="58"/>
    <x v="32"/>
    <x v="0"/>
    <s v="CM"/>
    <s v="N"/>
    <x v="32"/>
    <x v="2"/>
    <x v="457"/>
    <m/>
    <x v="285"/>
    <m/>
    <x v="3"/>
    <x v="0"/>
    <x v="301"/>
    <d v="2012-06-16T00:00:00"/>
    <x v="7"/>
    <x v="1"/>
    <s v="Curtas-metragens"/>
    <m/>
    <x v="199"/>
    <x v="0"/>
    <m/>
    <x v="1"/>
    <x v="0"/>
    <x v="32"/>
    <x v="3"/>
    <x v="233"/>
    <x v="1"/>
    <x v="301"/>
    <x v="2093"/>
  </r>
  <r>
    <x v="1"/>
    <n v="1326"/>
    <x v="922"/>
    <x v="0"/>
    <s v="CM"/>
    <s v="N"/>
    <x v="621"/>
    <x v="2"/>
    <x v="316"/>
    <m/>
    <x v="11"/>
    <m/>
    <x v="3"/>
    <x v="0"/>
    <x v="199"/>
    <d v="2012-08-25T00:00:00"/>
    <x v="16"/>
    <x v="1"/>
    <s v="Ficção"/>
    <m/>
    <x v="0"/>
    <x v="0"/>
    <m/>
    <x v="0"/>
    <x v="0"/>
    <x v="925"/>
    <x v="3"/>
    <x v="0"/>
    <x v="1"/>
    <x v="199"/>
    <x v="2094"/>
  </r>
  <r>
    <x v="1"/>
    <n v="60"/>
    <x v="34"/>
    <x v="0"/>
    <s v="CM"/>
    <s v="N"/>
    <x v="34"/>
    <x v="2"/>
    <x v="62"/>
    <m/>
    <x v="23"/>
    <m/>
    <x v="3"/>
    <x v="0"/>
    <x v="302"/>
    <d v="2012-03-04T00:00:00"/>
    <x v="19"/>
    <x v="1"/>
    <s v="Prémio de Cinema Português - Escolas de Cinema"/>
    <m/>
    <x v="0"/>
    <x v="0"/>
    <m/>
    <x v="0"/>
    <x v="0"/>
    <x v="34"/>
    <x v="3"/>
    <x v="0"/>
    <x v="1"/>
    <x v="302"/>
    <x v="2095"/>
  </r>
  <r>
    <x v="1"/>
    <n v="60"/>
    <x v="34"/>
    <x v="0"/>
    <s v="CM"/>
    <s v="N"/>
    <x v="34"/>
    <x v="2"/>
    <x v="440"/>
    <m/>
    <x v="24"/>
    <m/>
    <x v="3"/>
    <x v="0"/>
    <x v="278"/>
    <m/>
    <x v="2"/>
    <x v="1"/>
    <m/>
    <m/>
    <x v="0"/>
    <x v="1"/>
    <m/>
    <x v="0"/>
    <x v="0"/>
    <x v="34"/>
    <x v="3"/>
    <x v="0"/>
    <x v="1"/>
    <x v="278"/>
    <x v="2096"/>
  </r>
  <r>
    <x v="1"/>
    <n v="60"/>
    <x v="34"/>
    <x v="0"/>
    <s v="CM"/>
    <s v="N"/>
    <x v="34"/>
    <x v="2"/>
    <x v="431"/>
    <m/>
    <x v="277"/>
    <m/>
    <x v="14"/>
    <x v="0"/>
    <x v="243"/>
    <d v="2012-06-02T00:00:00"/>
    <x v="7"/>
    <x v="0"/>
    <m/>
    <m/>
    <x v="0"/>
    <x v="0"/>
    <m/>
    <x v="0"/>
    <x v="0"/>
    <x v="34"/>
    <x v="14"/>
    <x v="0"/>
    <x v="0"/>
    <x v="243"/>
    <x v="2097"/>
  </r>
  <r>
    <x v="1"/>
    <n v="60"/>
    <x v="34"/>
    <x v="0"/>
    <s v="CM"/>
    <s v="N"/>
    <x v="34"/>
    <x v="2"/>
    <x v="316"/>
    <m/>
    <x v="11"/>
    <m/>
    <x v="3"/>
    <x v="0"/>
    <x v="199"/>
    <d v="2012-08-25T00:00:00"/>
    <x v="16"/>
    <x v="1"/>
    <s v="Ficção"/>
    <m/>
    <x v="37"/>
    <x v="0"/>
    <m/>
    <x v="1"/>
    <x v="0"/>
    <x v="34"/>
    <x v="3"/>
    <x v="234"/>
    <x v="1"/>
    <x v="199"/>
    <x v="2098"/>
  </r>
  <r>
    <x v="1"/>
    <n v="60"/>
    <x v="34"/>
    <x v="0"/>
    <s v="CM"/>
    <s v="N"/>
    <x v="34"/>
    <x v="2"/>
    <x v="316"/>
    <m/>
    <x v="11"/>
    <m/>
    <x v="3"/>
    <x v="0"/>
    <x v="199"/>
    <d v="2012-08-25T00:00:00"/>
    <x v="16"/>
    <x v="1"/>
    <s v="Ficção"/>
    <m/>
    <x v="0"/>
    <x v="0"/>
    <m/>
    <x v="0"/>
    <x v="0"/>
    <x v="34"/>
    <x v="3"/>
    <x v="0"/>
    <x v="1"/>
    <x v="199"/>
    <x v="2099"/>
  </r>
  <r>
    <x v="1"/>
    <n v="60"/>
    <x v="34"/>
    <x v="0"/>
    <s v="CM"/>
    <s v="N"/>
    <x v="34"/>
    <x v="2"/>
    <x v="445"/>
    <m/>
    <x v="284"/>
    <m/>
    <x v="3"/>
    <x v="0"/>
    <x v="286"/>
    <d v="2012-09-08T00:00:00"/>
    <x v="9"/>
    <x v="1"/>
    <m/>
    <m/>
    <x v="7"/>
    <x v="0"/>
    <m/>
    <x v="1"/>
    <x v="0"/>
    <x v="34"/>
    <x v="3"/>
    <x v="7"/>
    <x v="1"/>
    <x v="286"/>
    <x v="2100"/>
  </r>
  <r>
    <x v="1"/>
    <n v="60"/>
    <x v="34"/>
    <x v="0"/>
    <s v="CM"/>
    <s v="N"/>
    <x v="34"/>
    <x v="2"/>
    <x v="58"/>
    <m/>
    <x v="47"/>
    <m/>
    <x v="3"/>
    <x v="0"/>
    <x v="118"/>
    <d v="2012-09-09T00:00:00"/>
    <x v="9"/>
    <x v="0"/>
    <m/>
    <m/>
    <x v="0"/>
    <x v="1"/>
    <m/>
    <x v="0"/>
    <x v="0"/>
    <x v="34"/>
    <x v="3"/>
    <x v="0"/>
    <x v="1"/>
    <x v="118"/>
    <x v="2101"/>
  </r>
  <r>
    <x v="1"/>
    <n v="60"/>
    <x v="34"/>
    <x v="0"/>
    <s v="CM"/>
    <s v="N"/>
    <x v="34"/>
    <x v="2"/>
    <x v="458"/>
    <m/>
    <x v="286"/>
    <m/>
    <x v="3"/>
    <x v="0"/>
    <x v="303"/>
    <d v="2012-09-29T00:00:00"/>
    <x v="9"/>
    <x v="1"/>
    <m/>
    <m/>
    <x v="200"/>
    <x v="0"/>
    <m/>
    <x v="1"/>
    <x v="0"/>
    <x v="34"/>
    <x v="3"/>
    <x v="235"/>
    <x v="1"/>
    <x v="303"/>
    <x v="2102"/>
  </r>
  <r>
    <x v="1"/>
    <n v="60"/>
    <x v="34"/>
    <x v="0"/>
    <s v="CM"/>
    <s v="N"/>
    <x v="34"/>
    <x v="2"/>
    <x v="459"/>
    <m/>
    <x v="287"/>
    <m/>
    <x v="3"/>
    <x v="0"/>
    <x v="267"/>
    <m/>
    <x v="13"/>
    <x v="1"/>
    <m/>
    <m/>
    <x v="0"/>
    <x v="2"/>
    <m/>
    <x v="0"/>
    <x v="0"/>
    <x v="34"/>
    <x v="3"/>
    <x v="0"/>
    <x v="1"/>
    <x v="267"/>
    <x v="2103"/>
  </r>
  <r>
    <x v="1"/>
    <n v="60"/>
    <x v="34"/>
    <x v="0"/>
    <s v="CM"/>
    <s v="N"/>
    <x v="34"/>
    <x v="2"/>
    <x v="37"/>
    <m/>
    <x v="35"/>
    <m/>
    <x v="2"/>
    <x v="0"/>
    <x v="304"/>
    <d v="2012-12-02T00:00:00"/>
    <x v="11"/>
    <x v="0"/>
    <m/>
    <s v="Panorama Fenêtre Ouverte Universitaire"/>
    <x v="0"/>
    <x v="0"/>
    <m/>
    <x v="0"/>
    <x v="0"/>
    <x v="34"/>
    <x v="2"/>
    <x v="0"/>
    <x v="0"/>
    <x v="304"/>
    <x v="2104"/>
  </r>
  <r>
    <x v="1"/>
    <n v="1380"/>
    <x v="923"/>
    <x v="0"/>
    <s v="CM"/>
    <s v="N"/>
    <x v="622"/>
    <x v="2"/>
    <x v="88"/>
    <m/>
    <x v="67"/>
    <m/>
    <x v="3"/>
    <x v="0"/>
    <x v="262"/>
    <d v="2012-10-13T00:00:00"/>
    <x v="14"/>
    <x v="1"/>
    <s v="Competição Lusófona - Curtas Metragens"/>
    <m/>
    <x v="0"/>
    <x v="0"/>
    <m/>
    <x v="0"/>
    <x v="0"/>
    <x v="926"/>
    <x v="3"/>
    <x v="0"/>
    <x v="1"/>
    <x v="262"/>
    <x v="2105"/>
  </r>
  <r>
    <x v="1"/>
    <n v="62"/>
    <x v="924"/>
    <x v="0"/>
    <s v="CM"/>
    <s v="N"/>
    <x v="623"/>
    <x v="2"/>
    <x v="412"/>
    <m/>
    <x v="269"/>
    <m/>
    <x v="3"/>
    <x v="0"/>
    <x v="242"/>
    <m/>
    <x v="7"/>
    <x v="1"/>
    <m/>
    <m/>
    <x v="37"/>
    <x v="0"/>
    <m/>
    <x v="1"/>
    <x v="0"/>
    <x v="927"/>
    <x v="3"/>
    <x v="39"/>
    <x v="1"/>
    <x v="242"/>
    <x v="2106"/>
  </r>
  <r>
    <x v="1"/>
    <n v="1603"/>
    <x v="925"/>
    <x v="0"/>
    <s v="CM"/>
    <s v="N"/>
    <x v="624"/>
    <x v="41"/>
    <x v="22"/>
    <m/>
    <x v="22"/>
    <m/>
    <x v="3"/>
    <x v="0"/>
    <x v="251"/>
    <d v="2012-11-18T00:00:00"/>
    <x v="13"/>
    <x v="1"/>
    <s v="Ensaios Visuais"/>
    <m/>
    <x v="0"/>
    <x v="0"/>
    <m/>
    <x v="0"/>
    <x v="0"/>
    <x v="928"/>
    <x v="3"/>
    <x v="0"/>
    <x v="1"/>
    <x v="251"/>
    <x v="2107"/>
  </r>
  <r>
    <x v="1"/>
    <n v="1683"/>
    <x v="926"/>
    <x v="0"/>
    <s v="CM"/>
    <s v="N"/>
    <x v="625"/>
    <x v="41"/>
    <x v="459"/>
    <m/>
    <x v="287"/>
    <m/>
    <x v="3"/>
    <x v="0"/>
    <x v="267"/>
    <m/>
    <x v="13"/>
    <x v="1"/>
    <m/>
    <m/>
    <x v="201"/>
    <x v="2"/>
    <m/>
    <x v="1"/>
    <x v="0"/>
    <x v="929"/>
    <x v="3"/>
    <x v="236"/>
    <x v="1"/>
    <x v="267"/>
    <x v="2108"/>
  </r>
  <r>
    <x v="1"/>
    <n v="1478"/>
    <x v="927"/>
    <x v="2"/>
    <s v="CM"/>
    <s v="N"/>
    <x v="73"/>
    <x v="41"/>
    <x v="460"/>
    <m/>
    <x v="281"/>
    <m/>
    <x v="3"/>
    <x v="0"/>
    <x v="305"/>
    <m/>
    <x v="7"/>
    <x v="0"/>
    <m/>
    <m/>
    <x v="0"/>
    <x v="1"/>
    <m/>
    <x v="0"/>
    <x v="4"/>
    <x v="930"/>
    <x v="3"/>
    <x v="0"/>
    <x v="1"/>
    <x v="305"/>
    <x v="2109"/>
  </r>
  <r>
    <x v="1"/>
    <n v="1478"/>
    <x v="927"/>
    <x v="2"/>
    <s v="CM"/>
    <s v="N"/>
    <x v="73"/>
    <x v="41"/>
    <x v="461"/>
    <m/>
    <x v="0"/>
    <m/>
    <x v="0"/>
    <x v="0"/>
    <x v="306"/>
    <d v="2012-06-22T00:00:00"/>
    <x v="7"/>
    <x v="0"/>
    <m/>
    <m/>
    <x v="0"/>
    <x v="1"/>
    <m/>
    <x v="0"/>
    <x v="4"/>
    <x v="930"/>
    <x v="0"/>
    <x v="0"/>
    <x v="0"/>
    <x v="306"/>
    <x v="2110"/>
  </r>
  <r>
    <x v="1"/>
    <n v="1478"/>
    <x v="927"/>
    <x v="2"/>
    <s v="CM"/>
    <s v="N"/>
    <x v="73"/>
    <x v="41"/>
    <x v="88"/>
    <m/>
    <x v="67"/>
    <m/>
    <x v="3"/>
    <x v="0"/>
    <x v="262"/>
    <d v="2012-10-13T00:00:00"/>
    <x v="14"/>
    <x v="0"/>
    <m/>
    <s v="Panorama Ambiental Infanto-Juvenil"/>
    <x v="0"/>
    <x v="0"/>
    <m/>
    <x v="0"/>
    <x v="4"/>
    <x v="930"/>
    <x v="3"/>
    <x v="0"/>
    <x v="1"/>
    <x v="262"/>
    <x v="2111"/>
  </r>
  <r>
    <x v="1"/>
    <n v="1478"/>
    <x v="927"/>
    <x v="2"/>
    <s v="CM"/>
    <s v="N"/>
    <x v="73"/>
    <x v="41"/>
    <x v="27"/>
    <m/>
    <x v="25"/>
    <m/>
    <x v="3"/>
    <x v="0"/>
    <x v="307"/>
    <d v="2012-11-18T00:00:00"/>
    <x v="13"/>
    <x v="1"/>
    <s v="Competição Internacional: Publicidade e Informação"/>
    <m/>
    <x v="202"/>
    <x v="0"/>
    <m/>
    <x v="1"/>
    <x v="4"/>
    <x v="930"/>
    <x v="3"/>
    <x v="237"/>
    <x v="1"/>
    <x v="307"/>
    <x v="2112"/>
  </r>
  <r>
    <x v="1"/>
    <n v="1509"/>
    <x v="928"/>
    <x v="0"/>
    <s v="CM"/>
    <s v="N"/>
    <x v="195"/>
    <x v="41"/>
    <x v="462"/>
    <m/>
    <x v="8"/>
    <m/>
    <x v="3"/>
    <x v="0"/>
    <x v="308"/>
    <d v="2012-10-25T00:00:00"/>
    <x v="14"/>
    <x v="1"/>
    <m/>
    <m/>
    <x v="203"/>
    <x v="0"/>
    <m/>
    <x v="1"/>
    <x v="0"/>
    <x v="931"/>
    <x v="3"/>
    <x v="238"/>
    <x v="1"/>
    <x v="308"/>
    <x v="2113"/>
  </r>
  <r>
    <x v="1"/>
    <n v="67"/>
    <x v="40"/>
    <x v="0"/>
    <s v="LM"/>
    <s v="S"/>
    <x v="38"/>
    <x v="5"/>
    <x v="450"/>
    <m/>
    <x v="24"/>
    <m/>
    <x v="3"/>
    <x v="0"/>
    <x v="309"/>
    <m/>
    <x v="7"/>
    <x v="1"/>
    <s v="Ficção"/>
    <m/>
    <x v="0"/>
    <x v="1"/>
    <m/>
    <x v="0"/>
    <x v="5"/>
    <x v="40"/>
    <x v="3"/>
    <x v="0"/>
    <x v="1"/>
    <x v="309"/>
    <x v="2114"/>
  </r>
  <r>
    <x v="1"/>
    <n v="68"/>
    <x v="41"/>
    <x v="0"/>
    <s v="LM"/>
    <s v="S"/>
    <x v="39"/>
    <x v="1"/>
    <x v="438"/>
    <m/>
    <x v="127"/>
    <m/>
    <x v="38"/>
    <x v="0"/>
    <x v="275"/>
    <d v="2012-06-14T00:00:00"/>
    <x v="22"/>
    <x v="0"/>
    <m/>
    <m/>
    <x v="0"/>
    <x v="1"/>
    <m/>
    <x v="0"/>
    <x v="5"/>
    <x v="41"/>
    <x v="38"/>
    <x v="0"/>
    <x v="0"/>
    <x v="275"/>
    <x v="2115"/>
  </r>
  <r>
    <x v="1"/>
    <n v="69"/>
    <x v="929"/>
    <x v="3"/>
    <s v="CM"/>
    <s v="N"/>
    <x v="626"/>
    <x v="2"/>
    <x v="463"/>
    <m/>
    <x v="24"/>
    <m/>
    <x v="3"/>
    <x v="0"/>
    <x v="310"/>
    <m/>
    <x v="1"/>
    <x v="1"/>
    <m/>
    <m/>
    <x v="0"/>
    <x v="1"/>
    <m/>
    <x v="0"/>
    <x v="6"/>
    <x v="932"/>
    <x v="3"/>
    <x v="0"/>
    <x v="1"/>
    <x v="310"/>
    <x v="2116"/>
  </r>
  <r>
    <x v="1"/>
    <n v="69"/>
    <x v="929"/>
    <x v="3"/>
    <s v="CM"/>
    <s v="N"/>
    <x v="626"/>
    <x v="2"/>
    <x v="464"/>
    <m/>
    <x v="40"/>
    <m/>
    <x v="3"/>
    <x v="0"/>
    <x v="311"/>
    <d v="2012-04-01T00:00:00"/>
    <x v="3"/>
    <x v="1"/>
    <s v="Competição Nacional de Curtas Experimentais"/>
    <m/>
    <x v="0"/>
    <x v="0"/>
    <m/>
    <x v="0"/>
    <x v="6"/>
    <x v="932"/>
    <x v="3"/>
    <x v="0"/>
    <x v="1"/>
    <x v="311"/>
    <x v="2117"/>
  </r>
  <r>
    <x v="1"/>
    <n v="69"/>
    <x v="929"/>
    <x v="3"/>
    <s v="CM"/>
    <s v="N"/>
    <x v="626"/>
    <x v="2"/>
    <x v="428"/>
    <m/>
    <x v="24"/>
    <m/>
    <x v="3"/>
    <x v="0"/>
    <x v="260"/>
    <d v="2012-04-19T00:00:00"/>
    <x v="5"/>
    <x v="0"/>
    <m/>
    <m/>
    <x v="0"/>
    <x v="1"/>
    <m/>
    <x v="0"/>
    <x v="6"/>
    <x v="932"/>
    <x v="3"/>
    <x v="0"/>
    <x v="1"/>
    <x v="260"/>
    <x v="2118"/>
  </r>
  <r>
    <x v="1"/>
    <n v="70"/>
    <x v="930"/>
    <x v="1"/>
    <s v="CM"/>
    <s v=""/>
    <x v="627"/>
    <x v="2"/>
    <x v="146"/>
    <m/>
    <x v="24"/>
    <m/>
    <x v="3"/>
    <x v="0"/>
    <x v="281"/>
    <d v="2012-05-06T00:00:00"/>
    <x v="4"/>
    <x v="0"/>
    <m/>
    <s v="IndieMusic Curtas Metragens"/>
    <x v="0"/>
    <x v="0"/>
    <m/>
    <x v="0"/>
    <x v="2"/>
    <x v="933"/>
    <x v="3"/>
    <x v="0"/>
    <x v="1"/>
    <x v="281"/>
    <x v="2119"/>
  </r>
  <r>
    <x v="1"/>
    <n v="70"/>
    <x v="930"/>
    <x v="1"/>
    <s v="CM"/>
    <s v=""/>
    <x v="627"/>
    <x v="2"/>
    <x v="416"/>
    <m/>
    <x v="24"/>
    <m/>
    <x v="3"/>
    <x v="0"/>
    <x v="246"/>
    <m/>
    <x v="12"/>
    <x v="0"/>
    <m/>
    <s v="Curta Convidada"/>
    <x v="0"/>
    <x v="1"/>
    <m/>
    <x v="0"/>
    <x v="2"/>
    <x v="933"/>
    <x v="3"/>
    <x v="0"/>
    <x v="1"/>
    <x v="246"/>
    <x v="2120"/>
  </r>
  <r>
    <x v="1"/>
    <n v="70"/>
    <x v="930"/>
    <x v="1"/>
    <s v="CM"/>
    <s v=""/>
    <x v="627"/>
    <x v="2"/>
    <x v="465"/>
    <m/>
    <x v="24"/>
    <m/>
    <x v="3"/>
    <x v="0"/>
    <x v="246"/>
    <m/>
    <x v="12"/>
    <x v="0"/>
    <m/>
    <s v="Curta Convidada"/>
    <x v="0"/>
    <x v="1"/>
    <m/>
    <x v="0"/>
    <x v="2"/>
    <x v="933"/>
    <x v="3"/>
    <x v="0"/>
    <x v="1"/>
    <x v="246"/>
    <x v="2121"/>
  </r>
  <r>
    <x v="1"/>
    <n v="71"/>
    <x v="931"/>
    <x v="0"/>
    <s v="CM"/>
    <s v="N"/>
    <x v="628"/>
    <x v="3"/>
    <x v="415"/>
    <m/>
    <x v="24"/>
    <m/>
    <x v="3"/>
    <x v="0"/>
    <x v="245"/>
    <m/>
    <x v="1"/>
    <x v="1"/>
    <m/>
    <m/>
    <x v="0"/>
    <x v="1"/>
    <m/>
    <x v="0"/>
    <x v="0"/>
    <x v="934"/>
    <x v="3"/>
    <x v="0"/>
    <x v="1"/>
    <x v="245"/>
    <x v="2122"/>
  </r>
  <r>
    <x v="1"/>
    <n v="71"/>
    <x v="931"/>
    <x v="0"/>
    <s v="CM"/>
    <s v="N"/>
    <x v="628"/>
    <x v="3"/>
    <x v="62"/>
    <m/>
    <x v="23"/>
    <m/>
    <x v="3"/>
    <x v="0"/>
    <x v="302"/>
    <d v="2012-03-04T00:00:00"/>
    <x v="19"/>
    <x v="1"/>
    <s v="Prémio de Cinema Português - Escolas de Cinema"/>
    <m/>
    <x v="0"/>
    <x v="0"/>
    <m/>
    <x v="0"/>
    <x v="0"/>
    <x v="934"/>
    <x v="3"/>
    <x v="0"/>
    <x v="1"/>
    <x v="302"/>
    <x v="2123"/>
  </r>
  <r>
    <x v="1"/>
    <n v="71"/>
    <x v="931"/>
    <x v="0"/>
    <s v="CM"/>
    <s v="N"/>
    <x v="628"/>
    <x v="3"/>
    <x v="67"/>
    <m/>
    <x v="23"/>
    <m/>
    <x v="3"/>
    <x v="0"/>
    <x v="264"/>
    <d v="2012-06-17T00:00:00"/>
    <x v="7"/>
    <x v="1"/>
    <s v="Curtas Nacionais"/>
    <m/>
    <x v="204"/>
    <x v="0"/>
    <m/>
    <x v="1"/>
    <x v="0"/>
    <x v="934"/>
    <x v="3"/>
    <x v="239"/>
    <x v="1"/>
    <x v="264"/>
    <x v="2124"/>
  </r>
  <r>
    <x v="1"/>
    <n v="71"/>
    <x v="931"/>
    <x v="0"/>
    <s v="CM"/>
    <s v="N"/>
    <x v="628"/>
    <x v="3"/>
    <x v="165"/>
    <m/>
    <x v="65"/>
    <m/>
    <x v="9"/>
    <x v="0"/>
    <x v="286"/>
    <m/>
    <x v="9"/>
    <x v="0"/>
    <m/>
    <m/>
    <x v="0"/>
    <x v="1"/>
    <m/>
    <x v="0"/>
    <x v="0"/>
    <x v="934"/>
    <x v="9"/>
    <x v="0"/>
    <x v="0"/>
    <x v="286"/>
    <x v="2125"/>
  </r>
  <r>
    <x v="1"/>
    <n v="71"/>
    <x v="931"/>
    <x v="0"/>
    <s v="CM"/>
    <s v="N"/>
    <x v="628"/>
    <x v="3"/>
    <x v="466"/>
    <m/>
    <x v="288"/>
    <m/>
    <x v="10"/>
    <x v="0"/>
    <x v="312"/>
    <d v="2012-09-30T00:00:00"/>
    <x v="9"/>
    <x v="1"/>
    <s v="Fiction"/>
    <m/>
    <x v="0"/>
    <x v="0"/>
    <m/>
    <x v="0"/>
    <x v="0"/>
    <x v="934"/>
    <x v="10"/>
    <x v="0"/>
    <x v="0"/>
    <x v="312"/>
    <x v="2126"/>
  </r>
  <r>
    <x v="1"/>
    <n v="71"/>
    <x v="931"/>
    <x v="0"/>
    <s v="CM"/>
    <s v="N"/>
    <x v="628"/>
    <x v="3"/>
    <x v="219"/>
    <m/>
    <x v="153"/>
    <m/>
    <x v="44"/>
    <x v="0"/>
    <x v="294"/>
    <d v="2012-10-21T00:00:00"/>
    <x v="14"/>
    <x v="1"/>
    <s v="Curta-Metragem"/>
    <m/>
    <x v="0"/>
    <x v="0"/>
    <m/>
    <x v="0"/>
    <x v="0"/>
    <x v="934"/>
    <x v="44"/>
    <x v="0"/>
    <x v="0"/>
    <x v="294"/>
    <x v="2127"/>
  </r>
  <r>
    <x v="1"/>
    <n v="71"/>
    <x v="931"/>
    <x v="0"/>
    <s v="CM"/>
    <s v="N"/>
    <x v="628"/>
    <x v="3"/>
    <x v="22"/>
    <m/>
    <x v="22"/>
    <m/>
    <x v="3"/>
    <x v="0"/>
    <x v="251"/>
    <d v="2012-11-18T00:00:00"/>
    <x v="13"/>
    <x v="1"/>
    <s v="Ensaios Visuais"/>
    <m/>
    <x v="0"/>
    <x v="0"/>
    <m/>
    <x v="0"/>
    <x v="0"/>
    <x v="934"/>
    <x v="3"/>
    <x v="0"/>
    <x v="1"/>
    <x v="251"/>
    <x v="2128"/>
  </r>
  <r>
    <x v="1"/>
    <n v="71"/>
    <x v="931"/>
    <x v="0"/>
    <s v="CM"/>
    <s v="N"/>
    <x v="628"/>
    <x v="3"/>
    <x v="37"/>
    <m/>
    <x v="35"/>
    <m/>
    <x v="2"/>
    <x v="0"/>
    <x v="304"/>
    <d v="2012-12-02T00:00:00"/>
    <x v="11"/>
    <x v="0"/>
    <m/>
    <s v="Panorama Fenêtre Ouverte Universitaire"/>
    <x v="0"/>
    <x v="0"/>
    <m/>
    <x v="0"/>
    <x v="0"/>
    <x v="934"/>
    <x v="2"/>
    <x v="0"/>
    <x v="0"/>
    <x v="304"/>
    <x v="2129"/>
  </r>
  <r>
    <x v="1"/>
    <n v="1392"/>
    <x v="932"/>
    <x v="0"/>
    <s v="CM"/>
    <s v="S"/>
    <x v="235"/>
    <x v="10"/>
    <x v="162"/>
    <m/>
    <x v="124"/>
    <m/>
    <x v="3"/>
    <x v="0"/>
    <x v="252"/>
    <m/>
    <x v="14"/>
    <x v="0"/>
    <m/>
    <m/>
    <x v="0"/>
    <x v="1"/>
    <m/>
    <x v="0"/>
    <x v="0"/>
    <x v="935"/>
    <x v="3"/>
    <x v="0"/>
    <x v="1"/>
    <x v="252"/>
    <x v="2130"/>
  </r>
  <r>
    <x v="1"/>
    <n v="1327"/>
    <x v="933"/>
    <x v="0"/>
    <s v="CM"/>
    <s v="N"/>
    <x v="629"/>
    <x v="41"/>
    <x v="316"/>
    <m/>
    <x v="11"/>
    <m/>
    <x v="3"/>
    <x v="0"/>
    <x v="199"/>
    <d v="2012-08-25T00:00:00"/>
    <x v="16"/>
    <x v="1"/>
    <s v="Ficção"/>
    <m/>
    <x v="0"/>
    <x v="0"/>
    <m/>
    <x v="0"/>
    <x v="0"/>
    <x v="936"/>
    <x v="3"/>
    <x v="0"/>
    <x v="1"/>
    <x v="199"/>
    <x v="2131"/>
  </r>
  <r>
    <x v="1"/>
    <n v="1327"/>
    <x v="933"/>
    <x v="0"/>
    <s v="CM"/>
    <s v="N"/>
    <x v="629"/>
    <x v="41"/>
    <x v="402"/>
    <m/>
    <x v="24"/>
    <m/>
    <x v="3"/>
    <x v="0"/>
    <x v="231"/>
    <d v="2012-12-09T00:00:00"/>
    <x v="12"/>
    <x v="1"/>
    <s v="Categoria Fundação INATEL e Prémio Jovem Realizador"/>
    <m/>
    <x v="0"/>
    <x v="1"/>
    <m/>
    <x v="0"/>
    <x v="0"/>
    <x v="936"/>
    <x v="3"/>
    <x v="0"/>
    <x v="1"/>
    <x v="231"/>
    <x v="2132"/>
  </r>
  <r>
    <x v="1"/>
    <n v="1562"/>
    <x v="934"/>
    <x v="0"/>
    <s v="CM"/>
    <s v="N"/>
    <x v="630"/>
    <x v="41"/>
    <x v="402"/>
    <m/>
    <x v="24"/>
    <m/>
    <x v="3"/>
    <x v="0"/>
    <x v="231"/>
    <d v="2012-12-09T00:00:00"/>
    <x v="12"/>
    <x v="1"/>
    <s v="Categoria Fundação INATEL"/>
    <m/>
    <x v="0"/>
    <x v="1"/>
    <m/>
    <x v="0"/>
    <x v="0"/>
    <x v="937"/>
    <x v="3"/>
    <x v="0"/>
    <x v="1"/>
    <x v="231"/>
    <x v="2133"/>
  </r>
  <r>
    <x v="1"/>
    <n v="1474"/>
    <x v="935"/>
    <x v="2"/>
    <s v="CM"/>
    <s v="N"/>
    <x v="631"/>
    <x v="41"/>
    <x v="68"/>
    <m/>
    <x v="53"/>
    <m/>
    <x v="3"/>
    <x v="0"/>
    <x v="253"/>
    <d v="2012-07-15T00:00:00"/>
    <x v="8"/>
    <x v="1"/>
    <s v="Take One!"/>
    <m/>
    <x v="0"/>
    <x v="0"/>
    <m/>
    <x v="0"/>
    <x v="4"/>
    <x v="938"/>
    <x v="3"/>
    <x v="0"/>
    <x v="1"/>
    <x v="253"/>
    <x v="2134"/>
  </r>
  <r>
    <x v="1"/>
    <n v="78"/>
    <x v="48"/>
    <x v="0"/>
    <s v="LM"/>
    <s v="S"/>
    <x v="40"/>
    <x v="11"/>
    <x v="55"/>
    <m/>
    <x v="45"/>
    <m/>
    <x v="3"/>
    <x v="0"/>
    <x v="313"/>
    <d v="2012-05-02T00:00:00"/>
    <x v="4"/>
    <x v="0"/>
    <m/>
    <s v="18º Programa: As Escolhas de Jorge Cramez"/>
    <x v="0"/>
    <x v="1"/>
    <m/>
    <x v="0"/>
    <x v="5"/>
    <x v="48"/>
    <x v="3"/>
    <x v="0"/>
    <x v="1"/>
    <x v="313"/>
    <x v="2135"/>
  </r>
  <r>
    <x v="1"/>
    <n v="79"/>
    <x v="936"/>
    <x v="1"/>
    <s v="CM"/>
    <s v=""/>
    <x v="632"/>
    <x v="2"/>
    <x v="467"/>
    <m/>
    <x v="24"/>
    <m/>
    <x v="3"/>
    <x v="0"/>
    <x v="314"/>
    <m/>
    <x v="6"/>
    <x v="0"/>
    <m/>
    <s v="Curta Convidada"/>
    <x v="0"/>
    <x v="1"/>
    <m/>
    <x v="0"/>
    <x v="2"/>
    <x v="939"/>
    <x v="3"/>
    <x v="0"/>
    <x v="1"/>
    <x v="314"/>
    <x v="2136"/>
  </r>
  <r>
    <x v="1"/>
    <n v="81"/>
    <x v="50"/>
    <x v="0"/>
    <s v="LM"/>
    <s v="S"/>
    <x v="47"/>
    <x v="0"/>
    <x v="468"/>
    <m/>
    <x v="18"/>
    <m/>
    <x v="3"/>
    <x v="0"/>
    <x v="315"/>
    <d v="2012-01-22T00:00:00"/>
    <x v="15"/>
    <x v="0"/>
    <m/>
    <m/>
    <x v="0"/>
    <x v="1"/>
    <m/>
    <x v="0"/>
    <x v="5"/>
    <x v="50"/>
    <x v="3"/>
    <x v="0"/>
    <x v="1"/>
    <x v="315"/>
    <x v="2137"/>
  </r>
  <r>
    <x v="1"/>
    <n v="81"/>
    <x v="50"/>
    <x v="0"/>
    <s v="LM"/>
    <s v="S"/>
    <x v="47"/>
    <x v="0"/>
    <x v="469"/>
    <m/>
    <x v="24"/>
    <m/>
    <x v="3"/>
    <x v="0"/>
    <x v="243"/>
    <d v="2012-06-17T00:00:00"/>
    <x v="7"/>
    <x v="0"/>
    <m/>
    <m/>
    <x v="0"/>
    <x v="1"/>
    <m/>
    <x v="0"/>
    <x v="5"/>
    <x v="50"/>
    <x v="3"/>
    <x v="0"/>
    <x v="1"/>
    <x v="243"/>
    <x v="2138"/>
  </r>
  <r>
    <x v="1"/>
    <n v="83"/>
    <x v="52"/>
    <x v="1"/>
    <s v="CM"/>
    <s v="N"/>
    <x v="49"/>
    <x v="2"/>
    <x v="58"/>
    <m/>
    <x v="47"/>
    <m/>
    <x v="3"/>
    <x v="0"/>
    <x v="118"/>
    <d v="2012-09-09T00:00:00"/>
    <x v="9"/>
    <x v="0"/>
    <m/>
    <m/>
    <x v="0"/>
    <x v="1"/>
    <m/>
    <x v="0"/>
    <x v="2"/>
    <x v="52"/>
    <x v="3"/>
    <x v="0"/>
    <x v="1"/>
    <x v="118"/>
    <x v="2139"/>
  </r>
  <r>
    <x v="1"/>
    <n v="1282"/>
    <x v="937"/>
    <x v="1"/>
    <s v="CM"/>
    <s v=""/>
    <x v="633"/>
    <x v="41"/>
    <x v="192"/>
    <m/>
    <x v="140"/>
    <m/>
    <x v="3"/>
    <x v="0"/>
    <x v="250"/>
    <d v="2012-07-29T00:00:00"/>
    <x v="8"/>
    <x v="1"/>
    <s v="Competição AVANCA"/>
    <m/>
    <x v="0"/>
    <x v="0"/>
    <m/>
    <x v="0"/>
    <x v="2"/>
    <x v="940"/>
    <x v="3"/>
    <x v="0"/>
    <x v="1"/>
    <x v="250"/>
    <x v="2140"/>
  </r>
  <r>
    <x v="1"/>
    <n v="1282"/>
    <x v="937"/>
    <x v="1"/>
    <s v="CM"/>
    <s v=""/>
    <x v="633"/>
    <x v="41"/>
    <x v="22"/>
    <m/>
    <x v="22"/>
    <m/>
    <x v="3"/>
    <x v="0"/>
    <x v="251"/>
    <d v="2012-11-18T00:00:00"/>
    <x v="13"/>
    <x v="1"/>
    <s v="Secção Competitiva"/>
    <m/>
    <x v="0"/>
    <x v="0"/>
    <m/>
    <x v="0"/>
    <x v="2"/>
    <x v="940"/>
    <x v="3"/>
    <x v="0"/>
    <x v="1"/>
    <x v="251"/>
    <x v="2141"/>
  </r>
  <r>
    <x v="1"/>
    <n v="85"/>
    <x v="54"/>
    <x v="1"/>
    <s v="CM"/>
    <s v="N"/>
    <x v="51"/>
    <x v="2"/>
    <x v="470"/>
    <m/>
    <x v="289"/>
    <m/>
    <x v="3"/>
    <x v="0"/>
    <x v="316"/>
    <d v="2012-01-25T00:00:00"/>
    <x v="15"/>
    <x v="0"/>
    <m/>
    <m/>
    <x v="0"/>
    <x v="3"/>
    <m/>
    <x v="0"/>
    <x v="2"/>
    <x v="54"/>
    <x v="3"/>
    <x v="0"/>
    <x v="1"/>
    <x v="316"/>
    <x v="2142"/>
  </r>
  <r>
    <x v="1"/>
    <n v="88"/>
    <x v="938"/>
    <x v="2"/>
    <s v="CM"/>
    <s v="N"/>
    <x v="634"/>
    <x v="2"/>
    <x v="464"/>
    <m/>
    <x v="40"/>
    <m/>
    <x v="3"/>
    <x v="0"/>
    <x v="311"/>
    <d v="2012-04-01T00:00:00"/>
    <x v="3"/>
    <x v="1"/>
    <s v="Competição de Animação"/>
    <m/>
    <x v="0"/>
    <x v="0"/>
    <m/>
    <x v="0"/>
    <x v="4"/>
    <x v="941"/>
    <x v="3"/>
    <x v="0"/>
    <x v="1"/>
    <x v="311"/>
    <x v="2143"/>
  </r>
  <r>
    <x v="1"/>
    <n v="1528"/>
    <x v="939"/>
    <x v="0"/>
    <s v="CM"/>
    <s v="N"/>
    <x v="635"/>
    <x v="41"/>
    <x v="471"/>
    <m/>
    <x v="75"/>
    <m/>
    <x v="15"/>
    <x v="0"/>
    <x v="251"/>
    <d v="2012-11-17T00:00:00"/>
    <x v="13"/>
    <x v="0"/>
    <m/>
    <s v="CinemaXXI: Mediometraggi e Cortometraggii fuori Concorso - Guimarães Transversal"/>
    <x v="0"/>
    <x v="0"/>
    <m/>
    <x v="0"/>
    <x v="0"/>
    <x v="942"/>
    <x v="15"/>
    <x v="0"/>
    <x v="0"/>
    <x v="251"/>
    <x v="2144"/>
  </r>
  <r>
    <x v="1"/>
    <n v="1416"/>
    <x v="940"/>
    <x v="1"/>
    <s v="LM"/>
    <s v="S"/>
    <x v="636"/>
    <x v="41"/>
    <x v="25"/>
    <m/>
    <x v="24"/>
    <m/>
    <x v="3"/>
    <x v="0"/>
    <x v="294"/>
    <d v="2012-10-28T00:00:00"/>
    <x v="14"/>
    <x v="0"/>
    <m/>
    <s v="Heart Beat"/>
    <x v="0"/>
    <x v="0"/>
    <m/>
    <x v="0"/>
    <x v="1"/>
    <x v="943"/>
    <x v="3"/>
    <x v="0"/>
    <x v="1"/>
    <x v="294"/>
    <x v="2145"/>
  </r>
  <r>
    <x v="1"/>
    <n v="1416"/>
    <x v="940"/>
    <x v="1"/>
    <s v="LM"/>
    <s v="S"/>
    <x v="636"/>
    <x v="41"/>
    <x v="472"/>
    <m/>
    <x v="290"/>
    <m/>
    <x v="3"/>
    <x v="0"/>
    <x v="267"/>
    <d v="2012-11-17T00:00:00"/>
    <x v="13"/>
    <x v="0"/>
    <m/>
    <m/>
    <x v="0"/>
    <x v="1"/>
    <m/>
    <x v="0"/>
    <x v="1"/>
    <x v="943"/>
    <x v="3"/>
    <x v="0"/>
    <x v="1"/>
    <x v="267"/>
    <x v="2146"/>
  </r>
  <r>
    <x v="1"/>
    <n v="89"/>
    <x v="941"/>
    <x v="1"/>
    <s v="CM"/>
    <s v="N"/>
    <x v="453"/>
    <x v="5"/>
    <x v="473"/>
    <m/>
    <x v="24"/>
    <m/>
    <x v="3"/>
    <x v="0"/>
    <x v="317"/>
    <m/>
    <x v="2"/>
    <x v="1"/>
    <m/>
    <m/>
    <x v="40"/>
    <x v="2"/>
    <m/>
    <x v="1"/>
    <x v="2"/>
    <x v="944"/>
    <x v="3"/>
    <x v="42"/>
    <x v="1"/>
    <x v="317"/>
    <x v="2147"/>
  </r>
  <r>
    <x v="1"/>
    <n v="90"/>
    <x v="57"/>
    <x v="3"/>
    <s v="CM"/>
    <s v="N"/>
    <x v="54"/>
    <x v="2"/>
    <x v="474"/>
    <m/>
    <x v="23"/>
    <m/>
    <x v="3"/>
    <x v="0"/>
    <x v="269"/>
    <d v="2012-03-11T00:00:00"/>
    <x v="2"/>
    <x v="1"/>
    <m/>
    <m/>
    <x v="0"/>
    <x v="0"/>
    <m/>
    <x v="0"/>
    <x v="6"/>
    <x v="57"/>
    <x v="3"/>
    <x v="0"/>
    <x v="1"/>
    <x v="269"/>
    <x v="2148"/>
  </r>
  <r>
    <x v="1"/>
    <n v="90"/>
    <x v="57"/>
    <x v="3"/>
    <s v="CM"/>
    <s v="N"/>
    <x v="54"/>
    <x v="2"/>
    <x v="475"/>
    <m/>
    <x v="23"/>
    <m/>
    <x v="3"/>
    <x v="0"/>
    <x v="269"/>
    <d v="2012-03-13T00:00:00"/>
    <x v="2"/>
    <x v="0"/>
    <m/>
    <m/>
    <x v="0"/>
    <x v="1"/>
    <m/>
    <x v="0"/>
    <x v="6"/>
    <x v="57"/>
    <x v="3"/>
    <x v="0"/>
    <x v="1"/>
    <x v="269"/>
    <x v="2149"/>
  </r>
  <r>
    <x v="1"/>
    <n v="91"/>
    <x v="942"/>
    <x v="0"/>
    <s v="LM"/>
    <s v="N"/>
    <x v="536"/>
    <x v="2"/>
    <x v="62"/>
    <m/>
    <x v="23"/>
    <m/>
    <x v="3"/>
    <x v="0"/>
    <x v="302"/>
    <d v="2012-03-04T00:00:00"/>
    <x v="19"/>
    <x v="1"/>
    <s v="Semana dos Realizadores"/>
    <m/>
    <x v="205"/>
    <x v="0"/>
    <m/>
    <x v="1"/>
    <x v="5"/>
    <x v="945"/>
    <x v="3"/>
    <x v="240"/>
    <x v="1"/>
    <x v="302"/>
    <x v="2150"/>
  </r>
  <r>
    <x v="1"/>
    <n v="91"/>
    <x v="942"/>
    <x v="0"/>
    <s v="LM"/>
    <s v="N"/>
    <x v="536"/>
    <x v="2"/>
    <x v="22"/>
    <m/>
    <x v="22"/>
    <m/>
    <x v="3"/>
    <x v="0"/>
    <x v="251"/>
    <d v="2012-11-18T00:00:00"/>
    <x v="13"/>
    <x v="1"/>
    <s v="Secção Competitiva"/>
    <m/>
    <x v="206"/>
    <x v="0"/>
    <m/>
    <x v="1"/>
    <x v="5"/>
    <x v="945"/>
    <x v="3"/>
    <x v="241"/>
    <x v="1"/>
    <x v="251"/>
    <x v="2151"/>
  </r>
  <r>
    <x v="1"/>
    <n v="91"/>
    <x v="942"/>
    <x v="0"/>
    <s v="LM"/>
    <s v="N"/>
    <x v="536"/>
    <x v="2"/>
    <x v="22"/>
    <m/>
    <x v="22"/>
    <m/>
    <x v="3"/>
    <x v="0"/>
    <x v="251"/>
    <d v="2012-11-18T00:00:00"/>
    <x v="13"/>
    <x v="1"/>
    <s v="Secção Competitiva"/>
    <m/>
    <x v="0"/>
    <x v="0"/>
    <m/>
    <x v="0"/>
    <x v="5"/>
    <x v="945"/>
    <x v="3"/>
    <x v="0"/>
    <x v="1"/>
    <x v="251"/>
    <x v="2152"/>
  </r>
  <r>
    <x v="1"/>
    <n v="92"/>
    <x v="58"/>
    <x v="0"/>
    <s v="LM"/>
    <s v="S"/>
    <x v="55"/>
    <x v="2"/>
    <x v="476"/>
    <m/>
    <x v="53"/>
    <m/>
    <x v="3"/>
    <x v="0"/>
    <x v="249"/>
    <m/>
    <x v="15"/>
    <x v="0"/>
    <m/>
    <m/>
    <x v="0"/>
    <x v="1"/>
    <m/>
    <x v="0"/>
    <x v="5"/>
    <x v="58"/>
    <x v="3"/>
    <x v="0"/>
    <x v="1"/>
    <x v="249"/>
    <x v="2153"/>
  </r>
  <r>
    <x v="1"/>
    <n v="92"/>
    <x v="58"/>
    <x v="0"/>
    <s v="LM"/>
    <s v="S"/>
    <x v="55"/>
    <x v="2"/>
    <x v="477"/>
    <m/>
    <x v="59"/>
    <m/>
    <x v="3"/>
    <x v="0"/>
    <x v="318"/>
    <m/>
    <x v="1"/>
    <x v="0"/>
    <m/>
    <m/>
    <x v="0"/>
    <x v="1"/>
    <m/>
    <x v="0"/>
    <x v="5"/>
    <x v="58"/>
    <x v="3"/>
    <x v="0"/>
    <x v="1"/>
    <x v="318"/>
    <x v="2154"/>
  </r>
  <r>
    <x v="1"/>
    <n v="92"/>
    <x v="58"/>
    <x v="0"/>
    <s v="LM"/>
    <s v="S"/>
    <x v="55"/>
    <x v="2"/>
    <x v="269"/>
    <m/>
    <x v="188"/>
    <m/>
    <x v="55"/>
    <x v="0"/>
    <x v="287"/>
    <d v="2012-04-08T00:00:00"/>
    <x v="3"/>
    <x v="1"/>
    <s v="Largometrajes Iberoamericanos"/>
    <m/>
    <x v="207"/>
    <x v="0"/>
    <m/>
    <x v="1"/>
    <x v="5"/>
    <x v="58"/>
    <x v="55"/>
    <x v="242"/>
    <x v="0"/>
    <x v="287"/>
    <x v="2155"/>
  </r>
  <r>
    <x v="1"/>
    <n v="92"/>
    <x v="58"/>
    <x v="0"/>
    <s v="LM"/>
    <s v="S"/>
    <x v="55"/>
    <x v="2"/>
    <x v="478"/>
    <m/>
    <x v="256"/>
    <m/>
    <x v="9"/>
    <x v="0"/>
    <x v="319"/>
    <d v="2012-04-26T00:00:00"/>
    <x v="5"/>
    <x v="0"/>
    <m/>
    <s v="Women in Film"/>
    <x v="0"/>
    <x v="0"/>
    <m/>
    <x v="0"/>
    <x v="5"/>
    <x v="58"/>
    <x v="9"/>
    <x v="0"/>
    <x v="0"/>
    <x v="319"/>
    <x v="2156"/>
  </r>
  <r>
    <x v="1"/>
    <n v="93"/>
    <x v="943"/>
    <x v="0"/>
    <s v="CM"/>
    <s v="N"/>
    <x v="637"/>
    <x v="2"/>
    <x v="437"/>
    <m/>
    <x v="49"/>
    <m/>
    <x v="3"/>
    <x v="0"/>
    <x v="273"/>
    <m/>
    <x v="15"/>
    <x v="0"/>
    <m/>
    <m/>
    <x v="0"/>
    <x v="1"/>
    <m/>
    <x v="0"/>
    <x v="0"/>
    <x v="946"/>
    <x v="3"/>
    <x v="0"/>
    <x v="1"/>
    <x v="273"/>
    <x v="2157"/>
  </r>
  <r>
    <x v="1"/>
    <n v="95"/>
    <x v="60"/>
    <x v="0"/>
    <s v="CM"/>
    <s v="N"/>
    <x v="57"/>
    <x v="2"/>
    <x v="62"/>
    <m/>
    <x v="23"/>
    <m/>
    <x v="3"/>
    <x v="0"/>
    <x v="302"/>
    <d v="2012-03-04T00:00:00"/>
    <x v="19"/>
    <x v="1"/>
    <s v="Competição de Cinema Português - Escolas de Cinema"/>
    <m/>
    <x v="0"/>
    <x v="0"/>
    <m/>
    <x v="0"/>
    <x v="0"/>
    <x v="60"/>
    <x v="3"/>
    <x v="0"/>
    <x v="1"/>
    <x v="302"/>
    <x v="2158"/>
  </r>
  <r>
    <x v="1"/>
    <n v="1501"/>
    <x v="944"/>
    <x v="2"/>
    <s v="CM"/>
    <s v="S"/>
    <x v="638"/>
    <x v="41"/>
    <x v="27"/>
    <m/>
    <x v="25"/>
    <m/>
    <x v="3"/>
    <x v="0"/>
    <x v="307"/>
    <d v="2012-11-18T00:00:00"/>
    <x v="13"/>
    <x v="0"/>
    <m/>
    <s v="Sessão de Encerramento"/>
    <x v="0"/>
    <x v="0"/>
    <m/>
    <x v="0"/>
    <x v="4"/>
    <x v="947"/>
    <x v="3"/>
    <x v="0"/>
    <x v="1"/>
    <x v="307"/>
    <x v="2159"/>
  </r>
  <r>
    <x v="1"/>
    <n v="97"/>
    <x v="61"/>
    <x v="0"/>
    <s v="CM"/>
    <s v="N"/>
    <x v="639"/>
    <x v="2"/>
    <x v="479"/>
    <m/>
    <x v="24"/>
    <m/>
    <x v="3"/>
    <x v="0"/>
    <x v="320"/>
    <m/>
    <x v="5"/>
    <x v="1"/>
    <m/>
    <m/>
    <x v="0"/>
    <x v="1"/>
    <m/>
    <x v="0"/>
    <x v="0"/>
    <x v="948"/>
    <x v="3"/>
    <x v="0"/>
    <x v="1"/>
    <x v="320"/>
    <x v="2160"/>
  </r>
  <r>
    <x v="1"/>
    <n v="98"/>
    <x v="945"/>
    <x v="2"/>
    <s v="CM"/>
    <s v="S"/>
    <x v="324"/>
    <x v="13"/>
    <x v="407"/>
    <m/>
    <x v="154"/>
    <m/>
    <x v="0"/>
    <x v="0"/>
    <x v="237"/>
    <d v="2012-07-08T00:00:00"/>
    <x v="17"/>
    <x v="0"/>
    <m/>
    <m/>
    <x v="0"/>
    <x v="1"/>
    <m/>
    <x v="0"/>
    <x v="4"/>
    <x v="949"/>
    <x v="0"/>
    <x v="0"/>
    <x v="0"/>
    <x v="237"/>
    <x v="2161"/>
  </r>
  <r>
    <x v="1"/>
    <n v="98"/>
    <x v="945"/>
    <x v="2"/>
    <s v="CM"/>
    <s v="S"/>
    <x v="324"/>
    <x v="13"/>
    <x v="480"/>
    <m/>
    <x v="291"/>
    <m/>
    <x v="2"/>
    <x v="0"/>
    <x v="307"/>
    <d v="2012-11-20T00:00:00"/>
    <x v="13"/>
    <x v="0"/>
    <m/>
    <s v="Coups de coeur - Abi Feijó/Regina Pessoa: Oeuvres Croisées"/>
    <x v="0"/>
    <x v="0"/>
    <m/>
    <x v="0"/>
    <x v="4"/>
    <x v="949"/>
    <x v="2"/>
    <x v="0"/>
    <x v="0"/>
    <x v="307"/>
    <x v="2162"/>
  </r>
  <r>
    <x v="1"/>
    <n v="1503"/>
    <x v="946"/>
    <x v="2"/>
    <s v="CM"/>
    <s v=""/>
    <x v="640"/>
    <x v="43"/>
    <x v="480"/>
    <m/>
    <x v="291"/>
    <m/>
    <x v="2"/>
    <x v="0"/>
    <x v="307"/>
    <d v="2012-11-20T00:00:00"/>
    <x v="13"/>
    <x v="0"/>
    <m/>
    <s v="Coups de coeur - Abi Feijó/Regina Pessoa: Oeuvres Croisées"/>
    <x v="0"/>
    <x v="0"/>
    <m/>
    <x v="0"/>
    <x v="4"/>
    <x v="950"/>
    <x v="2"/>
    <x v="0"/>
    <x v="0"/>
    <x v="307"/>
    <x v="2163"/>
  </r>
  <r>
    <x v="1"/>
    <n v="99"/>
    <x v="947"/>
    <x v="0"/>
    <s v="CM"/>
    <s v="N"/>
    <x v="641"/>
    <x v="2"/>
    <x v="481"/>
    <m/>
    <x v="24"/>
    <m/>
    <x v="3"/>
    <x v="0"/>
    <x v="320"/>
    <m/>
    <x v="5"/>
    <x v="0"/>
    <m/>
    <m/>
    <x v="0"/>
    <x v="1"/>
    <m/>
    <x v="0"/>
    <x v="0"/>
    <x v="951"/>
    <x v="3"/>
    <x v="0"/>
    <x v="1"/>
    <x v="320"/>
    <x v="2164"/>
  </r>
  <r>
    <x v="1"/>
    <n v="101"/>
    <x v="63"/>
    <x v="1"/>
    <s v="CM"/>
    <s v="N"/>
    <x v="59"/>
    <x v="3"/>
    <x v="482"/>
    <m/>
    <x v="24"/>
    <m/>
    <x v="3"/>
    <x v="0"/>
    <x v="321"/>
    <m/>
    <x v="5"/>
    <x v="0"/>
    <s v="Curta Convidada"/>
    <m/>
    <x v="0"/>
    <x v="1"/>
    <m/>
    <x v="0"/>
    <x v="2"/>
    <x v="63"/>
    <x v="3"/>
    <x v="0"/>
    <x v="1"/>
    <x v="321"/>
    <x v="2165"/>
  </r>
  <r>
    <x v="1"/>
    <n v="101"/>
    <x v="63"/>
    <x v="1"/>
    <s v="CM"/>
    <s v="N"/>
    <x v="59"/>
    <x v="3"/>
    <x v="25"/>
    <m/>
    <x v="24"/>
    <m/>
    <x v="3"/>
    <x v="0"/>
    <x v="294"/>
    <d v="2012-10-28T00:00:00"/>
    <x v="14"/>
    <x v="1"/>
    <s v="Competição Portuguesa - Curtas"/>
    <m/>
    <x v="208"/>
    <x v="0"/>
    <m/>
    <x v="1"/>
    <x v="2"/>
    <x v="63"/>
    <x v="3"/>
    <x v="243"/>
    <x v="1"/>
    <x v="294"/>
    <x v="2166"/>
  </r>
  <r>
    <x v="1"/>
    <n v="102"/>
    <x v="64"/>
    <x v="1"/>
    <s v="LM"/>
    <s v="N"/>
    <x v="60"/>
    <x v="3"/>
    <x v="55"/>
    <m/>
    <x v="45"/>
    <m/>
    <x v="3"/>
    <x v="0"/>
    <x v="322"/>
    <d v="2012-02-01T00:00:00"/>
    <x v="18"/>
    <x v="0"/>
    <m/>
    <s v="15º Programa: As Escolhas de Sérgio Tréfaut"/>
    <x v="0"/>
    <x v="1"/>
    <m/>
    <x v="0"/>
    <x v="1"/>
    <x v="64"/>
    <x v="3"/>
    <x v="0"/>
    <x v="1"/>
    <x v="322"/>
    <x v="2167"/>
  </r>
  <r>
    <x v="1"/>
    <n v="102"/>
    <x v="64"/>
    <x v="1"/>
    <s v="LM"/>
    <s v="N"/>
    <x v="60"/>
    <x v="3"/>
    <x v="182"/>
    <m/>
    <x v="17"/>
    <m/>
    <x v="2"/>
    <x v="0"/>
    <x v="323"/>
    <d v="2012-04-03T00:00:00"/>
    <x v="3"/>
    <x v="1"/>
    <s v="Compétition internationale Premiers Films"/>
    <m/>
    <x v="209"/>
    <x v="0"/>
    <m/>
    <x v="1"/>
    <x v="1"/>
    <x v="64"/>
    <x v="2"/>
    <x v="244"/>
    <x v="0"/>
    <x v="323"/>
    <x v="2168"/>
  </r>
  <r>
    <x v="1"/>
    <n v="102"/>
    <x v="64"/>
    <x v="1"/>
    <s v="LM"/>
    <s v="N"/>
    <x v="60"/>
    <x v="3"/>
    <x v="377"/>
    <m/>
    <x v="16"/>
    <m/>
    <x v="1"/>
    <x v="0"/>
    <x v="324"/>
    <d v="2012-05-13T00:00:00"/>
    <x v="6"/>
    <x v="1"/>
    <s v="Competición Internacional - Largometraje de Creación"/>
    <m/>
    <x v="210"/>
    <x v="0"/>
    <m/>
    <x v="1"/>
    <x v="1"/>
    <x v="64"/>
    <x v="1"/>
    <x v="245"/>
    <x v="0"/>
    <x v="324"/>
    <x v="2169"/>
  </r>
  <r>
    <x v="1"/>
    <n v="102"/>
    <x v="64"/>
    <x v="1"/>
    <s v="LM"/>
    <s v="N"/>
    <x v="60"/>
    <x v="3"/>
    <x v="58"/>
    <m/>
    <x v="47"/>
    <m/>
    <x v="3"/>
    <x v="0"/>
    <x v="118"/>
    <d v="2012-09-09T00:00:00"/>
    <x v="9"/>
    <x v="0"/>
    <m/>
    <m/>
    <x v="0"/>
    <x v="1"/>
    <m/>
    <x v="0"/>
    <x v="1"/>
    <x v="64"/>
    <x v="3"/>
    <x v="0"/>
    <x v="1"/>
    <x v="118"/>
    <x v="2170"/>
  </r>
  <r>
    <x v="1"/>
    <n v="102"/>
    <x v="64"/>
    <x v="1"/>
    <s v="LM"/>
    <s v="N"/>
    <x v="60"/>
    <x v="3"/>
    <x v="162"/>
    <m/>
    <x v="124"/>
    <m/>
    <x v="3"/>
    <x v="0"/>
    <x v="325"/>
    <m/>
    <x v="13"/>
    <x v="0"/>
    <m/>
    <m/>
    <x v="0"/>
    <x v="1"/>
    <m/>
    <x v="0"/>
    <x v="1"/>
    <x v="64"/>
    <x v="3"/>
    <x v="0"/>
    <x v="1"/>
    <x v="325"/>
    <x v="2171"/>
  </r>
  <r>
    <x v="1"/>
    <n v="102"/>
    <x v="64"/>
    <x v="1"/>
    <s v="LM"/>
    <s v="N"/>
    <x v="60"/>
    <x v="3"/>
    <x v="483"/>
    <m/>
    <x v="246"/>
    <m/>
    <x v="24"/>
    <x v="0"/>
    <x v="325"/>
    <d v="2012-11-12T00:00:00"/>
    <x v="13"/>
    <x v="1"/>
    <s v="Extra Muros"/>
    <m/>
    <x v="211"/>
    <x v="0"/>
    <m/>
    <x v="1"/>
    <x v="1"/>
    <x v="64"/>
    <x v="24"/>
    <x v="246"/>
    <x v="0"/>
    <x v="325"/>
    <x v="2172"/>
  </r>
  <r>
    <x v="1"/>
    <n v="102"/>
    <x v="64"/>
    <x v="1"/>
    <s v="LM"/>
    <s v="N"/>
    <x v="60"/>
    <x v="3"/>
    <x v="22"/>
    <m/>
    <x v="22"/>
    <m/>
    <x v="3"/>
    <x v="0"/>
    <x v="251"/>
    <d v="2012-11-18T00:00:00"/>
    <x v="13"/>
    <x v="1"/>
    <s v="Secção Competitiva"/>
    <m/>
    <x v="212"/>
    <x v="0"/>
    <m/>
    <x v="1"/>
    <x v="1"/>
    <x v="64"/>
    <x v="3"/>
    <x v="247"/>
    <x v="1"/>
    <x v="251"/>
    <x v="2173"/>
  </r>
  <r>
    <x v="1"/>
    <n v="102"/>
    <x v="64"/>
    <x v="1"/>
    <s v="LM"/>
    <s v="N"/>
    <x v="60"/>
    <x v="3"/>
    <x v="309"/>
    <m/>
    <x v="174"/>
    <m/>
    <x v="1"/>
    <x v="0"/>
    <x v="326"/>
    <d v="2012-11-25T00:00:00"/>
    <x v="13"/>
    <x v="1"/>
    <s v="Largometrajes"/>
    <m/>
    <x v="0"/>
    <x v="0"/>
    <m/>
    <x v="0"/>
    <x v="1"/>
    <x v="64"/>
    <x v="1"/>
    <x v="0"/>
    <x v="0"/>
    <x v="326"/>
    <x v="2174"/>
  </r>
  <r>
    <x v="1"/>
    <n v="1477"/>
    <x v="948"/>
    <x v="0"/>
    <s v="CM"/>
    <s v="S"/>
    <x v="485"/>
    <x v="10"/>
    <x v="68"/>
    <m/>
    <x v="53"/>
    <m/>
    <x v="3"/>
    <x v="0"/>
    <x v="253"/>
    <d v="2012-07-15T00:00:00"/>
    <x v="8"/>
    <x v="0"/>
    <m/>
    <s v="20 anos: Premiados"/>
    <x v="0"/>
    <x v="0"/>
    <m/>
    <x v="0"/>
    <x v="0"/>
    <x v="952"/>
    <x v="3"/>
    <x v="0"/>
    <x v="1"/>
    <x v="253"/>
    <x v="2175"/>
  </r>
  <r>
    <x v="1"/>
    <n v="104"/>
    <x v="66"/>
    <x v="0"/>
    <s v="CM"/>
    <s v="S"/>
    <x v="62"/>
    <x v="5"/>
    <x v="411"/>
    <m/>
    <x v="268"/>
    <m/>
    <x v="0"/>
    <x v="0"/>
    <x v="241"/>
    <d v="2012-05-18T00:00:00"/>
    <x v="6"/>
    <x v="0"/>
    <m/>
    <s v="Mostra dos Festivais - FIKE"/>
    <x v="0"/>
    <x v="0"/>
    <m/>
    <x v="0"/>
    <x v="0"/>
    <x v="66"/>
    <x v="0"/>
    <x v="0"/>
    <x v="0"/>
    <x v="241"/>
    <x v="2176"/>
  </r>
  <r>
    <x v="1"/>
    <n v="104"/>
    <x v="66"/>
    <x v="0"/>
    <s v="CM"/>
    <s v="S"/>
    <x v="62"/>
    <x v="5"/>
    <x v="192"/>
    <m/>
    <x v="140"/>
    <m/>
    <x v="3"/>
    <x v="0"/>
    <x v="250"/>
    <d v="2012-07-29T00:00:00"/>
    <x v="8"/>
    <x v="1"/>
    <s v="Competição AVANCA"/>
    <m/>
    <x v="0"/>
    <x v="0"/>
    <m/>
    <x v="0"/>
    <x v="0"/>
    <x v="66"/>
    <x v="3"/>
    <x v="0"/>
    <x v="1"/>
    <x v="250"/>
    <x v="2177"/>
  </r>
  <r>
    <x v="1"/>
    <n v="104"/>
    <x v="66"/>
    <x v="0"/>
    <s v="CM"/>
    <s v="S"/>
    <x v="62"/>
    <x v="5"/>
    <x v="458"/>
    <m/>
    <x v="286"/>
    <m/>
    <x v="3"/>
    <x v="0"/>
    <x v="303"/>
    <d v="2012-09-29T00:00:00"/>
    <x v="9"/>
    <x v="1"/>
    <m/>
    <m/>
    <x v="213"/>
    <x v="0"/>
    <m/>
    <x v="1"/>
    <x v="0"/>
    <x v="66"/>
    <x v="3"/>
    <x v="248"/>
    <x v="1"/>
    <x v="303"/>
    <x v="2178"/>
  </r>
  <r>
    <x v="1"/>
    <n v="104"/>
    <x v="66"/>
    <x v="0"/>
    <s v="CM"/>
    <s v="S"/>
    <x v="62"/>
    <x v="5"/>
    <x v="484"/>
    <m/>
    <x v="292"/>
    <m/>
    <x v="22"/>
    <x v="0"/>
    <x v="327"/>
    <d v="2012-12-14T00:00:00"/>
    <x v="12"/>
    <x v="1"/>
    <m/>
    <m/>
    <x v="0"/>
    <x v="0"/>
    <m/>
    <x v="0"/>
    <x v="0"/>
    <x v="66"/>
    <x v="22"/>
    <x v="0"/>
    <x v="0"/>
    <x v="327"/>
    <x v="2179"/>
  </r>
  <r>
    <x v="1"/>
    <n v="1283"/>
    <x v="949"/>
    <x v="3"/>
    <s v="CM"/>
    <s v="N"/>
    <x v="642"/>
    <x v="41"/>
    <x v="192"/>
    <m/>
    <x v="140"/>
    <m/>
    <x v="3"/>
    <x v="0"/>
    <x v="250"/>
    <d v="2012-07-29T00:00:00"/>
    <x v="8"/>
    <x v="1"/>
    <s v="Competição AVANCA"/>
    <m/>
    <x v="0"/>
    <x v="0"/>
    <m/>
    <x v="0"/>
    <x v="6"/>
    <x v="953"/>
    <x v="3"/>
    <x v="0"/>
    <x v="1"/>
    <x v="250"/>
    <x v="2180"/>
  </r>
  <r>
    <x v="1"/>
    <n v="1283"/>
    <x v="949"/>
    <x v="3"/>
    <s v="CM"/>
    <s v="N"/>
    <x v="642"/>
    <x v="41"/>
    <x v="485"/>
    <m/>
    <x v="293"/>
    <m/>
    <x v="64"/>
    <x v="0"/>
    <x v="328"/>
    <d v="2012-09-29T00:00:00"/>
    <x v="9"/>
    <x v="1"/>
    <s v="Experimental Competition2"/>
    <m/>
    <x v="0"/>
    <x v="0"/>
    <m/>
    <x v="0"/>
    <x v="6"/>
    <x v="953"/>
    <x v="64"/>
    <x v="0"/>
    <x v="0"/>
    <x v="328"/>
    <x v="2181"/>
  </r>
  <r>
    <x v="1"/>
    <n v="107"/>
    <x v="950"/>
    <x v="0"/>
    <s v="CM"/>
    <s v="N"/>
    <x v="643"/>
    <x v="2"/>
    <x v="63"/>
    <m/>
    <x v="24"/>
    <m/>
    <x v="3"/>
    <x v="0"/>
    <x v="274"/>
    <d v="2012-05-16T00:00:00"/>
    <x v="6"/>
    <x v="1"/>
    <s v="Competição Curtas Metragens"/>
    <m/>
    <x v="0"/>
    <x v="0"/>
    <m/>
    <x v="0"/>
    <x v="0"/>
    <x v="954"/>
    <x v="3"/>
    <x v="0"/>
    <x v="1"/>
    <x v="274"/>
    <x v="2182"/>
  </r>
  <r>
    <x v="1"/>
    <n v="109"/>
    <x v="70"/>
    <x v="0"/>
    <s v="CM"/>
    <s v="N"/>
    <x v="65"/>
    <x v="2"/>
    <x v="431"/>
    <m/>
    <x v="277"/>
    <m/>
    <x v="14"/>
    <x v="0"/>
    <x v="243"/>
    <d v="2012-06-02T00:00:00"/>
    <x v="7"/>
    <x v="0"/>
    <m/>
    <m/>
    <x v="0"/>
    <x v="0"/>
    <m/>
    <x v="0"/>
    <x v="0"/>
    <x v="70"/>
    <x v="14"/>
    <x v="0"/>
    <x v="0"/>
    <x v="243"/>
    <x v="2183"/>
  </r>
  <r>
    <x v="1"/>
    <n v="109"/>
    <x v="70"/>
    <x v="0"/>
    <s v="CM"/>
    <s v="N"/>
    <x v="65"/>
    <x v="2"/>
    <x v="67"/>
    <m/>
    <x v="23"/>
    <m/>
    <x v="3"/>
    <x v="0"/>
    <x v="264"/>
    <d v="2012-06-17T00:00:00"/>
    <x v="7"/>
    <x v="1"/>
    <s v="Curtas Nacionais"/>
    <m/>
    <x v="0"/>
    <x v="0"/>
    <m/>
    <x v="0"/>
    <x v="0"/>
    <x v="70"/>
    <x v="3"/>
    <x v="0"/>
    <x v="1"/>
    <x v="264"/>
    <x v="2184"/>
  </r>
  <r>
    <x v="1"/>
    <n v="110"/>
    <x v="71"/>
    <x v="2"/>
    <s v="CM"/>
    <s v="N"/>
    <x v="66"/>
    <x v="3"/>
    <x v="68"/>
    <m/>
    <x v="53"/>
    <m/>
    <x v="3"/>
    <x v="0"/>
    <x v="253"/>
    <d v="2012-07-15T00:00:00"/>
    <x v="8"/>
    <x v="1"/>
    <s v="Take One!"/>
    <m/>
    <x v="0"/>
    <x v="0"/>
    <m/>
    <x v="0"/>
    <x v="4"/>
    <x v="71"/>
    <x v="3"/>
    <x v="0"/>
    <x v="1"/>
    <x v="253"/>
    <x v="2185"/>
  </r>
  <r>
    <x v="1"/>
    <n v="111"/>
    <x v="951"/>
    <x v="4"/>
    <s v="CM"/>
    <s v="N"/>
    <x v="644"/>
    <x v="2"/>
    <x v="432"/>
    <m/>
    <x v="39"/>
    <m/>
    <x v="3"/>
    <x v="0"/>
    <x v="265"/>
    <d v="2012-04-21T00:00:00"/>
    <x v="5"/>
    <x v="1"/>
    <s v="Competição Escolas"/>
    <m/>
    <x v="0"/>
    <x v="0"/>
    <m/>
    <x v="0"/>
    <x v="8"/>
    <x v="955"/>
    <x v="3"/>
    <x v="0"/>
    <x v="1"/>
    <x v="265"/>
    <x v="2186"/>
  </r>
  <r>
    <x v="1"/>
    <n v="1407"/>
    <x v="952"/>
    <x v="1"/>
    <s v="CM"/>
    <s v=""/>
    <x v="645"/>
    <x v="41"/>
    <x v="25"/>
    <m/>
    <x v="24"/>
    <m/>
    <x v="3"/>
    <x v="0"/>
    <x v="294"/>
    <d v="2012-10-28T00:00:00"/>
    <x v="14"/>
    <x v="1"/>
    <s v="Competição Portuguesa - Curtas"/>
    <m/>
    <x v="0"/>
    <x v="0"/>
    <m/>
    <x v="0"/>
    <x v="2"/>
    <x v="956"/>
    <x v="3"/>
    <x v="0"/>
    <x v="1"/>
    <x v="294"/>
    <x v="2187"/>
  </r>
  <r>
    <x v="1"/>
    <n v="1584"/>
    <x v="953"/>
    <x v="0"/>
    <s v="LM"/>
    <s v="N"/>
    <x v="646"/>
    <x v="2"/>
    <x v="22"/>
    <m/>
    <x v="22"/>
    <m/>
    <x v="3"/>
    <x v="0"/>
    <x v="251"/>
    <d v="2012-11-18T00:00:00"/>
    <x v="13"/>
    <x v="1"/>
    <s v="Secção Competitiva"/>
    <m/>
    <x v="0"/>
    <x v="0"/>
    <m/>
    <x v="0"/>
    <x v="5"/>
    <x v="957"/>
    <x v="3"/>
    <x v="0"/>
    <x v="1"/>
    <x v="251"/>
    <x v="2188"/>
  </r>
  <r>
    <x v="1"/>
    <n v="112"/>
    <x v="954"/>
    <x v="3"/>
    <s v="CM"/>
    <s v="N"/>
    <x v="647"/>
    <x v="2"/>
    <x v="146"/>
    <m/>
    <x v="24"/>
    <m/>
    <x v="3"/>
    <x v="0"/>
    <x v="281"/>
    <d v="2012-05-06T00:00:00"/>
    <x v="4"/>
    <x v="0"/>
    <m/>
    <s v="Sessões Especiais - Novíssimos Curtas"/>
    <x v="0"/>
    <x v="0"/>
    <m/>
    <x v="0"/>
    <x v="6"/>
    <x v="958"/>
    <x v="3"/>
    <x v="0"/>
    <x v="1"/>
    <x v="281"/>
    <x v="2189"/>
  </r>
  <r>
    <x v="1"/>
    <n v="113"/>
    <x v="955"/>
    <x v="3"/>
    <s v="CM"/>
    <s v="N"/>
    <x v="648"/>
    <x v="2"/>
    <x v="454"/>
    <m/>
    <x v="15"/>
    <m/>
    <x v="3"/>
    <x v="0"/>
    <x v="298"/>
    <m/>
    <x v="8"/>
    <x v="1"/>
    <s v="Experimental"/>
    <m/>
    <x v="93"/>
    <x v="0"/>
    <m/>
    <x v="1"/>
    <x v="6"/>
    <x v="959"/>
    <x v="3"/>
    <x v="249"/>
    <x v="1"/>
    <x v="298"/>
    <x v="2190"/>
  </r>
  <r>
    <x v="1"/>
    <n v="115"/>
    <x v="73"/>
    <x v="2"/>
    <s v="CM"/>
    <s v="S"/>
    <x v="68"/>
    <x v="5"/>
    <x v="486"/>
    <m/>
    <x v="294"/>
    <m/>
    <x v="10"/>
    <x v="0"/>
    <x v="317"/>
    <d v="2012-03-07T00:00:00"/>
    <x v="2"/>
    <x v="1"/>
    <s v="Competition Short 6"/>
    <m/>
    <x v="214"/>
    <x v="0"/>
    <m/>
    <x v="1"/>
    <x v="4"/>
    <x v="73"/>
    <x v="10"/>
    <x v="250"/>
    <x v="0"/>
    <x v="317"/>
    <x v="2191"/>
  </r>
  <r>
    <x v="1"/>
    <n v="115"/>
    <x v="73"/>
    <x v="2"/>
    <s v="CM"/>
    <s v="S"/>
    <x v="68"/>
    <x v="5"/>
    <x v="487"/>
    <m/>
    <x v="295"/>
    <m/>
    <x v="10"/>
    <x v="0"/>
    <x v="287"/>
    <d v="2012-04-01T00:00:00"/>
    <x v="3"/>
    <x v="0"/>
    <m/>
    <s v="Portugal: Contemporary Animation Films"/>
    <x v="0"/>
    <x v="0"/>
    <m/>
    <x v="0"/>
    <x v="4"/>
    <x v="73"/>
    <x v="10"/>
    <x v="0"/>
    <x v="0"/>
    <x v="287"/>
    <x v="2192"/>
  </r>
  <r>
    <x v="1"/>
    <n v="115"/>
    <x v="73"/>
    <x v="2"/>
    <s v="CM"/>
    <s v="S"/>
    <x v="68"/>
    <x v="5"/>
    <x v="488"/>
    <m/>
    <x v="296"/>
    <m/>
    <x v="1"/>
    <x v="0"/>
    <x v="329"/>
    <d v="2012-04-14T00:00:00"/>
    <x v="5"/>
    <x v="1"/>
    <s v="Competición de Cortometrajes educativos"/>
    <m/>
    <x v="0"/>
    <x v="0"/>
    <m/>
    <x v="0"/>
    <x v="4"/>
    <x v="73"/>
    <x v="1"/>
    <x v="0"/>
    <x v="0"/>
    <x v="329"/>
    <x v="2193"/>
  </r>
  <r>
    <x v="1"/>
    <n v="115"/>
    <x v="73"/>
    <x v="2"/>
    <s v="CM"/>
    <s v="S"/>
    <x v="68"/>
    <x v="5"/>
    <x v="489"/>
    <m/>
    <x v="297"/>
    <m/>
    <x v="3"/>
    <x v="0"/>
    <x v="267"/>
    <d v="2012-11-17T00:00:00"/>
    <x v="13"/>
    <x v="1"/>
    <s v="Olhares e Enquadramentos"/>
    <m/>
    <x v="215"/>
    <x v="0"/>
    <m/>
    <x v="1"/>
    <x v="4"/>
    <x v="73"/>
    <x v="3"/>
    <x v="251"/>
    <x v="1"/>
    <x v="267"/>
    <x v="2194"/>
  </r>
  <r>
    <x v="1"/>
    <n v="1451"/>
    <x v="956"/>
    <x v="1"/>
    <s v="CM"/>
    <s v="N"/>
    <x v="114"/>
    <x v="41"/>
    <x v="25"/>
    <m/>
    <x v="24"/>
    <m/>
    <x v="3"/>
    <x v="0"/>
    <x v="294"/>
    <d v="2012-10-28T00:00:00"/>
    <x v="14"/>
    <x v="0"/>
    <m/>
    <s v="Homenagem ao Curtas Vila do Conde"/>
    <x v="0"/>
    <x v="0"/>
    <m/>
    <x v="0"/>
    <x v="2"/>
    <x v="960"/>
    <x v="3"/>
    <x v="0"/>
    <x v="1"/>
    <x v="294"/>
    <x v="2195"/>
  </r>
  <r>
    <x v="1"/>
    <n v="1451"/>
    <x v="956"/>
    <x v="1"/>
    <s v="CM"/>
    <s v="N"/>
    <x v="114"/>
    <x v="41"/>
    <x v="22"/>
    <m/>
    <x v="22"/>
    <m/>
    <x v="3"/>
    <x v="0"/>
    <x v="251"/>
    <d v="2012-11-18T00:00:00"/>
    <x v="13"/>
    <x v="1"/>
    <s v="Secção Competitiva"/>
    <m/>
    <x v="0"/>
    <x v="0"/>
    <m/>
    <x v="0"/>
    <x v="2"/>
    <x v="960"/>
    <x v="3"/>
    <x v="0"/>
    <x v="1"/>
    <x v="251"/>
    <x v="2196"/>
  </r>
  <r>
    <x v="1"/>
    <n v="1451"/>
    <x v="956"/>
    <x v="1"/>
    <s v="CM"/>
    <s v="N"/>
    <x v="114"/>
    <x v="41"/>
    <x v="490"/>
    <m/>
    <x v="298"/>
    <m/>
    <x v="15"/>
    <x v="0"/>
    <x v="330"/>
    <d v="2012-11-17T00:00:00"/>
    <x v="13"/>
    <x v="1"/>
    <s v="Concorso Internazionale Cortometraggi"/>
    <m/>
    <x v="0"/>
    <x v="0"/>
    <m/>
    <x v="0"/>
    <x v="2"/>
    <x v="960"/>
    <x v="15"/>
    <x v="0"/>
    <x v="0"/>
    <x v="330"/>
    <x v="2197"/>
  </r>
  <r>
    <x v="1"/>
    <n v="1451"/>
    <x v="956"/>
    <x v="1"/>
    <s v="CM"/>
    <s v="N"/>
    <x v="114"/>
    <x v="41"/>
    <x v="133"/>
    <m/>
    <x v="101"/>
    <m/>
    <x v="3"/>
    <x v="0"/>
    <x v="331"/>
    <d v="2012-12-09T00:00:00"/>
    <x v="12"/>
    <x v="1"/>
    <s v="Curtas Metragens"/>
    <m/>
    <x v="0"/>
    <x v="0"/>
    <m/>
    <x v="0"/>
    <x v="2"/>
    <x v="960"/>
    <x v="3"/>
    <x v="0"/>
    <x v="1"/>
    <x v="331"/>
    <x v="2198"/>
  </r>
  <r>
    <x v="1"/>
    <n v="121"/>
    <x v="79"/>
    <x v="2"/>
    <s v="CM"/>
    <s v="S"/>
    <x v="73"/>
    <x v="13"/>
    <x v="200"/>
    <m/>
    <x v="145"/>
    <m/>
    <x v="2"/>
    <x v="0"/>
    <x v="332"/>
    <d v="2012-03-25T00:00:00"/>
    <x v="2"/>
    <x v="0"/>
    <m/>
    <s v="Panorama Animation Portugaise"/>
    <x v="0"/>
    <x v="0"/>
    <m/>
    <x v="0"/>
    <x v="4"/>
    <x v="79"/>
    <x v="2"/>
    <x v="0"/>
    <x v="0"/>
    <x v="332"/>
    <x v="2199"/>
  </r>
  <r>
    <x v="1"/>
    <n v="121"/>
    <x v="79"/>
    <x v="2"/>
    <s v="CM"/>
    <s v="S"/>
    <x v="73"/>
    <x v="13"/>
    <x v="220"/>
    <m/>
    <x v="154"/>
    <m/>
    <x v="0"/>
    <x v="0"/>
    <x v="333"/>
    <d v="2012-07-29T00:00:00"/>
    <x v="8"/>
    <x v="0"/>
    <m/>
    <s v="Mostras e Retrospectivas Especiais: 20 Anos de ANIMAMUNDI - Melhores Curtas do Público 1999 a 2003"/>
    <x v="0"/>
    <x v="0"/>
    <m/>
    <x v="0"/>
    <x v="4"/>
    <x v="79"/>
    <x v="0"/>
    <x v="0"/>
    <x v="0"/>
    <x v="333"/>
    <x v="2200"/>
  </r>
  <r>
    <x v="1"/>
    <n v="1582"/>
    <x v="957"/>
    <x v="0"/>
    <s v="LM"/>
    <s v=""/>
    <x v="649"/>
    <x v="41"/>
    <x v="22"/>
    <m/>
    <x v="22"/>
    <m/>
    <x v="3"/>
    <x v="0"/>
    <x v="251"/>
    <d v="2012-11-18T00:00:00"/>
    <x v="13"/>
    <x v="1"/>
    <s v="Secção Competitiva"/>
    <m/>
    <x v="0"/>
    <x v="0"/>
    <m/>
    <x v="0"/>
    <x v="5"/>
    <x v="961"/>
    <x v="3"/>
    <x v="0"/>
    <x v="1"/>
    <x v="251"/>
    <x v="2201"/>
  </r>
  <r>
    <x v="1"/>
    <n v="123"/>
    <x v="958"/>
    <x v="0"/>
    <s v="CM"/>
    <s v=""/>
    <x v="24"/>
    <x v="41"/>
    <x v="68"/>
    <m/>
    <x v="53"/>
    <m/>
    <x v="3"/>
    <x v="0"/>
    <x v="253"/>
    <d v="2012-07-15T00:00:00"/>
    <x v="8"/>
    <x v="1"/>
    <s v="Competição Nacional"/>
    <m/>
    <x v="0"/>
    <x v="0"/>
    <m/>
    <x v="0"/>
    <x v="0"/>
    <x v="962"/>
    <x v="3"/>
    <x v="0"/>
    <x v="1"/>
    <x v="253"/>
    <x v="2202"/>
  </r>
  <r>
    <x v="1"/>
    <n v="123"/>
    <x v="958"/>
    <x v="0"/>
    <s v="CM"/>
    <s v=""/>
    <x v="24"/>
    <x v="41"/>
    <x v="443"/>
    <m/>
    <x v="240"/>
    <m/>
    <x v="58"/>
    <x v="0"/>
    <x v="284"/>
    <d v="2012-11-28T00:00:00"/>
    <x v="13"/>
    <x v="0"/>
    <m/>
    <m/>
    <x v="0"/>
    <x v="1"/>
    <m/>
    <x v="0"/>
    <x v="0"/>
    <x v="962"/>
    <x v="58"/>
    <x v="0"/>
    <x v="0"/>
    <x v="284"/>
    <x v="2203"/>
  </r>
  <r>
    <x v="1"/>
    <n v="123"/>
    <x v="958"/>
    <x v="0"/>
    <s v="CM"/>
    <s v=""/>
    <x v="24"/>
    <x v="41"/>
    <x v="192"/>
    <m/>
    <x v="140"/>
    <m/>
    <x v="3"/>
    <x v="0"/>
    <x v="334"/>
    <d v="2013-07-28T00:00:00"/>
    <x v="8"/>
    <x v="0"/>
    <m/>
    <s v="Panorama Cinema Português"/>
    <x v="0"/>
    <x v="0"/>
    <m/>
    <x v="0"/>
    <x v="0"/>
    <x v="962"/>
    <x v="3"/>
    <x v="0"/>
    <x v="1"/>
    <x v="334"/>
    <x v="2204"/>
  </r>
  <r>
    <x v="1"/>
    <n v="1294"/>
    <x v="959"/>
    <x v="0"/>
    <s v="CM"/>
    <s v="N"/>
    <x v="195"/>
    <x v="2"/>
    <x v="445"/>
    <m/>
    <x v="284"/>
    <m/>
    <x v="3"/>
    <x v="0"/>
    <x v="286"/>
    <d v="2012-09-08T00:00:00"/>
    <x v="9"/>
    <x v="1"/>
    <m/>
    <m/>
    <x v="0"/>
    <x v="0"/>
    <m/>
    <x v="0"/>
    <x v="0"/>
    <x v="963"/>
    <x v="3"/>
    <x v="0"/>
    <x v="1"/>
    <x v="286"/>
    <x v="2205"/>
  </r>
  <r>
    <x v="1"/>
    <n v="1586"/>
    <x v="960"/>
    <x v="1"/>
    <s v="CM"/>
    <s v="N"/>
    <x v="650"/>
    <x v="41"/>
    <x v="22"/>
    <m/>
    <x v="22"/>
    <m/>
    <x v="3"/>
    <x v="0"/>
    <x v="251"/>
    <d v="2012-11-18T00:00:00"/>
    <x v="13"/>
    <x v="1"/>
    <s v="Ensaios Visuais"/>
    <m/>
    <x v="0"/>
    <x v="0"/>
    <m/>
    <x v="0"/>
    <x v="2"/>
    <x v="964"/>
    <x v="3"/>
    <x v="0"/>
    <x v="1"/>
    <x v="251"/>
    <x v="2206"/>
  </r>
  <r>
    <x v="1"/>
    <n v="127"/>
    <x v="961"/>
    <x v="1"/>
    <s v="LM"/>
    <s v="S"/>
    <x v="106"/>
    <x v="3"/>
    <x v="147"/>
    <m/>
    <x v="112"/>
    <m/>
    <x v="34"/>
    <x v="0"/>
    <x v="335"/>
    <d v="2012-08-11T00:00:00"/>
    <x v="16"/>
    <x v="1"/>
    <s v="Concorso Internazionale"/>
    <m/>
    <x v="216"/>
    <x v="0"/>
    <m/>
    <x v="1"/>
    <x v="1"/>
    <x v="965"/>
    <x v="34"/>
    <x v="252"/>
    <x v="0"/>
    <x v="335"/>
    <x v="2207"/>
  </r>
  <r>
    <x v="1"/>
    <n v="127"/>
    <x v="961"/>
    <x v="1"/>
    <s v="LM"/>
    <s v="S"/>
    <x v="106"/>
    <x v="3"/>
    <x v="148"/>
    <m/>
    <x v="113"/>
    <m/>
    <x v="7"/>
    <x v="0"/>
    <x v="257"/>
    <d v="2012-10-12T00:00:00"/>
    <x v="10"/>
    <x v="0"/>
    <m/>
    <s v="Cinema of Our Time"/>
    <x v="0"/>
    <x v="0"/>
    <m/>
    <x v="0"/>
    <x v="1"/>
    <x v="965"/>
    <x v="7"/>
    <x v="0"/>
    <x v="0"/>
    <x v="257"/>
    <x v="2208"/>
  </r>
  <r>
    <x v="1"/>
    <n v="127"/>
    <x v="961"/>
    <x v="1"/>
    <s v="LM"/>
    <s v="S"/>
    <x v="106"/>
    <x v="3"/>
    <x v="491"/>
    <m/>
    <x v="299"/>
    <m/>
    <x v="61"/>
    <x v="0"/>
    <x v="336"/>
    <d v="2012-10-07T00:00:00"/>
    <x v="14"/>
    <x v="1"/>
    <s v="Competencia Largometraje Internacional"/>
    <m/>
    <x v="217"/>
    <x v="0"/>
    <m/>
    <x v="1"/>
    <x v="1"/>
    <x v="965"/>
    <x v="61"/>
    <x v="253"/>
    <x v="0"/>
    <x v="336"/>
    <x v="2209"/>
  </r>
  <r>
    <x v="1"/>
    <n v="127"/>
    <x v="961"/>
    <x v="1"/>
    <s v="LM"/>
    <s v="S"/>
    <x v="106"/>
    <x v="3"/>
    <x v="85"/>
    <m/>
    <x v="64"/>
    <m/>
    <x v="18"/>
    <x v="0"/>
    <x v="337"/>
    <d v="2012-10-13T00:00:00"/>
    <x v="14"/>
    <x v="0"/>
    <m/>
    <s v="World Cinema"/>
    <x v="0"/>
    <x v="0"/>
    <m/>
    <x v="0"/>
    <x v="1"/>
    <x v="965"/>
    <x v="18"/>
    <x v="0"/>
    <x v="0"/>
    <x v="337"/>
    <x v="2210"/>
  </r>
  <r>
    <x v="1"/>
    <n v="127"/>
    <x v="961"/>
    <x v="1"/>
    <s v="LM"/>
    <s v="S"/>
    <x v="106"/>
    <x v="3"/>
    <x v="389"/>
    <m/>
    <x v="173"/>
    <m/>
    <x v="7"/>
    <x v="0"/>
    <x v="338"/>
    <d v="2012-10-21T00:00:00"/>
    <x v="14"/>
    <x v="0"/>
    <m/>
    <s v="Présentation Spéciale - Longs métrages"/>
    <x v="0"/>
    <x v="0"/>
    <m/>
    <x v="0"/>
    <x v="1"/>
    <x v="965"/>
    <x v="7"/>
    <x v="0"/>
    <x v="0"/>
    <x v="338"/>
    <x v="2211"/>
  </r>
  <r>
    <x v="1"/>
    <n v="127"/>
    <x v="961"/>
    <x v="1"/>
    <s v="LM"/>
    <s v="S"/>
    <x v="106"/>
    <x v="3"/>
    <x v="25"/>
    <m/>
    <x v="24"/>
    <m/>
    <x v="3"/>
    <x v="0"/>
    <x v="294"/>
    <d v="2012-10-28T00:00:00"/>
    <x v="14"/>
    <x v="1"/>
    <s v="Competição Internacional - Longas"/>
    <m/>
    <x v="0"/>
    <x v="0"/>
    <m/>
    <x v="0"/>
    <x v="1"/>
    <x v="965"/>
    <x v="3"/>
    <x v="0"/>
    <x v="1"/>
    <x v="294"/>
    <x v="2212"/>
  </r>
  <r>
    <x v="1"/>
    <n v="127"/>
    <x v="961"/>
    <x v="1"/>
    <s v="LM"/>
    <s v="S"/>
    <x v="106"/>
    <x v="3"/>
    <x v="149"/>
    <m/>
    <x v="114"/>
    <m/>
    <x v="35"/>
    <x v="0"/>
    <x v="339"/>
    <d v="2012-11-07T00:00:00"/>
    <x v="0"/>
    <x v="0"/>
    <m/>
    <s v="Spielfilme"/>
    <x v="0"/>
    <x v="0"/>
    <m/>
    <x v="0"/>
    <x v="1"/>
    <x v="965"/>
    <x v="35"/>
    <x v="0"/>
    <x v="0"/>
    <x v="339"/>
    <x v="2213"/>
  </r>
  <r>
    <x v="1"/>
    <n v="127"/>
    <x v="961"/>
    <x v="1"/>
    <s v="LM"/>
    <s v="S"/>
    <x v="106"/>
    <x v="3"/>
    <x v="150"/>
    <m/>
    <x v="115"/>
    <m/>
    <x v="36"/>
    <x v="0"/>
    <x v="340"/>
    <d v="2012-11-11T00:00:00"/>
    <x v="13"/>
    <x v="1"/>
    <s v="DOX: Award"/>
    <m/>
    <x v="0"/>
    <x v="0"/>
    <m/>
    <x v="0"/>
    <x v="1"/>
    <x v="965"/>
    <x v="36"/>
    <x v="0"/>
    <x v="0"/>
    <x v="340"/>
    <x v="2214"/>
  </r>
  <r>
    <x v="1"/>
    <n v="127"/>
    <x v="961"/>
    <x v="1"/>
    <s v="LM"/>
    <s v="S"/>
    <x v="106"/>
    <x v="3"/>
    <x v="492"/>
    <m/>
    <x v="128"/>
    <m/>
    <x v="1"/>
    <x v="0"/>
    <x v="341"/>
    <d v="2012-11-10T00:00:00"/>
    <x v="13"/>
    <x v="1"/>
    <s v="Las Nuevas Olas"/>
    <m/>
    <x v="0"/>
    <x v="0"/>
    <m/>
    <x v="0"/>
    <x v="1"/>
    <x v="965"/>
    <x v="1"/>
    <x v="0"/>
    <x v="0"/>
    <x v="341"/>
    <x v="2215"/>
  </r>
  <r>
    <x v="1"/>
    <n v="127"/>
    <x v="961"/>
    <x v="1"/>
    <s v="LM"/>
    <s v="S"/>
    <x v="106"/>
    <x v="3"/>
    <x v="22"/>
    <m/>
    <x v="22"/>
    <m/>
    <x v="3"/>
    <x v="0"/>
    <x v="251"/>
    <d v="2012-11-18T00:00:00"/>
    <x v="13"/>
    <x v="1"/>
    <s v="Secção Competitiva"/>
    <m/>
    <x v="218"/>
    <x v="0"/>
    <m/>
    <x v="1"/>
    <x v="1"/>
    <x v="965"/>
    <x v="3"/>
    <x v="254"/>
    <x v="1"/>
    <x v="251"/>
    <x v="2216"/>
  </r>
  <r>
    <x v="1"/>
    <n v="127"/>
    <x v="961"/>
    <x v="1"/>
    <s v="LM"/>
    <s v="S"/>
    <x v="106"/>
    <x v="3"/>
    <x v="80"/>
    <m/>
    <x v="60"/>
    <m/>
    <x v="3"/>
    <x v="0"/>
    <x v="251"/>
    <d v="2012-11-18T00:00:00"/>
    <x v="13"/>
    <x v="0"/>
    <m/>
    <s v="Homenagens: João Pedro Rodrigues e João Rui Guerra da Mata"/>
    <x v="0"/>
    <x v="0"/>
    <m/>
    <x v="0"/>
    <x v="1"/>
    <x v="965"/>
    <x v="3"/>
    <x v="0"/>
    <x v="1"/>
    <x v="251"/>
    <x v="2217"/>
  </r>
  <r>
    <x v="1"/>
    <n v="127"/>
    <x v="961"/>
    <x v="1"/>
    <s v="LM"/>
    <s v="S"/>
    <x v="106"/>
    <x v="3"/>
    <x v="99"/>
    <m/>
    <x v="78"/>
    <m/>
    <x v="20"/>
    <x v="0"/>
    <x v="342"/>
    <d v="2012-11-18T00:00:00"/>
    <x v="13"/>
    <x v="0"/>
    <m/>
    <s v="Features 2012"/>
    <x v="0"/>
    <x v="0"/>
    <m/>
    <x v="0"/>
    <x v="1"/>
    <x v="965"/>
    <x v="20"/>
    <x v="0"/>
    <x v="0"/>
    <x v="342"/>
    <x v="2218"/>
  </r>
  <r>
    <x v="1"/>
    <n v="127"/>
    <x v="961"/>
    <x v="1"/>
    <s v="LM"/>
    <s v="S"/>
    <x v="106"/>
    <x v="3"/>
    <x v="404"/>
    <m/>
    <x v="264"/>
    <m/>
    <x v="15"/>
    <x v="0"/>
    <x v="234"/>
    <d v="2012-11-30T00:00:00"/>
    <x v="13"/>
    <x v="1"/>
    <s v="TFFdoc: Internazionale.doc"/>
    <m/>
    <x v="219"/>
    <x v="0"/>
    <m/>
    <x v="1"/>
    <x v="1"/>
    <x v="965"/>
    <x v="15"/>
    <x v="255"/>
    <x v="0"/>
    <x v="234"/>
    <x v="2219"/>
  </r>
  <r>
    <x v="1"/>
    <n v="127"/>
    <x v="961"/>
    <x v="1"/>
    <s v="LM"/>
    <s v="S"/>
    <x v="106"/>
    <x v="3"/>
    <x v="133"/>
    <m/>
    <x v="101"/>
    <m/>
    <x v="3"/>
    <x v="0"/>
    <x v="331"/>
    <d v="2012-12-09T00:00:00"/>
    <x v="12"/>
    <x v="1"/>
    <s v="Longas Metragens"/>
    <m/>
    <x v="220"/>
    <x v="0"/>
    <m/>
    <x v="1"/>
    <x v="1"/>
    <x v="965"/>
    <x v="3"/>
    <x v="256"/>
    <x v="1"/>
    <x v="331"/>
    <x v="2220"/>
  </r>
  <r>
    <x v="1"/>
    <n v="128"/>
    <x v="84"/>
    <x v="2"/>
    <s v="CM"/>
    <s v="S"/>
    <x v="21"/>
    <x v="2"/>
    <x v="26"/>
    <m/>
    <x v="24"/>
    <m/>
    <x v="3"/>
    <x v="0"/>
    <x v="268"/>
    <d v="2012-03-25T00:00:00"/>
    <x v="2"/>
    <x v="1"/>
    <s v="Competição Internacional"/>
    <m/>
    <x v="0"/>
    <x v="0"/>
    <m/>
    <x v="0"/>
    <x v="4"/>
    <x v="84"/>
    <x v="3"/>
    <x v="0"/>
    <x v="1"/>
    <x v="268"/>
    <x v="2221"/>
  </r>
  <r>
    <x v="1"/>
    <n v="128"/>
    <x v="84"/>
    <x v="2"/>
    <s v="CM"/>
    <s v="S"/>
    <x v="21"/>
    <x v="2"/>
    <x v="200"/>
    <m/>
    <x v="145"/>
    <m/>
    <x v="2"/>
    <x v="0"/>
    <x v="332"/>
    <d v="2012-03-25T00:00:00"/>
    <x v="2"/>
    <x v="0"/>
    <m/>
    <s v="Panorama Animation Portugaise"/>
    <x v="0"/>
    <x v="0"/>
    <m/>
    <x v="0"/>
    <x v="4"/>
    <x v="84"/>
    <x v="2"/>
    <x v="0"/>
    <x v="0"/>
    <x v="332"/>
    <x v="2222"/>
  </r>
  <r>
    <x v="1"/>
    <n v="128"/>
    <x v="84"/>
    <x v="2"/>
    <s v="CM"/>
    <s v="S"/>
    <x v="21"/>
    <x v="2"/>
    <x v="488"/>
    <m/>
    <x v="296"/>
    <m/>
    <x v="1"/>
    <x v="0"/>
    <x v="329"/>
    <d v="2012-04-14T00:00:00"/>
    <x v="5"/>
    <x v="1"/>
    <s v="Competición de Cortometrajes educativos"/>
    <m/>
    <x v="0"/>
    <x v="0"/>
    <m/>
    <x v="0"/>
    <x v="4"/>
    <x v="84"/>
    <x v="1"/>
    <x v="0"/>
    <x v="0"/>
    <x v="329"/>
    <x v="2223"/>
  </r>
  <r>
    <x v="1"/>
    <n v="1425"/>
    <x v="962"/>
    <x v="4"/>
    <s v="CM"/>
    <s v="N"/>
    <x v="29"/>
    <x v="2"/>
    <x v="493"/>
    <m/>
    <x v="24"/>
    <m/>
    <x v="3"/>
    <x v="0"/>
    <x v="280"/>
    <d v="2012-07-29T00:00:00"/>
    <x v="17"/>
    <x v="0"/>
    <m/>
    <s v="Dança no Largo"/>
    <x v="0"/>
    <x v="0"/>
    <m/>
    <x v="0"/>
    <x v="8"/>
    <x v="966"/>
    <x v="3"/>
    <x v="0"/>
    <x v="1"/>
    <x v="280"/>
    <x v="2224"/>
  </r>
  <r>
    <x v="1"/>
    <n v="1425"/>
    <x v="962"/>
    <x v="4"/>
    <s v="CM"/>
    <s v="N"/>
    <x v="29"/>
    <x v="2"/>
    <x v="494"/>
    <m/>
    <x v="281"/>
    <m/>
    <x v="3"/>
    <x v="0"/>
    <x v="343"/>
    <d v="2012-07-18T00:00:00"/>
    <x v="8"/>
    <x v="0"/>
    <m/>
    <m/>
    <x v="0"/>
    <x v="0"/>
    <m/>
    <x v="0"/>
    <x v="8"/>
    <x v="966"/>
    <x v="3"/>
    <x v="0"/>
    <x v="1"/>
    <x v="343"/>
    <x v="2225"/>
  </r>
  <r>
    <x v="1"/>
    <n v="1425"/>
    <x v="962"/>
    <x v="4"/>
    <s v="CM"/>
    <s v="N"/>
    <x v="29"/>
    <x v="2"/>
    <x v="451"/>
    <m/>
    <x v="24"/>
    <m/>
    <x v="3"/>
    <x v="0"/>
    <x v="295"/>
    <d v="2012-10-28T00:00:00"/>
    <x v="14"/>
    <x v="0"/>
    <m/>
    <m/>
    <x v="0"/>
    <x v="1"/>
    <m/>
    <x v="0"/>
    <x v="8"/>
    <x v="966"/>
    <x v="3"/>
    <x v="0"/>
    <x v="1"/>
    <x v="295"/>
    <x v="2226"/>
  </r>
  <r>
    <x v="1"/>
    <n v="130"/>
    <x v="86"/>
    <x v="0"/>
    <s v="CM"/>
    <s v="N"/>
    <x v="78"/>
    <x v="2"/>
    <x v="62"/>
    <m/>
    <x v="23"/>
    <m/>
    <x v="3"/>
    <x v="0"/>
    <x v="302"/>
    <d v="2012-03-04T00:00:00"/>
    <x v="19"/>
    <x v="0"/>
    <m/>
    <s v="Panorama do Cinema Português - Agência da Curta Metragem"/>
    <x v="0"/>
    <x v="0"/>
    <m/>
    <x v="0"/>
    <x v="0"/>
    <x v="86"/>
    <x v="3"/>
    <x v="0"/>
    <x v="1"/>
    <x v="302"/>
    <x v="2227"/>
  </r>
  <r>
    <x v="1"/>
    <n v="130"/>
    <x v="86"/>
    <x v="0"/>
    <s v="CM"/>
    <s v="N"/>
    <x v="78"/>
    <x v="2"/>
    <x v="495"/>
    <m/>
    <x v="300"/>
    <m/>
    <x v="9"/>
    <x v="0"/>
    <x v="344"/>
    <d v="2012-03-11T00:00:00"/>
    <x v="2"/>
    <x v="1"/>
    <s v="UM Shorts Competition"/>
    <m/>
    <x v="0"/>
    <x v="0"/>
    <m/>
    <x v="0"/>
    <x v="0"/>
    <x v="86"/>
    <x v="9"/>
    <x v="0"/>
    <x v="0"/>
    <x v="344"/>
    <x v="2228"/>
  </r>
  <r>
    <x v="1"/>
    <n v="130"/>
    <x v="86"/>
    <x v="0"/>
    <s v="CM"/>
    <s v="N"/>
    <x v="78"/>
    <x v="2"/>
    <x v="496"/>
    <m/>
    <x v="301"/>
    <m/>
    <x v="9"/>
    <x v="0"/>
    <x v="319"/>
    <d v="2012-04-22T00:00:00"/>
    <x v="5"/>
    <x v="1"/>
    <s v="Narrative Shorts 2"/>
    <m/>
    <x v="221"/>
    <x v="0"/>
    <m/>
    <x v="1"/>
    <x v="0"/>
    <x v="86"/>
    <x v="9"/>
    <x v="257"/>
    <x v="0"/>
    <x v="319"/>
    <x v="2229"/>
  </r>
  <r>
    <x v="1"/>
    <n v="130"/>
    <x v="86"/>
    <x v="0"/>
    <s v="CM"/>
    <s v="N"/>
    <x v="78"/>
    <x v="2"/>
    <x v="497"/>
    <m/>
    <x v="302"/>
    <m/>
    <x v="9"/>
    <x v="0"/>
    <x v="345"/>
    <d v="2012-06-25T00:00:00"/>
    <x v="7"/>
    <x v="1"/>
    <s v="Unsentimental Journeys"/>
    <m/>
    <x v="0"/>
    <x v="0"/>
    <m/>
    <x v="0"/>
    <x v="0"/>
    <x v="86"/>
    <x v="9"/>
    <x v="0"/>
    <x v="0"/>
    <x v="345"/>
    <x v="2230"/>
  </r>
  <r>
    <x v="1"/>
    <n v="130"/>
    <x v="86"/>
    <x v="0"/>
    <s v="CM"/>
    <s v="N"/>
    <x v="78"/>
    <x v="2"/>
    <x v="448"/>
    <m/>
    <x v="59"/>
    <m/>
    <x v="3"/>
    <x v="0"/>
    <x v="289"/>
    <d v="2012-12-02T00:00:00"/>
    <x v="11"/>
    <x v="1"/>
    <s v="Competição Nacional"/>
    <m/>
    <x v="0"/>
    <x v="0"/>
    <m/>
    <x v="0"/>
    <x v="0"/>
    <x v="86"/>
    <x v="3"/>
    <x v="0"/>
    <x v="1"/>
    <x v="289"/>
    <x v="2231"/>
  </r>
  <r>
    <x v="1"/>
    <n v="131"/>
    <x v="87"/>
    <x v="0"/>
    <s v="LM"/>
    <s v="S"/>
    <x v="79"/>
    <x v="3"/>
    <x v="90"/>
    <m/>
    <x v="69"/>
    <m/>
    <x v="8"/>
    <x v="0"/>
    <x v="271"/>
    <d v="2012-02-05T00:00:00"/>
    <x v="18"/>
    <x v="0"/>
    <m/>
    <s v="Spectrum"/>
    <x v="0"/>
    <x v="0"/>
    <m/>
    <x v="0"/>
    <x v="5"/>
    <x v="87"/>
    <x v="8"/>
    <x v="0"/>
    <x v="0"/>
    <x v="271"/>
    <x v="2232"/>
  </r>
  <r>
    <x v="1"/>
    <n v="131"/>
    <x v="87"/>
    <x v="0"/>
    <s v="LM"/>
    <s v="S"/>
    <x v="79"/>
    <x v="3"/>
    <x v="42"/>
    <m/>
    <x v="39"/>
    <m/>
    <x v="3"/>
    <x v="0"/>
    <x v="346"/>
    <m/>
    <x v="6"/>
    <x v="0"/>
    <m/>
    <m/>
    <x v="0"/>
    <x v="1"/>
    <m/>
    <x v="0"/>
    <x v="5"/>
    <x v="87"/>
    <x v="3"/>
    <x v="0"/>
    <x v="1"/>
    <x v="346"/>
    <x v="2233"/>
  </r>
  <r>
    <x v="1"/>
    <n v="131"/>
    <x v="87"/>
    <x v="0"/>
    <s v="LM"/>
    <s v="S"/>
    <x v="79"/>
    <x v="3"/>
    <x v="268"/>
    <m/>
    <x v="0"/>
    <m/>
    <x v="0"/>
    <x v="0"/>
    <x v="309"/>
    <d v="2012-06-24T00:00:00"/>
    <x v="7"/>
    <x v="1"/>
    <s v="Mostra Competitiva Longas de ficção"/>
    <m/>
    <x v="222"/>
    <x v="0"/>
    <m/>
    <x v="1"/>
    <x v="5"/>
    <x v="87"/>
    <x v="0"/>
    <x v="258"/>
    <x v="0"/>
    <x v="309"/>
    <x v="2234"/>
  </r>
  <r>
    <x v="1"/>
    <n v="131"/>
    <x v="87"/>
    <x v="0"/>
    <s v="LM"/>
    <s v="S"/>
    <x v="79"/>
    <x v="3"/>
    <x v="498"/>
    <m/>
    <x v="303"/>
    <m/>
    <x v="17"/>
    <x v="0"/>
    <x v="306"/>
    <d v="2012-07-01T00:00:00"/>
    <x v="17"/>
    <x v="1"/>
    <s v="International Competition"/>
    <m/>
    <x v="0"/>
    <x v="0"/>
    <m/>
    <x v="0"/>
    <x v="5"/>
    <x v="87"/>
    <x v="17"/>
    <x v="0"/>
    <x v="0"/>
    <x v="306"/>
    <x v="2235"/>
  </r>
  <r>
    <x v="1"/>
    <n v="131"/>
    <x v="87"/>
    <x v="0"/>
    <s v="LM"/>
    <s v="S"/>
    <x v="79"/>
    <x v="3"/>
    <x v="499"/>
    <m/>
    <x v="158"/>
    <m/>
    <x v="5"/>
    <x v="0"/>
    <x v="347"/>
    <d v="2012-07-06T00:00:00"/>
    <x v="17"/>
    <x v="0"/>
    <m/>
    <s v="International Independents"/>
    <x v="0"/>
    <x v="0"/>
    <m/>
    <x v="0"/>
    <x v="5"/>
    <x v="87"/>
    <x v="5"/>
    <x v="0"/>
    <x v="0"/>
    <x v="347"/>
    <x v="2236"/>
  </r>
  <r>
    <x v="1"/>
    <n v="131"/>
    <x v="87"/>
    <x v="0"/>
    <s v="LM"/>
    <s v="S"/>
    <x v="79"/>
    <x v="3"/>
    <x v="149"/>
    <m/>
    <x v="114"/>
    <m/>
    <x v="35"/>
    <x v="0"/>
    <x v="339"/>
    <d v="2012-11-07T00:00:00"/>
    <x v="0"/>
    <x v="0"/>
    <m/>
    <s v="Spielfilme"/>
    <x v="0"/>
    <x v="0"/>
    <m/>
    <x v="0"/>
    <x v="5"/>
    <x v="87"/>
    <x v="35"/>
    <x v="0"/>
    <x v="0"/>
    <x v="339"/>
    <x v="2237"/>
  </r>
  <r>
    <x v="1"/>
    <n v="131"/>
    <x v="87"/>
    <x v="0"/>
    <s v="LM"/>
    <s v="S"/>
    <x v="79"/>
    <x v="3"/>
    <x v="22"/>
    <m/>
    <x v="22"/>
    <m/>
    <x v="3"/>
    <x v="0"/>
    <x v="251"/>
    <d v="2012-11-18T00:00:00"/>
    <x v="13"/>
    <x v="1"/>
    <s v="Secção Competitiva"/>
    <m/>
    <x v="223"/>
    <x v="0"/>
    <m/>
    <x v="1"/>
    <x v="5"/>
    <x v="87"/>
    <x v="3"/>
    <x v="259"/>
    <x v="1"/>
    <x v="251"/>
    <x v="2238"/>
  </r>
  <r>
    <x v="1"/>
    <n v="1300"/>
    <x v="963"/>
    <x v="0"/>
    <s v="CM"/>
    <s v="N"/>
    <x v="651"/>
    <x v="2"/>
    <x v="445"/>
    <m/>
    <x v="284"/>
    <m/>
    <x v="3"/>
    <x v="0"/>
    <x v="286"/>
    <d v="2012-09-08T00:00:00"/>
    <x v="9"/>
    <x v="1"/>
    <m/>
    <m/>
    <x v="0"/>
    <x v="0"/>
    <m/>
    <x v="0"/>
    <x v="0"/>
    <x v="967"/>
    <x v="3"/>
    <x v="0"/>
    <x v="1"/>
    <x v="286"/>
    <x v="2239"/>
  </r>
  <r>
    <x v="1"/>
    <n v="132"/>
    <x v="964"/>
    <x v="1"/>
    <s v="CM"/>
    <s v="S"/>
    <x v="256"/>
    <x v="1"/>
    <x v="500"/>
    <m/>
    <x v="24"/>
    <m/>
    <x v="3"/>
    <x v="0"/>
    <x v="348"/>
    <d v="2012-03-11T00:00:00"/>
    <x v="2"/>
    <x v="0"/>
    <m/>
    <m/>
    <x v="0"/>
    <x v="1"/>
    <m/>
    <x v="0"/>
    <x v="2"/>
    <x v="968"/>
    <x v="3"/>
    <x v="0"/>
    <x v="1"/>
    <x v="348"/>
    <x v="2240"/>
  </r>
  <r>
    <x v="1"/>
    <n v="132"/>
    <x v="964"/>
    <x v="1"/>
    <s v="CM"/>
    <s v="S"/>
    <x v="256"/>
    <x v="1"/>
    <x v="146"/>
    <m/>
    <x v="24"/>
    <m/>
    <x v="3"/>
    <x v="0"/>
    <x v="281"/>
    <d v="2012-05-06T00:00:00"/>
    <x v="4"/>
    <x v="0"/>
    <m/>
    <s v="Sessões Especiais"/>
    <x v="224"/>
    <x v="0"/>
    <m/>
    <x v="1"/>
    <x v="2"/>
    <x v="968"/>
    <x v="3"/>
    <x v="260"/>
    <x v="1"/>
    <x v="281"/>
    <x v="2241"/>
  </r>
  <r>
    <x v="1"/>
    <n v="132"/>
    <x v="964"/>
    <x v="1"/>
    <s v="CM"/>
    <s v="S"/>
    <x v="256"/>
    <x v="1"/>
    <x v="22"/>
    <m/>
    <x v="22"/>
    <m/>
    <x v="3"/>
    <x v="0"/>
    <x v="251"/>
    <d v="2012-11-18T00:00:00"/>
    <x v="13"/>
    <x v="1"/>
    <s v="Secção Competitiva"/>
    <m/>
    <x v="0"/>
    <x v="0"/>
    <m/>
    <x v="0"/>
    <x v="2"/>
    <x v="968"/>
    <x v="3"/>
    <x v="0"/>
    <x v="1"/>
    <x v="251"/>
    <x v="2242"/>
  </r>
  <r>
    <x v="1"/>
    <n v="132"/>
    <x v="964"/>
    <x v="1"/>
    <s v="CM"/>
    <s v="S"/>
    <x v="256"/>
    <x v="1"/>
    <x v="46"/>
    <m/>
    <x v="24"/>
    <m/>
    <x v="3"/>
    <x v="0"/>
    <x v="231"/>
    <d v="2012-12-11T00:00:00"/>
    <x v="12"/>
    <x v="1"/>
    <s v="Prémio de Cinema para Filmes sobre Arte"/>
    <m/>
    <x v="7"/>
    <x v="0"/>
    <m/>
    <x v="1"/>
    <x v="2"/>
    <x v="968"/>
    <x v="3"/>
    <x v="22"/>
    <x v="1"/>
    <x v="231"/>
    <x v="2243"/>
  </r>
  <r>
    <x v="1"/>
    <n v="133"/>
    <x v="965"/>
    <x v="1"/>
    <s v="CM"/>
    <s v="N"/>
    <x v="652"/>
    <x v="2"/>
    <x v="178"/>
    <m/>
    <x v="25"/>
    <m/>
    <x v="3"/>
    <x v="0"/>
    <x v="293"/>
    <d v="2012-07-08T00:00:00"/>
    <x v="8"/>
    <x v="0"/>
    <m/>
    <s v="Mostra Surf Wave: Sessão II"/>
    <x v="0"/>
    <x v="0"/>
    <m/>
    <x v="0"/>
    <x v="2"/>
    <x v="969"/>
    <x v="3"/>
    <x v="0"/>
    <x v="1"/>
    <x v="293"/>
    <x v="2244"/>
  </r>
  <r>
    <x v="1"/>
    <n v="1376"/>
    <x v="966"/>
    <x v="1"/>
    <s v="CM"/>
    <s v="N"/>
    <x v="653"/>
    <x v="2"/>
    <x v="410"/>
    <m/>
    <x v="267"/>
    <m/>
    <x v="3"/>
    <x v="0"/>
    <x v="240"/>
    <m/>
    <x v="14"/>
    <x v="1"/>
    <s v="Competição Nacional"/>
    <m/>
    <x v="47"/>
    <x v="0"/>
    <m/>
    <x v="1"/>
    <x v="2"/>
    <x v="970"/>
    <x v="3"/>
    <x v="261"/>
    <x v="1"/>
    <x v="240"/>
    <x v="2245"/>
  </r>
  <r>
    <x v="1"/>
    <n v="1281"/>
    <x v="967"/>
    <x v="1"/>
    <s v="CM"/>
    <s v=""/>
    <x v="654"/>
    <x v="2"/>
    <x v="192"/>
    <m/>
    <x v="140"/>
    <m/>
    <x v="3"/>
    <x v="0"/>
    <x v="250"/>
    <d v="2012-07-29T00:00:00"/>
    <x v="8"/>
    <x v="1"/>
    <s v="Competição AVANCA"/>
    <m/>
    <x v="0"/>
    <x v="0"/>
    <m/>
    <x v="0"/>
    <x v="2"/>
    <x v="971"/>
    <x v="3"/>
    <x v="0"/>
    <x v="1"/>
    <x v="250"/>
    <x v="2246"/>
  </r>
  <r>
    <x v="1"/>
    <n v="135"/>
    <x v="89"/>
    <x v="2"/>
    <s v="CM"/>
    <s v="N"/>
    <x v="73"/>
    <x v="2"/>
    <x v="427"/>
    <m/>
    <x v="275"/>
    <m/>
    <x v="65"/>
    <x v="0"/>
    <x v="259"/>
    <d v="2012-03-11T00:00:00"/>
    <x v="2"/>
    <x v="0"/>
    <m/>
    <s v="Portugal2"/>
    <x v="0"/>
    <x v="0"/>
    <m/>
    <x v="0"/>
    <x v="4"/>
    <x v="89"/>
    <x v="65"/>
    <x v="0"/>
    <x v="0"/>
    <x v="259"/>
    <x v="2247"/>
  </r>
  <r>
    <x v="1"/>
    <n v="135"/>
    <x v="89"/>
    <x v="2"/>
    <s v="CM"/>
    <s v="N"/>
    <x v="73"/>
    <x v="2"/>
    <x v="200"/>
    <m/>
    <x v="145"/>
    <m/>
    <x v="2"/>
    <x v="0"/>
    <x v="332"/>
    <d v="2012-03-25T00:00:00"/>
    <x v="2"/>
    <x v="0"/>
    <m/>
    <s v="Panorama Animation Portugaise"/>
    <x v="0"/>
    <x v="0"/>
    <m/>
    <x v="0"/>
    <x v="4"/>
    <x v="89"/>
    <x v="2"/>
    <x v="0"/>
    <x v="0"/>
    <x v="332"/>
    <x v="2248"/>
  </r>
  <r>
    <x v="1"/>
    <n v="1593"/>
    <x v="968"/>
    <x v="1"/>
    <s v="CM"/>
    <s v="N"/>
    <x v="456"/>
    <x v="41"/>
    <x v="501"/>
    <m/>
    <x v="11"/>
    <m/>
    <x v="3"/>
    <x v="0"/>
    <x v="312"/>
    <d v="2012-09-30T00:00:00"/>
    <x v="9"/>
    <x v="0"/>
    <m/>
    <m/>
    <x v="0"/>
    <x v="0"/>
    <m/>
    <x v="0"/>
    <x v="2"/>
    <x v="972"/>
    <x v="3"/>
    <x v="0"/>
    <x v="1"/>
    <x v="312"/>
    <x v="2249"/>
  </r>
  <r>
    <x v="1"/>
    <n v="1304"/>
    <x v="969"/>
    <x v="0"/>
    <s v="CM"/>
    <s v="N"/>
    <x v="655"/>
    <x v="41"/>
    <x v="48"/>
    <m/>
    <x v="24"/>
    <m/>
    <x v="3"/>
    <x v="0"/>
    <x v="276"/>
    <d v="2012-09-16T00:00:00"/>
    <x v="9"/>
    <x v="1"/>
    <s v="Prémio Motelx - Melhor Curta de Terror Portuguesa"/>
    <m/>
    <x v="0"/>
    <x v="0"/>
    <m/>
    <x v="0"/>
    <x v="0"/>
    <x v="973"/>
    <x v="3"/>
    <x v="0"/>
    <x v="1"/>
    <x v="276"/>
    <x v="2250"/>
  </r>
  <r>
    <x v="1"/>
    <n v="1304"/>
    <x v="969"/>
    <x v="0"/>
    <s v="CM"/>
    <s v="N"/>
    <x v="655"/>
    <x v="41"/>
    <x v="70"/>
    <m/>
    <x v="38"/>
    <m/>
    <x v="3"/>
    <x v="0"/>
    <x v="349"/>
    <d v="2012-09-16T00:00:00"/>
    <x v="9"/>
    <x v="1"/>
    <m/>
    <m/>
    <x v="0"/>
    <x v="0"/>
    <m/>
    <x v="0"/>
    <x v="0"/>
    <x v="973"/>
    <x v="3"/>
    <x v="0"/>
    <x v="1"/>
    <x v="349"/>
    <x v="2251"/>
  </r>
  <r>
    <x v="1"/>
    <n v="1304"/>
    <x v="969"/>
    <x v="0"/>
    <s v="CM"/>
    <s v="N"/>
    <x v="655"/>
    <x v="41"/>
    <x v="502"/>
    <m/>
    <x v="24"/>
    <m/>
    <x v="3"/>
    <x v="0"/>
    <x v="350"/>
    <m/>
    <x v="14"/>
    <x v="1"/>
    <m/>
    <m/>
    <x v="0"/>
    <x v="1"/>
    <m/>
    <x v="0"/>
    <x v="0"/>
    <x v="973"/>
    <x v="3"/>
    <x v="0"/>
    <x v="1"/>
    <x v="350"/>
    <x v="2252"/>
  </r>
  <r>
    <x v="1"/>
    <n v="1304"/>
    <x v="969"/>
    <x v="0"/>
    <s v="CM"/>
    <s v="N"/>
    <x v="655"/>
    <x v="41"/>
    <x v="439"/>
    <m/>
    <x v="281"/>
    <m/>
    <x v="3"/>
    <x v="0"/>
    <x v="277"/>
    <d v="2012-11-03T00:00:00"/>
    <x v="0"/>
    <x v="0"/>
    <m/>
    <m/>
    <x v="0"/>
    <x v="0"/>
    <m/>
    <x v="0"/>
    <x v="0"/>
    <x v="973"/>
    <x v="3"/>
    <x v="0"/>
    <x v="1"/>
    <x v="277"/>
    <x v="2253"/>
  </r>
  <r>
    <x v="1"/>
    <n v="1304"/>
    <x v="969"/>
    <x v="0"/>
    <s v="CM"/>
    <s v="N"/>
    <x v="655"/>
    <x v="41"/>
    <x v="503"/>
    <m/>
    <x v="304"/>
    <m/>
    <x v="60"/>
    <x v="0"/>
    <x v="267"/>
    <d v="2012-11-18T00:00:00"/>
    <x v="13"/>
    <x v="1"/>
    <s v="Cortometrajes Extranjeros: Ciclos de Vida y Muerte 1"/>
    <m/>
    <x v="0"/>
    <x v="0"/>
    <m/>
    <x v="0"/>
    <x v="0"/>
    <x v="973"/>
    <x v="60"/>
    <x v="0"/>
    <x v="0"/>
    <x v="267"/>
    <x v="2254"/>
  </r>
  <r>
    <x v="1"/>
    <n v="1304"/>
    <x v="969"/>
    <x v="0"/>
    <s v="CM"/>
    <s v="N"/>
    <x v="655"/>
    <x v="41"/>
    <x v="504"/>
    <m/>
    <x v="23"/>
    <m/>
    <x v="3"/>
    <x v="0"/>
    <x v="351"/>
    <m/>
    <x v="12"/>
    <x v="1"/>
    <m/>
    <m/>
    <x v="0"/>
    <x v="1"/>
    <m/>
    <x v="0"/>
    <x v="0"/>
    <x v="973"/>
    <x v="3"/>
    <x v="0"/>
    <x v="1"/>
    <x v="351"/>
    <x v="2255"/>
  </r>
  <r>
    <x v="1"/>
    <n v="136"/>
    <x v="970"/>
    <x v="0"/>
    <s v="CM"/>
    <s v=""/>
    <x v="656"/>
    <x v="2"/>
    <x v="403"/>
    <m/>
    <x v="263"/>
    <m/>
    <x v="2"/>
    <x v="0"/>
    <x v="232"/>
    <d v="2012-04-15T00:00:00"/>
    <x v="5"/>
    <x v="0"/>
    <m/>
    <s v="Rétrospectives et Thématiques - Jeune Cinéma Portugais"/>
    <x v="0"/>
    <x v="0"/>
    <m/>
    <x v="0"/>
    <x v="0"/>
    <x v="974"/>
    <x v="2"/>
    <x v="0"/>
    <x v="0"/>
    <x v="232"/>
    <x v="2256"/>
  </r>
  <r>
    <x v="1"/>
    <n v="137"/>
    <x v="90"/>
    <x v="0"/>
    <s v="LM"/>
    <s v="N"/>
    <x v="20"/>
    <x v="14"/>
    <x v="505"/>
    <m/>
    <x v="17"/>
    <m/>
    <x v="2"/>
    <x v="0"/>
    <x v="286"/>
    <d v="2012-10-22T00:00:00"/>
    <x v="10"/>
    <x v="0"/>
    <m/>
    <m/>
    <x v="0"/>
    <x v="1"/>
    <m/>
    <x v="0"/>
    <x v="5"/>
    <x v="90"/>
    <x v="2"/>
    <x v="0"/>
    <x v="0"/>
    <x v="286"/>
    <x v="2257"/>
  </r>
  <r>
    <x v="1"/>
    <n v="1293"/>
    <x v="971"/>
    <x v="3"/>
    <s v="CM"/>
    <s v="N"/>
    <x v="657"/>
    <x v="2"/>
    <x v="445"/>
    <m/>
    <x v="284"/>
    <m/>
    <x v="3"/>
    <x v="0"/>
    <x v="286"/>
    <d v="2012-09-08T00:00:00"/>
    <x v="9"/>
    <x v="1"/>
    <m/>
    <m/>
    <x v="0"/>
    <x v="0"/>
    <m/>
    <x v="0"/>
    <x v="6"/>
    <x v="975"/>
    <x v="3"/>
    <x v="0"/>
    <x v="1"/>
    <x v="286"/>
    <x v="2258"/>
  </r>
  <r>
    <x v="1"/>
    <n v="139"/>
    <x v="972"/>
    <x v="3"/>
    <s v="CM"/>
    <s v="N"/>
    <x v="151"/>
    <x v="41"/>
    <x v="42"/>
    <m/>
    <x v="39"/>
    <m/>
    <x v="3"/>
    <x v="0"/>
    <x v="300"/>
    <m/>
    <x v="1"/>
    <x v="0"/>
    <m/>
    <m/>
    <x v="0"/>
    <x v="1"/>
    <m/>
    <x v="0"/>
    <x v="6"/>
    <x v="976"/>
    <x v="3"/>
    <x v="0"/>
    <x v="1"/>
    <x v="300"/>
    <x v="2259"/>
  </r>
  <r>
    <x v="1"/>
    <n v="139"/>
    <x v="972"/>
    <x v="3"/>
    <s v="CM"/>
    <s v="N"/>
    <x v="151"/>
    <x v="41"/>
    <x v="67"/>
    <m/>
    <x v="23"/>
    <m/>
    <x v="3"/>
    <x v="0"/>
    <x v="264"/>
    <d v="2012-06-17T00:00:00"/>
    <x v="7"/>
    <x v="1"/>
    <s v="Curtas Documentários"/>
    <m/>
    <x v="7"/>
    <x v="0"/>
    <m/>
    <x v="1"/>
    <x v="6"/>
    <x v="976"/>
    <x v="3"/>
    <x v="262"/>
    <x v="1"/>
    <x v="264"/>
    <x v="2260"/>
  </r>
  <r>
    <x v="1"/>
    <n v="139"/>
    <x v="972"/>
    <x v="3"/>
    <s v="CM"/>
    <s v="N"/>
    <x v="151"/>
    <x v="41"/>
    <x v="434"/>
    <m/>
    <x v="279"/>
    <m/>
    <x v="3"/>
    <x v="0"/>
    <x v="266"/>
    <d v="2012-09-30T00:00:00"/>
    <x v="9"/>
    <x v="1"/>
    <s v="Competição Regional"/>
    <m/>
    <x v="225"/>
    <x v="0"/>
    <m/>
    <x v="1"/>
    <x v="6"/>
    <x v="976"/>
    <x v="3"/>
    <x v="263"/>
    <x v="1"/>
    <x v="266"/>
    <x v="2261"/>
  </r>
  <r>
    <x v="1"/>
    <n v="140"/>
    <x v="973"/>
    <x v="0"/>
    <s v="LM"/>
    <s v="S"/>
    <x v="430"/>
    <x v="2"/>
    <x v="506"/>
    <m/>
    <x v="24"/>
    <m/>
    <x v="3"/>
    <x v="0"/>
    <x v="270"/>
    <m/>
    <x v="1"/>
    <x v="0"/>
    <m/>
    <m/>
    <x v="0"/>
    <x v="1"/>
    <m/>
    <x v="0"/>
    <x v="5"/>
    <x v="977"/>
    <x v="3"/>
    <x v="0"/>
    <x v="1"/>
    <x v="270"/>
    <x v="2262"/>
  </r>
  <r>
    <x v="1"/>
    <n v="141"/>
    <x v="92"/>
    <x v="2"/>
    <s v="CM"/>
    <s v="N"/>
    <x v="82"/>
    <x v="5"/>
    <x v="62"/>
    <m/>
    <x v="23"/>
    <m/>
    <x v="3"/>
    <x v="0"/>
    <x v="302"/>
    <d v="2012-03-04T00:00:00"/>
    <x v="19"/>
    <x v="0"/>
    <m/>
    <s v="Panorama do Cinema Português - Agência da Curta Metragem"/>
    <x v="0"/>
    <x v="0"/>
    <m/>
    <x v="0"/>
    <x v="4"/>
    <x v="92"/>
    <x v="3"/>
    <x v="0"/>
    <x v="1"/>
    <x v="302"/>
    <x v="2263"/>
  </r>
  <r>
    <x v="1"/>
    <n v="141"/>
    <x v="92"/>
    <x v="2"/>
    <s v="CM"/>
    <s v="N"/>
    <x v="82"/>
    <x v="5"/>
    <x v="26"/>
    <m/>
    <x v="24"/>
    <m/>
    <x v="3"/>
    <x v="0"/>
    <x v="268"/>
    <d v="2012-03-25T00:00:00"/>
    <x v="2"/>
    <x v="1"/>
    <s v="Competição Internacional 5"/>
    <m/>
    <x v="0"/>
    <x v="0"/>
    <m/>
    <x v="0"/>
    <x v="4"/>
    <x v="92"/>
    <x v="3"/>
    <x v="0"/>
    <x v="1"/>
    <x v="268"/>
    <x v="2264"/>
  </r>
  <r>
    <x v="1"/>
    <n v="141"/>
    <x v="92"/>
    <x v="2"/>
    <s v="CM"/>
    <s v="N"/>
    <x v="82"/>
    <x v="5"/>
    <x v="507"/>
    <m/>
    <x v="305"/>
    <m/>
    <x v="15"/>
    <x v="0"/>
    <x v="323"/>
    <d v="2012-03-25T00:00:00"/>
    <x v="2"/>
    <x v="1"/>
    <s v="Cortometraggi"/>
    <m/>
    <x v="0"/>
    <x v="0"/>
    <m/>
    <x v="0"/>
    <x v="4"/>
    <x v="92"/>
    <x v="15"/>
    <x v="0"/>
    <x v="0"/>
    <x v="323"/>
    <x v="2265"/>
  </r>
  <r>
    <x v="1"/>
    <n v="141"/>
    <x v="92"/>
    <x v="2"/>
    <s v="CM"/>
    <s v="N"/>
    <x v="82"/>
    <x v="5"/>
    <x v="488"/>
    <m/>
    <x v="296"/>
    <m/>
    <x v="1"/>
    <x v="0"/>
    <x v="329"/>
    <d v="2012-04-14T00:00:00"/>
    <x v="5"/>
    <x v="1"/>
    <s v="Competición de Cortometrajes educativos"/>
    <m/>
    <x v="0"/>
    <x v="0"/>
    <m/>
    <x v="0"/>
    <x v="4"/>
    <x v="92"/>
    <x v="1"/>
    <x v="0"/>
    <x v="0"/>
    <x v="329"/>
    <x v="2266"/>
  </r>
  <r>
    <x v="1"/>
    <n v="141"/>
    <x v="92"/>
    <x v="2"/>
    <s v="CM"/>
    <s v="N"/>
    <x v="82"/>
    <x v="5"/>
    <x v="165"/>
    <m/>
    <x v="65"/>
    <m/>
    <x v="9"/>
    <x v="0"/>
    <x v="286"/>
    <m/>
    <x v="9"/>
    <x v="0"/>
    <m/>
    <m/>
    <x v="0"/>
    <x v="1"/>
    <m/>
    <x v="0"/>
    <x v="4"/>
    <x v="92"/>
    <x v="9"/>
    <x v="0"/>
    <x v="0"/>
    <x v="286"/>
    <x v="2267"/>
  </r>
  <r>
    <x v="1"/>
    <n v="141"/>
    <x v="92"/>
    <x v="2"/>
    <s v="CM"/>
    <s v="N"/>
    <x v="82"/>
    <x v="5"/>
    <x v="22"/>
    <m/>
    <x v="22"/>
    <m/>
    <x v="3"/>
    <x v="0"/>
    <x v="251"/>
    <d v="2012-11-18T00:00:00"/>
    <x v="13"/>
    <x v="0"/>
    <m/>
    <s v="Caminhos Juniores"/>
    <x v="0"/>
    <x v="0"/>
    <m/>
    <x v="0"/>
    <x v="4"/>
    <x v="92"/>
    <x v="3"/>
    <x v="0"/>
    <x v="1"/>
    <x v="251"/>
    <x v="2268"/>
  </r>
  <r>
    <x v="1"/>
    <n v="145"/>
    <x v="96"/>
    <x v="1"/>
    <s v="CM"/>
    <s v="N"/>
    <x v="85"/>
    <x v="2"/>
    <x v="81"/>
    <m/>
    <x v="61"/>
    <m/>
    <x v="2"/>
    <x v="0"/>
    <x v="352"/>
    <d v="2012-02-04T00:00:00"/>
    <x v="18"/>
    <x v="1"/>
    <s v="Compétition Internationale"/>
    <m/>
    <x v="0"/>
    <x v="0"/>
    <m/>
    <x v="0"/>
    <x v="2"/>
    <x v="96"/>
    <x v="2"/>
    <x v="0"/>
    <x v="0"/>
    <x v="352"/>
    <x v="2269"/>
  </r>
  <r>
    <x v="1"/>
    <n v="145"/>
    <x v="96"/>
    <x v="1"/>
    <s v="CM"/>
    <s v="N"/>
    <x v="85"/>
    <x v="2"/>
    <x v="508"/>
    <m/>
    <x v="27"/>
    <m/>
    <x v="7"/>
    <x v="0"/>
    <x v="353"/>
    <d v="2012-03-18T00:00:00"/>
    <x v="2"/>
    <x v="1"/>
    <s v="Sélection Oficielle - Programme 10"/>
    <m/>
    <x v="0"/>
    <x v="0"/>
    <m/>
    <x v="0"/>
    <x v="2"/>
    <x v="96"/>
    <x v="7"/>
    <x v="0"/>
    <x v="0"/>
    <x v="353"/>
    <x v="2270"/>
  </r>
  <r>
    <x v="1"/>
    <n v="145"/>
    <x v="96"/>
    <x v="1"/>
    <s v="CM"/>
    <s v="N"/>
    <x v="85"/>
    <x v="2"/>
    <x v="509"/>
    <m/>
    <x v="174"/>
    <m/>
    <x v="1"/>
    <x v="0"/>
    <x v="319"/>
    <d v="2012-04-29T00:00:00"/>
    <x v="5"/>
    <x v="1"/>
    <s v="Sección Documental 4"/>
    <m/>
    <x v="0"/>
    <x v="0"/>
    <m/>
    <x v="0"/>
    <x v="2"/>
    <x v="96"/>
    <x v="1"/>
    <x v="0"/>
    <x v="0"/>
    <x v="319"/>
    <x v="2271"/>
  </r>
  <r>
    <x v="1"/>
    <n v="145"/>
    <x v="96"/>
    <x v="1"/>
    <s v="CM"/>
    <s v="N"/>
    <x v="85"/>
    <x v="2"/>
    <x v="377"/>
    <m/>
    <x v="16"/>
    <m/>
    <x v="1"/>
    <x v="0"/>
    <x v="324"/>
    <d v="2012-05-13T00:00:00"/>
    <x v="6"/>
    <x v="1"/>
    <s v="Competición internacional - Cortometraje "/>
    <m/>
    <x v="226"/>
    <x v="0"/>
    <m/>
    <x v="1"/>
    <x v="2"/>
    <x v="96"/>
    <x v="1"/>
    <x v="264"/>
    <x v="0"/>
    <x v="324"/>
    <x v="2272"/>
  </r>
  <r>
    <x v="1"/>
    <n v="145"/>
    <x v="96"/>
    <x v="1"/>
    <s v="CM"/>
    <s v="N"/>
    <x v="85"/>
    <x v="2"/>
    <x v="178"/>
    <m/>
    <x v="25"/>
    <m/>
    <x v="3"/>
    <x v="0"/>
    <x v="293"/>
    <d v="2012-07-08T00:00:00"/>
    <x v="8"/>
    <x v="0"/>
    <m/>
    <s v="Panorama Light&amp;Sound - Shortcutz"/>
    <x v="0"/>
    <x v="0"/>
    <m/>
    <x v="0"/>
    <x v="2"/>
    <x v="96"/>
    <x v="3"/>
    <x v="0"/>
    <x v="1"/>
    <x v="293"/>
    <x v="2273"/>
  </r>
  <r>
    <x v="1"/>
    <n v="145"/>
    <x v="96"/>
    <x v="1"/>
    <s v="CM"/>
    <s v="N"/>
    <x v="85"/>
    <x v="2"/>
    <x v="510"/>
    <m/>
    <x v="133"/>
    <m/>
    <x v="0"/>
    <x v="0"/>
    <x v="199"/>
    <d v="2012-08-31T00:00:00"/>
    <x v="16"/>
    <x v="0"/>
    <m/>
    <s v="Mostra Internacional 4"/>
    <x v="0"/>
    <x v="0"/>
    <m/>
    <x v="0"/>
    <x v="2"/>
    <x v="96"/>
    <x v="0"/>
    <x v="0"/>
    <x v="0"/>
    <x v="199"/>
    <x v="2274"/>
  </r>
  <r>
    <x v="1"/>
    <n v="145"/>
    <x v="96"/>
    <x v="1"/>
    <s v="CM"/>
    <s v="N"/>
    <x v="85"/>
    <x v="2"/>
    <x v="58"/>
    <m/>
    <x v="47"/>
    <m/>
    <x v="3"/>
    <x v="0"/>
    <x v="118"/>
    <d v="2012-09-09T00:00:00"/>
    <x v="9"/>
    <x v="0"/>
    <m/>
    <m/>
    <x v="0"/>
    <x v="1"/>
    <m/>
    <x v="0"/>
    <x v="2"/>
    <x v="96"/>
    <x v="3"/>
    <x v="0"/>
    <x v="1"/>
    <x v="118"/>
    <x v="2275"/>
  </r>
  <r>
    <x v="1"/>
    <n v="145"/>
    <x v="96"/>
    <x v="1"/>
    <s v="CM"/>
    <s v="N"/>
    <x v="85"/>
    <x v="2"/>
    <x v="511"/>
    <m/>
    <x v="306"/>
    <m/>
    <x v="2"/>
    <x v="0"/>
    <x v="308"/>
    <d v="2012-10-21T00:00:00"/>
    <x v="14"/>
    <x v="1"/>
    <s v="Compétition Documentaire 1"/>
    <m/>
    <x v="0"/>
    <x v="1"/>
    <m/>
    <x v="0"/>
    <x v="2"/>
    <x v="96"/>
    <x v="2"/>
    <x v="0"/>
    <x v="0"/>
    <x v="308"/>
    <x v="2276"/>
  </r>
  <r>
    <x v="1"/>
    <n v="145"/>
    <x v="96"/>
    <x v="1"/>
    <s v="CM"/>
    <s v="N"/>
    <x v="85"/>
    <x v="2"/>
    <x v="512"/>
    <m/>
    <x v="307"/>
    <m/>
    <x v="1"/>
    <x v="0"/>
    <x v="354"/>
    <d v="2012-11-25T00:00:00"/>
    <x v="13"/>
    <x v="1"/>
    <s v="Programa Internacional 27"/>
    <m/>
    <x v="0"/>
    <x v="0"/>
    <m/>
    <x v="0"/>
    <x v="2"/>
    <x v="96"/>
    <x v="1"/>
    <x v="0"/>
    <x v="0"/>
    <x v="354"/>
    <x v="2277"/>
  </r>
  <r>
    <x v="1"/>
    <n v="145"/>
    <x v="96"/>
    <x v="1"/>
    <s v="CM"/>
    <s v="N"/>
    <x v="85"/>
    <x v="2"/>
    <x v="309"/>
    <m/>
    <x v="174"/>
    <m/>
    <x v="1"/>
    <x v="0"/>
    <x v="326"/>
    <d v="2012-11-25T00:00:00"/>
    <x v="13"/>
    <x v="1"/>
    <s v="Cortos 2"/>
    <m/>
    <x v="0"/>
    <x v="0"/>
    <m/>
    <x v="0"/>
    <x v="2"/>
    <x v="96"/>
    <x v="1"/>
    <x v="0"/>
    <x v="0"/>
    <x v="326"/>
    <x v="2278"/>
  </r>
  <r>
    <x v="1"/>
    <n v="147"/>
    <x v="98"/>
    <x v="0"/>
    <s v="LM"/>
    <s v="S"/>
    <x v="87"/>
    <x v="2"/>
    <x v="4"/>
    <m/>
    <x v="4"/>
    <m/>
    <x v="2"/>
    <x v="0"/>
    <x v="355"/>
    <d v="2012-04-25T00:00:00"/>
    <x v="5"/>
    <x v="0"/>
    <m/>
    <m/>
    <x v="0"/>
    <x v="1"/>
    <m/>
    <x v="0"/>
    <x v="5"/>
    <x v="98"/>
    <x v="2"/>
    <x v="0"/>
    <x v="0"/>
    <x v="355"/>
    <x v="2279"/>
  </r>
  <r>
    <x v="1"/>
    <n v="1426"/>
    <x v="974"/>
    <x v="1"/>
    <s v="CM"/>
    <s v="N"/>
    <x v="658"/>
    <x v="41"/>
    <x v="25"/>
    <m/>
    <x v="24"/>
    <m/>
    <x v="3"/>
    <x v="0"/>
    <x v="294"/>
    <d v="2012-10-28T00:00:00"/>
    <x v="14"/>
    <x v="0"/>
    <m/>
    <s v="Verdes Anos"/>
    <x v="0"/>
    <x v="0"/>
    <m/>
    <x v="0"/>
    <x v="2"/>
    <x v="978"/>
    <x v="3"/>
    <x v="0"/>
    <x v="1"/>
    <x v="294"/>
    <x v="2280"/>
  </r>
  <r>
    <x v="1"/>
    <n v="150"/>
    <x v="101"/>
    <x v="1"/>
    <s v="LM"/>
    <s v="N"/>
    <x v="90"/>
    <x v="2"/>
    <x v="438"/>
    <m/>
    <x v="127"/>
    <m/>
    <x v="38"/>
    <x v="0"/>
    <x v="275"/>
    <d v="2012-06-14T00:00:00"/>
    <x v="22"/>
    <x v="0"/>
    <m/>
    <m/>
    <x v="0"/>
    <x v="1"/>
    <m/>
    <x v="0"/>
    <x v="1"/>
    <x v="101"/>
    <x v="38"/>
    <x v="0"/>
    <x v="0"/>
    <x v="275"/>
    <x v="2281"/>
  </r>
  <r>
    <x v="1"/>
    <n v="151"/>
    <x v="102"/>
    <x v="2"/>
    <s v="CM"/>
    <s v="N"/>
    <x v="92"/>
    <x v="2"/>
    <x v="26"/>
    <m/>
    <x v="24"/>
    <m/>
    <x v="3"/>
    <x v="0"/>
    <x v="268"/>
    <d v="2012-03-25T00:00:00"/>
    <x v="2"/>
    <x v="1"/>
    <s v="Curtíssimas"/>
    <m/>
    <x v="227"/>
    <x v="0"/>
    <m/>
    <x v="1"/>
    <x v="4"/>
    <x v="103"/>
    <x v="3"/>
    <x v="265"/>
    <x v="1"/>
    <x v="268"/>
    <x v="2282"/>
  </r>
  <r>
    <x v="1"/>
    <n v="151"/>
    <x v="102"/>
    <x v="2"/>
    <s v="CM"/>
    <s v="N"/>
    <x v="92"/>
    <x v="2"/>
    <x v="513"/>
    <m/>
    <x v="308"/>
    <m/>
    <x v="34"/>
    <x v="0"/>
    <x v="356"/>
    <d v="2012-08-19T00:00:00"/>
    <x v="16"/>
    <x v="1"/>
    <s v="Wettbewerb 3: Animationsfilm"/>
    <m/>
    <x v="0"/>
    <x v="0"/>
    <m/>
    <x v="0"/>
    <x v="4"/>
    <x v="103"/>
    <x v="34"/>
    <x v="0"/>
    <x v="0"/>
    <x v="356"/>
    <x v="2283"/>
  </r>
  <r>
    <x v="1"/>
    <n v="157"/>
    <x v="975"/>
    <x v="1"/>
    <s v="CM"/>
    <s v="N"/>
    <x v="659"/>
    <x v="2"/>
    <x v="514"/>
    <m/>
    <x v="99"/>
    <m/>
    <x v="3"/>
    <x v="0"/>
    <x v="241"/>
    <d v="2012-05-18T00:00:00"/>
    <x v="6"/>
    <x v="1"/>
    <s v="Prémio Primeiro Olhar"/>
    <m/>
    <x v="228"/>
    <x v="0"/>
    <m/>
    <x v="1"/>
    <x v="2"/>
    <x v="979"/>
    <x v="3"/>
    <x v="266"/>
    <x v="1"/>
    <x v="241"/>
    <x v="2284"/>
  </r>
  <r>
    <x v="1"/>
    <n v="158"/>
    <x v="976"/>
    <x v="1"/>
    <s v="LM"/>
    <s v="N"/>
    <x v="10"/>
    <x v="2"/>
    <x v="162"/>
    <m/>
    <x v="124"/>
    <m/>
    <x v="3"/>
    <x v="0"/>
    <x v="352"/>
    <m/>
    <x v="15"/>
    <x v="0"/>
    <m/>
    <m/>
    <x v="0"/>
    <x v="1"/>
    <m/>
    <x v="0"/>
    <x v="1"/>
    <x v="980"/>
    <x v="3"/>
    <x v="0"/>
    <x v="1"/>
    <x v="352"/>
    <x v="2285"/>
  </r>
  <r>
    <x v="1"/>
    <n v="160"/>
    <x v="108"/>
    <x v="0"/>
    <s v="CM"/>
    <s v="N"/>
    <x v="12"/>
    <x v="2"/>
    <x v="437"/>
    <m/>
    <x v="49"/>
    <m/>
    <x v="3"/>
    <x v="0"/>
    <x v="291"/>
    <m/>
    <x v="15"/>
    <x v="0"/>
    <m/>
    <m/>
    <x v="0"/>
    <x v="1"/>
    <m/>
    <x v="0"/>
    <x v="0"/>
    <x v="109"/>
    <x v="3"/>
    <x v="0"/>
    <x v="1"/>
    <x v="291"/>
    <x v="2286"/>
  </r>
  <r>
    <x v="1"/>
    <n v="161"/>
    <x v="977"/>
    <x v="0"/>
    <s v="LM"/>
    <s v="N"/>
    <x v="660"/>
    <x v="2"/>
    <x v="515"/>
    <m/>
    <x v="11"/>
    <m/>
    <x v="3"/>
    <x v="0"/>
    <x v="357"/>
    <m/>
    <x v="15"/>
    <x v="0"/>
    <m/>
    <m/>
    <x v="0"/>
    <x v="1"/>
    <m/>
    <x v="0"/>
    <x v="5"/>
    <x v="981"/>
    <x v="3"/>
    <x v="0"/>
    <x v="1"/>
    <x v="357"/>
    <x v="2287"/>
  </r>
  <r>
    <x v="1"/>
    <n v="161"/>
    <x v="977"/>
    <x v="0"/>
    <s v="LM"/>
    <s v="N"/>
    <x v="660"/>
    <x v="2"/>
    <x v="516"/>
    <m/>
    <x v="309"/>
    <m/>
    <x v="3"/>
    <x v="0"/>
    <x v="348"/>
    <m/>
    <x v="2"/>
    <x v="0"/>
    <m/>
    <m/>
    <x v="0"/>
    <x v="1"/>
    <m/>
    <x v="0"/>
    <x v="5"/>
    <x v="981"/>
    <x v="3"/>
    <x v="0"/>
    <x v="1"/>
    <x v="348"/>
    <x v="2288"/>
  </r>
  <r>
    <x v="1"/>
    <n v="161"/>
    <x v="977"/>
    <x v="0"/>
    <s v="LM"/>
    <s v="N"/>
    <x v="660"/>
    <x v="2"/>
    <x v="517"/>
    <m/>
    <x v="11"/>
    <m/>
    <x v="3"/>
    <x v="0"/>
    <x v="256"/>
    <m/>
    <x v="2"/>
    <x v="0"/>
    <m/>
    <m/>
    <x v="0"/>
    <x v="1"/>
    <m/>
    <x v="0"/>
    <x v="5"/>
    <x v="981"/>
    <x v="3"/>
    <x v="0"/>
    <x v="1"/>
    <x v="256"/>
    <x v="2289"/>
  </r>
  <r>
    <x v="1"/>
    <n v="161"/>
    <x v="977"/>
    <x v="0"/>
    <s v="LM"/>
    <s v="N"/>
    <x v="660"/>
    <x v="2"/>
    <x v="518"/>
    <m/>
    <x v="310"/>
    <m/>
    <x v="3"/>
    <x v="0"/>
    <x v="320"/>
    <m/>
    <x v="5"/>
    <x v="0"/>
    <m/>
    <m/>
    <x v="0"/>
    <x v="1"/>
    <m/>
    <x v="0"/>
    <x v="5"/>
    <x v="981"/>
    <x v="3"/>
    <x v="0"/>
    <x v="1"/>
    <x v="320"/>
    <x v="2290"/>
  </r>
  <r>
    <x v="1"/>
    <n v="161"/>
    <x v="977"/>
    <x v="0"/>
    <s v="LM"/>
    <s v="N"/>
    <x v="660"/>
    <x v="2"/>
    <x v="13"/>
    <m/>
    <x v="13"/>
    <m/>
    <x v="3"/>
    <x v="0"/>
    <x v="358"/>
    <m/>
    <x v="5"/>
    <x v="0"/>
    <m/>
    <m/>
    <x v="0"/>
    <x v="1"/>
    <m/>
    <x v="0"/>
    <x v="5"/>
    <x v="981"/>
    <x v="3"/>
    <x v="0"/>
    <x v="1"/>
    <x v="358"/>
    <x v="2291"/>
  </r>
  <r>
    <x v="1"/>
    <n v="161"/>
    <x v="977"/>
    <x v="0"/>
    <s v="LM"/>
    <s v="N"/>
    <x v="660"/>
    <x v="2"/>
    <x v="63"/>
    <m/>
    <x v="24"/>
    <m/>
    <x v="3"/>
    <x v="0"/>
    <x v="274"/>
    <d v="2012-05-16T00:00:00"/>
    <x v="6"/>
    <x v="1"/>
    <s v="Competição Longas Metragens"/>
    <m/>
    <x v="0"/>
    <x v="0"/>
    <m/>
    <x v="0"/>
    <x v="5"/>
    <x v="981"/>
    <x v="3"/>
    <x v="0"/>
    <x v="1"/>
    <x v="274"/>
    <x v="2292"/>
  </r>
  <r>
    <x v="1"/>
    <n v="161"/>
    <x v="977"/>
    <x v="0"/>
    <s v="LM"/>
    <s v="N"/>
    <x v="660"/>
    <x v="2"/>
    <x v="42"/>
    <m/>
    <x v="39"/>
    <m/>
    <x v="3"/>
    <x v="0"/>
    <x v="359"/>
    <m/>
    <x v="7"/>
    <x v="0"/>
    <m/>
    <m/>
    <x v="0"/>
    <x v="1"/>
    <m/>
    <x v="0"/>
    <x v="5"/>
    <x v="981"/>
    <x v="3"/>
    <x v="0"/>
    <x v="1"/>
    <x v="359"/>
    <x v="2293"/>
  </r>
  <r>
    <x v="1"/>
    <n v="161"/>
    <x v="977"/>
    <x v="0"/>
    <s v="LM"/>
    <s v="N"/>
    <x v="660"/>
    <x v="2"/>
    <x v="37"/>
    <m/>
    <x v="35"/>
    <m/>
    <x v="2"/>
    <x v="0"/>
    <x v="304"/>
    <d v="2012-12-02T00:00:00"/>
    <x v="11"/>
    <x v="0"/>
    <m/>
    <s v="Panorama Fenêtre Ouverte Long métrage"/>
    <x v="0"/>
    <x v="0"/>
    <m/>
    <x v="0"/>
    <x v="5"/>
    <x v="981"/>
    <x v="2"/>
    <x v="0"/>
    <x v="0"/>
    <x v="304"/>
    <x v="2294"/>
  </r>
  <r>
    <x v="1"/>
    <n v="162"/>
    <x v="109"/>
    <x v="0"/>
    <s v="CM"/>
    <s v="S"/>
    <x v="97"/>
    <x v="5"/>
    <x v="62"/>
    <m/>
    <x v="23"/>
    <m/>
    <x v="3"/>
    <x v="0"/>
    <x v="302"/>
    <d v="2012-03-04T00:00:00"/>
    <x v="19"/>
    <x v="0"/>
    <m/>
    <s v="Especial Festival Black &amp; White"/>
    <x v="0"/>
    <x v="0"/>
    <m/>
    <x v="0"/>
    <x v="0"/>
    <x v="110"/>
    <x v="3"/>
    <x v="0"/>
    <x v="1"/>
    <x v="302"/>
    <x v="2295"/>
  </r>
  <r>
    <x v="1"/>
    <n v="162"/>
    <x v="109"/>
    <x v="0"/>
    <s v="CM"/>
    <s v="S"/>
    <x v="97"/>
    <x v="5"/>
    <x v="269"/>
    <m/>
    <x v="188"/>
    <m/>
    <x v="55"/>
    <x v="0"/>
    <x v="287"/>
    <d v="2012-04-08T00:00:00"/>
    <x v="3"/>
    <x v="0"/>
    <m/>
    <s v="Panorama Cortometrajes Internacionales"/>
    <x v="0"/>
    <x v="0"/>
    <m/>
    <x v="0"/>
    <x v="0"/>
    <x v="110"/>
    <x v="55"/>
    <x v="0"/>
    <x v="0"/>
    <x v="287"/>
    <x v="2296"/>
  </r>
  <r>
    <x v="1"/>
    <n v="162"/>
    <x v="109"/>
    <x v="0"/>
    <s v="CM"/>
    <s v="S"/>
    <x v="97"/>
    <x v="5"/>
    <x v="37"/>
    <m/>
    <x v="35"/>
    <m/>
    <x v="2"/>
    <x v="0"/>
    <x v="304"/>
    <d v="2012-12-02T00:00:00"/>
    <x v="11"/>
    <x v="1"/>
    <s v="Compétition Internationale"/>
    <m/>
    <x v="229"/>
    <x v="0"/>
    <m/>
    <x v="1"/>
    <x v="0"/>
    <x v="110"/>
    <x v="2"/>
    <x v="267"/>
    <x v="0"/>
    <x v="304"/>
    <x v="2297"/>
  </r>
  <r>
    <x v="1"/>
    <n v="163"/>
    <x v="978"/>
    <x v="1"/>
    <s v="CM"/>
    <s v="N"/>
    <x v="661"/>
    <x v="2"/>
    <x v="519"/>
    <m/>
    <x v="24"/>
    <m/>
    <x v="3"/>
    <x v="0"/>
    <x v="319"/>
    <d v="2012-04-21T00:00:00"/>
    <x v="5"/>
    <x v="0"/>
    <m/>
    <m/>
    <x v="0"/>
    <x v="1"/>
    <m/>
    <x v="0"/>
    <x v="2"/>
    <x v="982"/>
    <x v="3"/>
    <x v="0"/>
    <x v="1"/>
    <x v="319"/>
    <x v="2298"/>
  </r>
  <r>
    <x v="1"/>
    <n v="167"/>
    <x v="113"/>
    <x v="2"/>
    <s v="CM"/>
    <s v="S"/>
    <x v="100"/>
    <x v="1"/>
    <x v="27"/>
    <m/>
    <x v="25"/>
    <m/>
    <x v="3"/>
    <x v="0"/>
    <x v="307"/>
    <d v="2012-11-18T00:00:00"/>
    <x v="13"/>
    <x v="0"/>
    <m/>
    <s v="Ilustração e Animação"/>
    <x v="0"/>
    <x v="0"/>
    <m/>
    <x v="0"/>
    <x v="4"/>
    <x v="114"/>
    <x v="3"/>
    <x v="0"/>
    <x v="1"/>
    <x v="307"/>
    <x v="2299"/>
  </r>
  <r>
    <x v="1"/>
    <n v="1296"/>
    <x v="979"/>
    <x v="0"/>
    <s v="CM"/>
    <s v="N"/>
    <x v="662"/>
    <x v="2"/>
    <x v="445"/>
    <m/>
    <x v="284"/>
    <m/>
    <x v="3"/>
    <x v="0"/>
    <x v="286"/>
    <d v="2012-09-08T00:00:00"/>
    <x v="9"/>
    <x v="1"/>
    <m/>
    <m/>
    <x v="0"/>
    <x v="0"/>
    <m/>
    <x v="0"/>
    <x v="0"/>
    <x v="983"/>
    <x v="3"/>
    <x v="0"/>
    <x v="1"/>
    <x v="286"/>
    <x v="2300"/>
  </r>
  <r>
    <x v="1"/>
    <n v="170"/>
    <x v="116"/>
    <x v="0"/>
    <s v="LM"/>
    <s v="S"/>
    <x v="103"/>
    <x v="2"/>
    <x v="469"/>
    <m/>
    <x v="24"/>
    <m/>
    <x v="3"/>
    <x v="0"/>
    <x v="243"/>
    <d v="2012-06-17T00:00:00"/>
    <x v="7"/>
    <x v="0"/>
    <m/>
    <m/>
    <x v="0"/>
    <x v="1"/>
    <m/>
    <x v="0"/>
    <x v="5"/>
    <x v="117"/>
    <x v="3"/>
    <x v="0"/>
    <x v="1"/>
    <x v="243"/>
    <x v="2301"/>
  </r>
  <r>
    <x v="1"/>
    <n v="170"/>
    <x v="116"/>
    <x v="0"/>
    <s v="LM"/>
    <s v="S"/>
    <x v="103"/>
    <x v="2"/>
    <x v="58"/>
    <m/>
    <x v="47"/>
    <m/>
    <x v="3"/>
    <x v="0"/>
    <x v="118"/>
    <d v="2012-09-09T00:00:00"/>
    <x v="9"/>
    <x v="0"/>
    <m/>
    <m/>
    <x v="0"/>
    <x v="1"/>
    <m/>
    <x v="0"/>
    <x v="5"/>
    <x v="117"/>
    <x v="3"/>
    <x v="0"/>
    <x v="1"/>
    <x v="118"/>
    <x v="2302"/>
  </r>
  <r>
    <x v="1"/>
    <n v="173"/>
    <x v="980"/>
    <x v="1"/>
    <s v="CM"/>
    <s v="N"/>
    <x v="663"/>
    <x v="3"/>
    <x v="146"/>
    <m/>
    <x v="24"/>
    <m/>
    <x v="3"/>
    <x v="0"/>
    <x v="281"/>
    <d v="2012-05-06T00:00:00"/>
    <x v="4"/>
    <x v="0"/>
    <m/>
    <s v="Sessões Especiais - Novíssimos Curtas"/>
    <x v="0"/>
    <x v="0"/>
    <m/>
    <x v="0"/>
    <x v="2"/>
    <x v="984"/>
    <x v="3"/>
    <x v="0"/>
    <x v="1"/>
    <x v="281"/>
    <x v="2303"/>
  </r>
  <r>
    <x v="1"/>
    <n v="173"/>
    <x v="980"/>
    <x v="1"/>
    <s v="CM"/>
    <s v="N"/>
    <x v="663"/>
    <x v="3"/>
    <x v="514"/>
    <m/>
    <x v="99"/>
    <m/>
    <x v="3"/>
    <x v="0"/>
    <x v="360"/>
    <d v="2012-05-13T00:00:00"/>
    <x v="6"/>
    <x v="1"/>
    <s v="Prémio Primeiro Olhar"/>
    <m/>
    <x v="0"/>
    <x v="0"/>
    <m/>
    <x v="0"/>
    <x v="2"/>
    <x v="984"/>
    <x v="3"/>
    <x v="0"/>
    <x v="1"/>
    <x v="360"/>
    <x v="2304"/>
  </r>
  <r>
    <x v="1"/>
    <n v="173"/>
    <x v="980"/>
    <x v="1"/>
    <s v="CM"/>
    <s v="N"/>
    <x v="663"/>
    <x v="3"/>
    <x v="68"/>
    <m/>
    <x v="53"/>
    <m/>
    <x v="3"/>
    <x v="0"/>
    <x v="253"/>
    <d v="2012-07-15T00:00:00"/>
    <x v="8"/>
    <x v="1"/>
    <s v="Take One!"/>
    <m/>
    <x v="0"/>
    <x v="0"/>
    <m/>
    <x v="0"/>
    <x v="2"/>
    <x v="984"/>
    <x v="3"/>
    <x v="0"/>
    <x v="1"/>
    <x v="253"/>
    <x v="2305"/>
  </r>
  <r>
    <x v="1"/>
    <n v="173"/>
    <x v="980"/>
    <x v="1"/>
    <s v="CM"/>
    <s v="N"/>
    <x v="663"/>
    <x v="3"/>
    <x v="25"/>
    <m/>
    <x v="24"/>
    <m/>
    <x v="3"/>
    <x v="0"/>
    <x v="294"/>
    <d v="2012-10-28T00:00:00"/>
    <x v="14"/>
    <x v="0"/>
    <m/>
    <s v="Verdes Anos"/>
    <x v="0"/>
    <x v="0"/>
    <m/>
    <x v="0"/>
    <x v="2"/>
    <x v="984"/>
    <x v="3"/>
    <x v="0"/>
    <x v="1"/>
    <x v="294"/>
    <x v="2306"/>
  </r>
  <r>
    <x v="1"/>
    <n v="1462"/>
    <x v="981"/>
    <x v="1"/>
    <s v="CM"/>
    <s v="N"/>
    <x v="664"/>
    <x v="41"/>
    <x v="520"/>
    <m/>
    <x v="46"/>
    <m/>
    <x v="3"/>
    <x v="0"/>
    <x v="297"/>
    <d v="2012-10-27T00:00:00"/>
    <x v="14"/>
    <x v="1"/>
    <s v="Documentário/Reportagem"/>
    <m/>
    <x v="230"/>
    <x v="0"/>
    <m/>
    <x v="1"/>
    <x v="2"/>
    <x v="985"/>
    <x v="3"/>
    <x v="268"/>
    <x v="1"/>
    <x v="297"/>
    <x v="2307"/>
  </r>
  <r>
    <x v="1"/>
    <n v="1462"/>
    <x v="981"/>
    <x v="1"/>
    <s v="CM"/>
    <s v="N"/>
    <x v="664"/>
    <x v="41"/>
    <x v="368"/>
    <m/>
    <x v="23"/>
    <m/>
    <x v="3"/>
    <x v="0"/>
    <x v="304"/>
    <m/>
    <x v="13"/>
    <x v="0"/>
    <m/>
    <m/>
    <x v="0"/>
    <x v="1"/>
    <m/>
    <x v="0"/>
    <x v="2"/>
    <x v="985"/>
    <x v="3"/>
    <x v="0"/>
    <x v="1"/>
    <x v="304"/>
    <x v="2308"/>
  </r>
  <r>
    <x v="1"/>
    <n v="1462"/>
    <x v="981"/>
    <x v="1"/>
    <s v="CM"/>
    <s v="N"/>
    <x v="664"/>
    <x v="41"/>
    <x v="368"/>
    <m/>
    <x v="23"/>
    <m/>
    <x v="3"/>
    <x v="0"/>
    <x v="304"/>
    <m/>
    <x v="13"/>
    <x v="0"/>
    <m/>
    <m/>
    <x v="0"/>
    <x v="1"/>
    <m/>
    <x v="0"/>
    <x v="2"/>
    <x v="985"/>
    <x v="3"/>
    <x v="0"/>
    <x v="1"/>
    <x v="304"/>
    <x v="2309"/>
  </r>
  <r>
    <x v="1"/>
    <n v="1462"/>
    <x v="981"/>
    <x v="1"/>
    <s v="CM"/>
    <s v="N"/>
    <x v="664"/>
    <x v="41"/>
    <x v="402"/>
    <m/>
    <x v="24"/>
    <m/>
    <x v="3"/>
    <x v="0"/>
    <x v="231"/>
    <d v="2012-12-09T00:00:00"/>
    <x v="12"/>
    <x v="1"/>
    <s v="Categoria Património Imaterial"/>
    <m/>
    <x v="0"/>
    <x v="1"/>
    <m/>
    <x v="0"/>
    <x v="2"/>
    <x v="985"/>
    <x v="3"/>
    <x v="0"/>
    <x v="1"/>
    <x v="231"/>
    <x v="2310"/>
  </r>
  <r>
    <x v="1"/>
    <n v="174"/>
    <x v="119"/>
    <x v="1"/>
    <s v="CM"/>
    <s v="N"/>
    <x v="106"/>
    <x v="3"/>
    <x v="521"/>
    <m/>
    <x v="65"/>
    <m/>
    <x v="9"/>
    <x v="0"/>
    <x v="361"/>
    <d v="2012-01-15T00:00:00"/>
    <x v="15"/>
    <x v="0"/>
    <m/>
    <m/>
    <x v="0"/>
    <x v="1"/>
    <m/>
    <x v="0"/>
    <x v="2"/>
    <x v="120"/>
    <x v="9"/>
    <x v="0"/>
    <x v="0"/>
    <x v="361"/>
    <x v="2311"/>
  </r>
  <r>
    <x v="1"/>
    <n v="174"/>
    <x v="119"/>
    <x v="1"/>
    <s v="CM"/>
    <s v="N"/>
    <x v="106"/>
    <x v="3"/>
    <x v="427"/>
    <m/>
    <x v="275"/>
    <m/>
    <x v="65"/>
    <x v="0"/>
    <x v="259"/>
    <d v="2012-03-11T00:00:00"/>
    <x v="2"/>
    <x v="1"/>
    <s v="International Competition 4: Unknown Variable"/>
    <m/>
    <x v="0"/>
    <x v="0"/>
    <m/>
    <x v="0"/>
    <x v="2"/>
    <x v="120"/>
    <x v="65"/>
    <x v="0"/>
    <x v="0"/>
    <x v="259"/>
    <x v="2312"/>
  </r>
  <r>
    <x v="1"/>
    <n v="174"/>
    <x v="119"/>
    <x v="1"/>
    <s v="CM"/>
    <s v="N"/>
    <x v="106"/>
    <x v="3"/>
    <x v="30"/>
    <m/>
    <x v="28"/>
    <m/>
    <x v="8"/>
    <x v="0"/>
    <x v="353"/>
    <d v="2012-03-18T00:00:00"/>
    <x v="2"/>
    <x v="1"/>
    <s v="European Competition EU 6: Moving On"/>
    <m/>
    <x v="0"/>
    <x v="0"/>
    <m/>
    <x v="0"/>
    <x v="2"/>
    <x v="120"/>
    <x v="8"/>
    <x v="0"/>
    <x v="0"/>
    <x v="353"/>
    <x v="2313"/>
  </r>
  <r>
    <x v="1"/>
    <n v="174"/>
    <x v="119"/>
    <x v="1"/>
    <s v="CM"/>
    <s v="N"/>
    <x v="106"/>
    <x v="3"/>
    <x v="91"/>
    <m/>
    <x v="70"/>
    <m/>
    <x v="18"/>
    <x v="0"/>
    <x v="362"/>
    <d v="2012-04-26T00:00:00"/>
    <x v="5"/>
    <x v="0"/>
    <m/>
    <s v="Cinemascape: World Cinema Shorts"/>
    <x v="0"/>
    <x v="0"/>
    <m/>
    <x v="0"/>
    <x v="2"/>
    <x v="120"/>
    <x v="18"/>
    <x v="0"/>
    <x v="0"/>
    <x v="362"/>
    <x v="2314"/>
  </r>
  <r>
    <x v="1"/>
    <n v="174"/>
    <x v="119"/>
    <x v="1"/>
    <s v="CM"/>
    <s v="N"/>
    <x v="106"/>
    <x v="3"/>
    <x v="522"/>
    <m/>
    <x v="165"/>
    <m/>
    <x v="4"/>
    <x v="0"/>
    <x v="363"/>
    <d v="2012-04-22T00:00:00"/>
    <x v="5"/>
    <x v="0"/>
    <m/>
    <s v="Trayectorias"/>
    <x v="0"/>
    <x v="0"/>
    <m/>
    <x v="0"/>
    <x v="2"/>
    <x v="120"/>
    <x v="4"/>
    <x v="0"/>
    <x v="0"/>
    <x v="363"/>
    <x v="2315"/>
  </r>
  <r>
    <x v="1"/>
    <n v="174"/>
    <x v="119"/>
    <x v="1"/>
    <s v="CM"/>
    <s v="N"/>
    <x v="106"/>
    <x v="3"/>
    <x v="509"/>
    <m/>
    <x v="174"/>
    <m/>
    <x v="1"/>
    <x v="0"/>
    <x v="319"/>
    <d v="2012-04-29T00:00:00"/>
    <x v="5"/>
    <x v="1"/>
    <s v="Sección Documental 1"/>
    <m/>
    <x v="0"/>
    <x v="0"/>
    <m/>
    <x v="0"/>
    <x v="2"/>
    <x v="120"/>
    <x v="1"/>
    <x v="0"/>
    <x v="0"/>
    <x v="319"/>
    <x v="2316"/>
  </r>
  <r>
    <x v="1"/>
    <n v="174"/>
    <x v="119"/>
    <x v="1"/>
    <s v="CM"/>
    <s v="N"/>
    <x v="106"/>
    <x v="3"/>
    <x v="519"/>
    <m/>
    <x v="24"/>
    <m/>
    <x v="3"/>
    <x v="0"/>
    <x v="319"/>
    <d v="2012-04-21T00:00:00"/>
    <x v="5"/>
    <x v="0"/>
    <m/>
    <m/>
    <x v="0"/>
    <x v="1"/>
    <m/>
    <x v="0"/>
    <x v="2"/>
    <x v="120"/>
    <x v="3"/>
    <x v="0"/>
    <x v="1"/>
    <x v="319"/>
    <x v="2317"/>
  </r>
  <r>
    <x v="1"/>
    <n v="174"/>
    <x v="119"/>
    <x v="1"/>
    <s v="CM"/>
    <s v="N"/>
    <x v="106"/>
    <x v="3"/>
    <x v="523"/>
    <m/>
    <x v="311"/>
    <m/>
    <x v="61"/>
    <x v="0"/>
    <x v="254"/>
    <d v="2012-11-14T00:00:00"/>
    <x v="13"/>
    <x v="1"/>
    <s v="Documental 1"/>
    <m/>
    <x v="0"/>
    <x v="0"/>
    <m/>
    <x v="0"/>
    <x v="2"/>
    <x v="120"/>
    <x v="61"/>
    <x v="0"/>
    <x v="0"/>
    <x v="254"/>
    <x v="2318"/>
  </r>
  <r>
    <x v="1"/>
    <n v="174"/>
    <x v="119"/>
    <x v="1"/>
    <s v="CM"/>
    <s v="N"/>
    <x v="106"/>
    <x v="3"/>
    <x v="80"/>
    <m/>
    <x v="60"/>
    <m/>
    <x v="3"/>
    <x v="0"/>
    <x v="251"/>
    <d v="2012-11-18T00:00:00"/>
    <x v="13"/>
    <x v="0"/>
    <m/>
    <s v="Homenagens: João Pedro Rodrigues e João Rui Guerra da Mata"/>
    <x v="0"/>
    <x v="0"/>
    <m/>
    <x v="0"/>
    <x v="2"/>
    <x v="120"/>
    <x v="3"/>
    <x v="0"/>
    <x v="1"/>
    <x v="251"/>
    <x v="2319"/>
  </r>
  <r>
    <x v="1"/>
    <n v="175"/>
    <x v="120"/>
    <x v="0"/>
    <s v="LM"/>
    <s v="N"/>
    <x v="107"/>
    <x v="2"/>
    <x v="438"/>
    <m/>
    <x v="127"/>
    <m/>
    <x v="38"/>
    <x v="0"/>
    <x v="275"/>
    <d v="2012-06-14T00:00:00"/>
    <x v="22"/>
    <x v="0"/>
    <m/>
    <m/>
    <x v="0"/>
    <x v="1"/>
    <m/>
    <x v="0"/>
    <x v="5"/>
    <x v="121"/>
    <x v="38"/>
    <x v="0"/>
    <x v="0"/>
    <x v="275"/>
    <x v="2320"/>
  </r>
  <r>
    <x v="1"/>
    <n v="176"/>
    <x v="982"/>
    <x v="1"/>
    <s v="CM"/>
    <s v=""/>
    <x v="665"/>
    <x v="2"/>
    <x v="519"/>
    <m/>
    <x v="24"/>
    <m/>
    <x v="3"/>
    <x v="0"/>
    <x v="319"/>
    <d v="2012-04-21T00:00:00"/>
    <x v="5"/>
    <x v="0"/>
    <m/>
    <m/>
    <x v="0"/>
    <x v="1"/>
    <m/>
    <x v="0"/>
    <x v="2"/>
    <x v="986"/>
    <x v="3"/>
    <x v="0"/>
    <x v="1"/>
    <x v="319"/>
    <x v="2321"/>
  </r>
  <r>
    <x v="1"/>
    <n v="1336"/>
    <x v="983"/>
    <x v="1"/>
    <s v="LM"/>
    <s v="S"/>
    <x v="666"/>
    <x v="41"/>
    <x v="106"/>
    <m/>
    <x v="82"/>
    <m/>
    <x v="21"/>
    <x v="0"/>
    <x v="349"/>
    <d v="2012-09-23T00:00:00"/>
    <x v="9"/>
    <x v="0"/>
    <m/>
    <s v="Ciclo Grande Hotel"/>
    <x v="0"/>
    <x v="0"/>
    <m/>
    <x v="0"/>
    <x v="1"/>
    <x v="987"/>
    <x v="21"/>
    <x v="0"/>
    <x v="0"/>
    <x v="349"/>
    <x v="2322"/>
  </r>
  <r>
    <x v="1"/>
    <n v="1336"/>
    <x v="983"/>
    <x v="1"/>
    <s v="LM"/>
    <s v="S"/>
    <x v="666"/>
    <x v="41"/>
    <x v="25"/>
    <m/>
    <x v="24"/>
    <m/>
    <x v="3"/>
    <x v="0"/>
    <x v="294"/>
    <d v="2012-10-28T00:00:00"/>
    <x v="14"/>
    <x v="1"/>
    <s v="Competição Portuguesa - Longas"/>
    <m/>
    <x v="231"/>
    <x v="0"/>
    <m/>
    <x v="1"/>
    <x v="1"/>
    <x v="987"/>
    <x v="3"/>
    <x v="269"/>
    <x v="1"/>
    <x v="294"/>
    <x v="2323"/>
  </r>
  <r>
    <x v="1"/>
    <n v="177"/>
    <x v="984"/>
    <x v="2"/>
    <s v="CM"/>
    <s v="N"/>
    <x v="667"/>
    <x v="2"/>
    <x v="524"/>
    <m/>
    <x v="23"/>
    <m/>
    <x v="3"/>
    <x v="0"/>
    <x v="274"/>
    <m/>
    <x v="6"/>
    <x v="0"/>
    <m/>
    <s v="Curta Convidada"/>
    <x v="0"/>
    <x v="1"/>
    <m/>
    <x v="0"/>
    <x v="4"/>
    <x v="988"/>
    <x v="3"/>
    <x v="0"/>
    <x v="1"/>
    <x v="274"/>
    <x v="2324"/>
  </r>
  <r>
    <x v="1"/>
    <n v="178"/>
    <x v="121"/>
    <x v="0"/>
    <s v="LM"/>
    <s v="S"/>
    <x v="108"/>
    <x v="5"/>
    <x v="525"/>
    <m/>
    <x v="11"/>
    <m/>
    <x v="3"/>
    <x v="0"/>
    <x v="245"/>
    <d v="2012-03-27T00:00:00"/>
    <x v="19"/>
    <x v="0"/>
    <m/>
    <m/>
    <x v="0"/>
    <x v="1"/>
    <m/>
    <x v="0"/>
    <x v="5"/>
    <x v="122"/>
    <x v="3"/>
    <x v="0"/>
    <x v="1"/>
    <x v="245"/>
    <x v="2325"/>
  </r>
  <r>
    <x v="1"/>
    <n v="178"/>
    <x v="121"/>
    <x v="0"/>
    <s v="LM"/>
    <s v="S"/>
    <x v="108"/>
    <x v="5"/>
    <x v="526"/>
    <m/>
    <x v="23"/>
    <m/>
    <x v="3"/>
    <x v="0"/>
    <x v="320"/>
    <m/>
    <x v="5"/>
    <x v="0"/>
    <m/>
    <m/>
    <x v="0"/>
    <x v="1"/>
    <m/>
    <x v="0"/>
    <x v="5"/>
    <x v="122"/>
    <x v="3"/>
    <x v="0"/>
    <x v="1"/>
    <x v="320"/>
    <x v="2326"/>
  </r>
  <r>
    <x v="1"/>
    <n v="178"/>
    <x v="121"/>
    <x v="0"/>
    <s v="LM"/>
    <s v="S"/>
    <x v="108"/>
    <x v="5"/>
    <x v="527"/>
    <m/>
    <x v="24"/>
    <m/>
    <x v="3"/>
    <x v="0"/>
    <x v="313"/>
    <m/>
    <x v="5"/>
    <x v="0"/>
    <m/>
    <m/>
    <x v="0"/>
    <x v="1"/>
    <m/>
    <x v="0"/>
    <x v="5"/>
    <x v="122"/>
    <x v="3"/>
    <x v="0"/>
    <x v="1"/>
    <x v="313"/>
    <x v="2327"/>
  </r>
  <r>
    <x v="1"/>
    <n v="178"/>
    <x v="121"/>
    <x v="0"/>
    <s v="LM"/>
    <s v="S"/>
    <x v="108"/>
    <x v="5"/>
    <x v="528"/>
    <m/>
    <x v="312"/>
    <m/>
    <x v="3"/>
    <x v="0"/>
    <x v="362"/>
    <m/>
    <x v="5"/>
    <x v="0"/>
    <m/>
    <m/>
    <x v="0"/>
    <x v="1"/>
    <m/>
    <x v="0"/>
    <x v="5"/>
    <x v="122"/>
    <x v="3"/>
    <x v="0"/>
    <x v="1"/>
    <x v="362"/>
    <x v="2328"/>
  </r>
  <r>
    <x v="1"/>
    <n v="178"/>
    <x v="121"/>
    <x v="0"/>
    <s v="LM"/>
    <s v="S"/>
    <x v="108"/>
    <x v="5"/>
    <x v="529"/>
    <m/>
    <x v="313"/>
    <m/>
    <x v="3"/>
    <x v="0"/>
    <x v="329"/>
    <m/>
    <x v="5"/>
    <x v="0"/>
    <m/>
    <m/>
    <x v="0"/>
    <x v="1"/>
    <m/>
    <x v="0"/>
    <x v="5"/>
    <x v="122"/>
    <x v="3"/>
    <x v="0"/>
    <x v="1"/>
    <x v="329"/>
    <x v="2329"/>
  </r>
  <r>
    <x v="1"/>
    <n v="178"/>
    <x v="121"/>
    <x v="0"/>
    <s v="LM"/>
    <s v="S"/>
    <x v="108"/>
    <x v="5"/>
    <x v="530"/>
    <m/>
    <x v="24"/>
    <m/>
    <x v="3"/>
    <x v="0"/>
    <x v="232"/>
    <m/>
    <x v="5"/>
    <x v="0"/>
    <m/>
    <m/>
    <x v="0"/>
    <x v="1"/>
    <m/>
    <x v="0"/>
    <x v="5"/>
    <x v="122"/>
    <x v="3"/>
    <x v="0"/>
    <x v="1"/>
    <x v="232"/>
    <x v="2330"/>
  </r>
  <r>
    <x v="1"/>
    <n v="178"/>
    <x v="121"/>
    <x v="0"/>
    <s v="LM"/>
    <s v="S"/>
    <x v="108"/>
    <x v="5"/>
    <x v="531"/>
    <m/>
    <x v="24"/>
    <m/>
    <x v="3"/>
    <x v="0"/>
    <x v="364"/>
    <m/>
    <x v="5"/>
    <x v="0"/>
    <m/>
    <m/>
    <x v="0"/>
    <x v="1"/>
    <m/>
    <x v="0"/>
    <x v="5"/>
    <x v="122"/>
    <x v="3"/>
    <x v="0"/>
    <x v="1"/>
    <x v="364"/>
    <x v="2331"/>
  </r>
  <r>
    <x v="1"/>
    <n v="178"/>
    <x v="121"/>
    <x v="0"/>
    <s v="LM"/>
    <s v="S"/>
    <x v="108"/>
    <x v="5"/>
    <x v="432"/>
    <m/>
    <x v="39"/>
    <m/>
    <x v="3"/>
    <x v="0"/>
    <x v="265"/>
    <d v="2012-04-21T00:00:00"/>
    <x v="5"/>
    <x v="1"/>
    <s v="Competição Nacional"/>
    <m/>
    <x v="232"/>
    <x v="0"/>
    <m/>
    <x v="1"/>
    <x v="5"/>
    <x v="122"/>
    <x v="3"/>
    <x v="270"/>
    <x v="1"/>
    <x v="265"/>
    <x v="2332"/>
  </r>
  <r>
    <x v="1"/>
    <n v="178"/>
    <x v="121"/>
    <x v="0"/>
    <s v="LM"/>
    <s v="S"/>
    <x v="108"/>
    <x v="5"/>
    <x v="433"/>
    <m/>
    <x v="278"/>
    <m/>
    <x v="3"/>
    <x v="0"/>
    <x v="242"/>
    <d v="2012-06-03T00:00:00"/>
    <x v="7"/>
    <x v="0"/>
    <m/>
    <m/>
    <x v="0"/>
    <x v="3"/>
    <m/>
    <x v="0"/>
    <x v="5"/>
    <x v="122"/>
    <x v="3"/>
    <x v="0"/>
    <x v="1"/>
    <x v="242"/>
    <x v="2333"/>
  </r>
  <r>
    <x v="1"/>
    <n v="179"/>
    <x v="122"/>
    <x v="2"/>
    <s v="CM"/>
    <s v="N"/>
    <x v="109"/>
    <x v="3"/>
    <x v="532"/>
    <m/>
    <x v="134"/>
    <m/>
    <x v="41"/>
    <x v="0"/>
    <x v="295"/>
    <d v="2012-10-28T00:00:00"/>
    <x v="14"/>
    <x v="1"/>
    <s v="Films made by children: Fun and Playful"/>
    <m/>
    <x v="0"/>
    <x v="0"/>
    <m/>
    <x v="0"/>
    <x v="4"/>
    <x v="123"/>
    <x v="41"/>
    <x v="0"/>
    <x v="0"/>
    <x v="295"/>
    <x v="2334"/>
  </r>
  <r>
    <x v="1"/>
    <n v="1287"/>
    <x v="123"/>
    <x v="1"/>
    <s v="CM"/>
    <s v="N"/>
    <x v="110"/>
    <x v="3"/>
    <x v="58"/>
    <m/>
    <x v="47"/>
    <m/>
    <x v="3"/>
    <x v="0"/>
    <x v="118"/>
    <d v="2012-09-09T00:00:00"/>
    <x v="9"/>
    <x v="0"/>
    <m/>
    <m/>
    <x v="0"/>
    <x v="1"/>
    <m/>
    <x v="0"/>
    <x v="2"/>
    <x v="124"/>
    <x v="3"/>
    <x v="0"/>
    <x v="1"/>
    <x v="118"/>
    <x v="2335"/>
  </r>
  <r>
    <x v="1"/>
    <n v="182"/>
    <x v="125"/>
    <x v="1"/>
    <s v="LM"/>
    <s v="N"/>
    <x v="111"/>
    <x v="16"/>
    <x v="533"/>
    <m/>
    <x v="314"/>
    <m/>
    <x v="9"/>
    <x v="0"/>
    <x v="365"/>
    <d v="2012-05-26T00:00:00"/>
    <x v="6"/>
    <x v="0"/>
    <m/>
    <m/>
    <x v="0"/>
    <x v="1"/>
    <m/>
    <x v="0"/>
    <x v="1"/>
    <x v="126"/>
    <x v="9"/>
    <x v="0"/>
    <x v="0"/>
    <x v="365"/>
    <x v="2336"/>
  </r>
  <r>
    <x v="1"/>
    <n v="182"/>
    <x v="125"/>
    <x v="1"/>
    <s v="LM"/>
    <s v="N"/>
    <x v="111"/>
    <x v="16"/>
    <x v="534"/>
    <m/>
    <x v="65"/>
    <m/>
    <x v="9"/>
    <x v="0"/>
    <x v="236"/>
    <d v="2012-06-28T00:00:00"/>
    <x v="7"/>
    <x v="0"/>
    <m/>
    <m/>
    <x v="0"/>
    <x v="1"/>
    <m/>
    <x v="0"/>
    <x v="1"/>
    <x v="126"/>
    <x v="9"/>
    <x v="0"/>
    <x v="0"/>
    <x v="236"/>
    <x v="2337"/>
  </r>
  <r>
    <x v="1"/>
    <n v="185"/>
    <x v="985"/>
    <x v="0"/>
    <s v="CM"/>
    <s v="N"/>
    <x v="668"/>
    <x v="2"/>
    <x v="63"/>
    <m/>
    <x v="24"/>
    <m/>
    <x v="3"/>
    <x v="0"/>
    <x v="274"/>
    <d v="2012-05-16T00:00:00"/>
    <x v="6"/>
    <x v="1"/>
    <s v="Competição Curtas Metragens"/>
    <m/>
    <x v="0"/>
    <x v="0"/>
    <m/>
    <x v="0"/>
    <x v="0"/>
    <x v="989"/>
    <x v="3"/>
    <x v="0"/>
    <x v="1"/>
    <x v="274"/>
    <x v="2338"/>
  </r>
  <r>
    <x v="1"/>
    <n v="185"/>
    <x v="985"/>
    <x v="0"/>
    <s v="CM"/>
    <s v="N"/>
    <x v="668"/>
    <x v="2"/>
    <x v="535"/>
    <m/>
    <x v="24"/>
    <m/>
    <x v="3"/>
    <x v="0"/>
    <x v="282"/>
    <d v="2012-11-18T00:00:00"/>
    <x v="13"/>
    <x v="0"/>
    <m/>
    <s v="Ciclo: Inclusão e Exclusão Social"/>
    <x v="0"/>
    <x v="1"/>
    <m/>
    <x v="0"/>
    <x v="0"/>
    <x v="989"/>
    <x v="3"/>
    <x v="0"/>
    <x v="1"/>
    <x v="282"/>
    <x v="2339"/>
  </r>
  <r>
    <x v="1"/>
    <n v="186"/>
    <x v="128"/>
    <x v="3"/>
    <s v="CM"/>
    <s v="N"/>
    <x v="80"/>
    <x v="3"/>
    <x v="99"/>
    <m/>
    <x v="78"/>
    <m/>
    <x v="20"/>
    <x v="0"/>
    <x v="342"/>
    <d v="2012-11-18T00:00:00"/>
    <x v="13"/>
    <x v="1"/>
    <s v="International Shorts 2"/>
    <m/>
    <x v="0"/>
    <x v="0"/>
    <m/>
    <x v="0"/>
    <x v="6"/>
    <x v="129"/>
    <x v="20"/>
    <x v="0"/>
    <x v="0"/>
    <x v="342"/>
    <x v="2340"/>
  </r>
  <r>
    <x v="1"/>
    <n v="188"/>
    <x v="986"/>
    <x v="1"/>
    <s v="LM"/>
    <s v="N"/>
    <x v="41"/>
    <x v="2"/>
    <x v="536"/>
    <m/>
    <x v="36"/>
    <m/>
    <x v="3"/>
    <x v="0"/>
    <x v="357"/>
    <m/>
    <x v="15"/>
    <x v="0"/>
    <m/>
    <m/>
    <x v="0"/>
    <x v="1"/>
    <m/>
    <x v="0"/>
    <x v="1"/>
    <x v="990"/>
    <x v="3"/>
    <x v="0"/>
    <x v="1"/>
    <x v="357"/>
    <x v="2341"/>
  </r>
  <r>
    <x v="1"/>
    <n v="1507"/>
    <x v="987"/>
    <x v="1"/>
    <s v="LM"/>
    <s v=""/>
    <x v="187"/>
    <x v="3"/>
    <x v="537"/>
    <m/>
    <x v="50"/>
    <m/>
    <x v="13"/>
    <x v="0"/>
    <x v="282"/>
    <d v="2012-11-21T00:00:00"/>
    <x v="13"/>
    <x v="1"/>
    <m/>
    <m/>
    <x v="0"/>
    <x v="0"/>
    <m/>
    <x v="0"/>
    <x v="1"/>
    <x v="991"/>
    <x v="13"/>
    <x v="0"/>
    <x v="0"/>
    <x v="282"/>
    <x v="2342"/>
  </r>
  <r>
    <x v="1"/>
    <n v="189"/>
    <x v="130"/>
    <x v="1"/>
    <s v="LM"/>
    <s v="S"/>
    <x v="114"/>
    <x v="5"/>
    <x v="538"/>
    <m/>
    <x v="315"/>
    <m/>
    <x v="3"/>
    <x v="0"/>
    <x v="366"/>
    <m/>
    <x v="1"/>
    <x v="0"/>
    <m/>
    <m/>
    <x v="0"/>
    <x v="1"/>
    <m/>
    <x v="0"/>
    <x v="1"/>
    <x v="131"/>
    <x v="3"/>
    <x v="0"/>
    <x v="1"/>
    <x v="366"/>
    <x v="2343"/>
  </r>
  <r>
    <x v="1"/>
    <n v="189"/>
    <x v="130"/>
    <x v="1"/>
    <s v="LM"/>
    <s v="S"/>
    <x v="114"/>
    <x v="5"/>
    <x v="403"/>
    <m/>
    <x v="263"/>
    <m/>
    <x v="2"/>
    <x v="0"/>
    <x v="232"/>
    <d v="2012-04-15T00:00:00"/>
    <x v="5"/>
    <x v="0"/>
    <m/>
    <s v="Rétrospectives et Thématiques - Jeune Cinéma Portugais"/>
    <x v="0"/>
    <x v="0"/>
    <m/>
    <x v="0"/>
    <x v="1"/>
    <x v="131"/>
    <x v="2"/>
    <x v="0"/>
    <x v="0"/>
    <x v="232"/>
    <x v="2344"/>
  </r>
  <r>
    <x v="1"/>
    <n v="189"/>
    <x v="130"/>
    <x v="1"/>
    <s v="LM"/>
    <s v="S"/>
    <x v="114"/>
    <x v="5"/>
    <x v="539"/>
    <m/>
    <x v="76"/>
    <m/>
    <x v="3"/>
    <x v="0"/>
    <x v="367"/>
    <d v="2012-05-06T00:00:00"/>
    <x v="6"/>
    <x v="1"/>
    <s v="Lusófono"/>
    <m/>
    <x v="233"/>
    <x v="0"/>
    <m/>
    <x v="1"/>
    <x v="1"/>
    <x v="131"/>
    <x v="3"/>
    <x v="271"/>
    <x v="1"/>
    <x v="367"/>
    <x v="2345"/>
  </r>
  <r>
    <x v="1"/>
    <n v="189"/>
    <x v="130"/>
    <x v="1"/>
    <s v="LM"/>
    <s v="S"/>
    <x v="114"/>
    <x v="5"/>
    <x v="540"/>
    <m/>
    <x v="174"/>
    <m/>
    <x v="1"/>
    <x v="0"/>
    <x v="368"/>
    <d v="2012-06-12T00:00:00"/>
    <x v="7"/>
    <x v="0"/>
    <m/>
    <m/>
    <x v="0"/>
    <x v="1"/>
    <m/>
    <x v="0"/>
    <x v="1"/>
    <x v="131"/>
    <x v="1"/>
    <x v="0"/>
    <x v="0"/>
    <x v="368"/>
    <x v="2346"/>
  </r>
  <r>
    <x v="1"/>
    <n v="189"/>
    <x v="130"/>
    <x v="1"/>
    <s v="LM"/>
    <s v="S"/>
    <x v="114"/>
    <x v="5"/>
    <x v="106"/>
    <m/>
    <x v="82"/>
    <m/>
    <x v="21"/>
    <x v="0"/>
    <x v="349"/>
    <d v="2012-09-23T00:00:00"/>
    <x v="9"/>
    <x v="0"/>
    <m/>
    <s v="Janela Aberta"/>
    <x v="0"/>
    <x v="0"/>
    <m/>
    <x v="0"/>
    <x v="1"/>
    <x v="131"/>
    <x v="21"/>
    <x v="0"/>
    <x v="0"/>
    <x v="349"/>
    <x v="2347"/>
  </r>
  <r>
    <x v="1"/>
    <n v="190"/>
    <x v="131"/>
    <x v="0"/>
    <s v="LM"/>
    <s v="N"/>
    <x v="20"/>
    <x v="17"/>
    <x v="541"/>
    <m/>
    <x v="40"/>
    <m/>
    <x v="3"/>
    <x v="0"/>
    <x v="258"/>
    <m/>
    <x v="1"/>
    <x v="0"/>
    <m/>
    <m/>
    <x v="0"/>
    <x v="1"/>
    <m/>
    <x v="0"/>
    <x v="5"/>
    <x v="132"/>
    <x v="3"/>
    <x v="0"/>
    <x v="1"/>
    <x v="258"/>
    <x v="2348"/>
  </r>
  <r>
    <x v="1"/>
    <n v="190"/>
    <x v="131"/>
    <x v="0"/>
    <s v="LM"/>
    <s v="N"/>
    <x v="20"/>
    <x v="17"/>
    <x v="542"/>
    <m/>
    <x v="240"/>
    <m/>
    <x v="58"/>
    <x v="0"/>
    <x v="337"/>
    <m/>
    <x v="14"/>
    <x v="0"/>
    <m/>
    <m/>
    <x v="0"/>
    <x v="1"/>
    <m/>
    <x v="0"/>
    <x v="5"/>
    <x v="132"/>
    <x v="58"/>
    <x v="0"/>
    <x v="0"/>
    <x v="337"/>
    <x v="2349"/>
  </r>
  <r>
    <x v="1"/>
    <n v="190"/>
    <x v="131"/>
    <x v="0"/>
    <s v="LM"/>
    <s v="N"/>
    <x v="20"/>
    <x v="17"/>
    <x v="543"/>
    <m/>
    <x v="15"/>
    <m/>
    <x v="3"/>
    <x v="0"/>
    <x v="369"/>
    <d v="2012-12-18T00:00:00"/>
    <x v="11"/>
    <x v="0"/>
    <m/>
    <m/>
    <x v="0"/>
    <x v="1"/>
    <m/>
    <x v="0"/>
    <x v="5"/>
    <x v="132"/>
    <x v="3"/>
    <x v="0"/>
    <x v="1"/>
    <x v="369"/>
    <x v="2350"/>
  </r>
  <r>
    <x v="1"/>
    <n v="192"/>
    <x v="988"/>
    <x v="1"/>
    <s v="CM"/>
    <s v=""/>
    <x v="669"/>
    <x v="2"/>
    <x v="146"/>
    <m/>
    <x v="24"/>
    <m/>
    <x v="3"/>
    <x v="0"/>
    <x v="281"/>
    <d v="2012-05-06T00:00:00"/>
    <x v="4"/>
    <x v="1"/>
    <s v="Competicção Nacional Curtas 4 "/>
    <s v="Cinema Emergente Curtas 3"/>
    <x v="0"/>
    <x v="0"/>
    <m/>
    <x v="0"/>
    <x v="2"/>
    <x v="992"/>
    <x v="3"/>
    <x v="0"/>
    <x v="1"/>
    <x v="281"/>
    <x v="2351"/>
  </r>
  <r>
    <x v="1"/>
    <n v="194"/>
    <x v="989"/>
    <x v="0"/>
    <s v="LM"/>
    <s v="S"/>
    <x v="41"/>
    <x v="12"/>
    <x v="469"/>
    <m/>
    <x v="24"/>
    <m/>
    <x v="3"/>
    <x v="0"/>
    <x v="243"/>
    <d v="2012-06-17T00:00:00"/>
    <x v="7"/>
    <x v="0"/>
    <m/>
    <m/>
    <x v="0"/>
    <x v="1"/>
    <m/>
    <x v="0"/>
    <x v="5"/>
    <x v="993"/>
    <x v="3"/>
    <x v="0"/>
    <x v="1"/>
    <x v="243"/>
    <x v="2352"/>
  </r>
  <r>
    <x v="1"/>
    <n v="1536"/>
    <x v="990"/>
    <x v="0"/>
    <s v="LM"/>
    <s v="S"/>
    <x v="55"/>
    <x v="12"/>
    <x v="544"/>
    <m/>
    <x v="240"/>
    <m/>
    <x v="58"/>
    <x v="0"/>
    <x v="370"/>
    <d v="2012-09-22T00:00:00"/>
    <x v="9"/>
    <x v="0"/>
    <m/>
    <m/>
    <x v="0"/>
    <x v="1"/>
    <m/>
    <x v="0"/>
    <x v="5"/>
    <x v="994"/>
    <x v="58"/>
    <x v="0"/>
    <x v="0"/>
    <x v="370"/>
    <x v="2353"/>
  </r>
  <r>
    <x v="1"/>
    <n v="196"/>
    <x v="991"/>
    <x v="0"/>
    <s v="CM"/>
    <s v="N"/>
    <x v="670"/>
    <x v="2"/>
    <x v="449"/>
    <m/>
    <x v="22"/>
    <m/>
    <x v="3"/>
    <x v="0"/>
    <x v="290"/>
    <m/>
    <x v="7"/>
    <x v="1"/>
    <s v="Movimento"/>
    <m/>
    <x v="234"/>
    <x v="0"/>
    <m/>
    <x v="1"/>
    <x v="0"/>
    <x v="995"/>
    <x v="3"/>
    <x v="272"/>
    <x v="1"/>
    <x v="290"/>
    <x v="2354"/>
  </r>
  <r>
    <x v="1"/>
    <n v="199"/>
    <x v="137"/>
    <x v="0"/>
    <s v="LM"/>
    <s v="S"/>
    <x v="0"/>
    <x v="4"/>
    <x v="179"/>
    <m/>
    <x v="133"/>
    <m/>
    <x v="0"/>
    <x v="0"/>
    <x v="207"/>
    <d v="2012-11-01T00:00:00"/>
    <x v="0"/>
    <x v="0"/>
    <m/>
    <s v="Homenagem a Miguel Gomes"/>
    <x v="0"/>
    <x v="0"/>
    <m/>
    <x v="0"/>
    <x v="5"/>
    <x v="138"/>
    <x v="0"/>
    <x v="0"/>
    <x v="0"/>
    <x v="207"/>
    <x v="2355"/>
  </r>
  <r>
    <x v="1"/>
    <n v="199"/>
    <x v="137"/>
    <x v="0"/>
    <s v="LM"/>
    <s v="S"/>
    <x v="0"/>
    <x v="4"/>
    <x v="545"/>
    <m/>
    <x v="92"/>
    <m/>
    <x v="16"/>
    <x v="0"/>
    <x v="371"/>
    <d v="2012-03-16T00:00:00"/>
    <x v="19"/>
    <x v="0"/>
    <m/>
    <m/>
    <x v="0"/>
    <x v="1"/>
    <m/>
    <x v="0"/>
    <x v="5"/>
    <x v="138"/>
    <x v="16"/>
    <x v="0"/>
    <x v="0"/>
    <x v="371"/>
    <x v="2356"/>
  </r>
  <r>
    <x v="1"/>
    <n v="199"/>
    <x v="137"/>
    <x v="0"/>
    <s v="LM"/>
    <s v="S"/>
    <x v="0"/>
    <x v="4"/>
    <x v="546"/>
    <m/>
    <x v="316"/>
    <m/>
    <x v="2"/>
    <x v="0"/>
    <x v="317"/>
    <d v="2012-03-07T00:00:00"/>
    <x v="2"/>
    <x v="0"/>
    <m/>
    <m/>
    <x v="0"/>
    <x v="1"/>
    <m/>
    <x v="0"/>
    <x v="5"/>
    <x v="138"/>
    <x v="2"/>
    <x v="0"/>
    <x v="0"/>
    <x v="317"/>
    <x v="2357"/>
  </r>
  <r>
    <x v="1"/>
    <n v="199"/>
    <x v="137"/>
    <x v="0"/>
    <s v="LM"/>
    <s v="S"/>
    <x v="0"/>
    <x v="4"/>
    <x v="547"/>
    <m/>
    <x v="22"/>
    <m/>
    <x v="3"/>
    <x v="0"/>
    <x v="313"/>
    <d v="2012-05-30T00:00:00"/>
    <x v="4"/>
    <x v="0"/>
    <m/>
    <m/>
    <x v="0"/>
    <x v="1"/>
    <m/>
    <x v="0"/>
    <x v="5"/>
    <x v="138"/>
    <x v="3"/>
    <x v="0"/>
    <x v="1"/>
    <x v="313"/>
    <x v="2358"/>
  </r>
  <r>
    <x v="1"/>
    <n v="199"/>
    <x v="137"/>
    <x v="0"/>
    <s v="LM"/>
    <s v="S"/>
    <x v="0"/>
    <x v="4"/>
    <x v="441"/>
    <m/>
    <x v="282"/>
    <m/>
    <x v="2"/>
    <x v="0"/>
    <x v="280"/>
    <d v="2012-07-08T00:00:00"/>
    <x v="17"/>
    <x v="0"/>
    <m/>
    <s v="Hommages: Miguel Gomes"/>
    <x v="0"/>
    <x v="0"/>
    <m/>
    <x v="0"/>
    <x v="5"/>
    <x v="138"/>
    <x v="2"/>
    <x v="0"/>
    <x v="0"/>
    <x v="280"/>
    <x v="2359"/>
  </r>
  <r>
    <x v="1"/>
    <n v="199"/>
    <x v="137"/>
    <x v="0"/>
    <s v="LM"/>
    <s v="S"/>
    <x v="0"/>
    <x v="4"/>
    <x v="404"/>
    <m/>
    <x v="264"/>
    <m/>
    <x v="15"/>
    <x v="0"/>
    <x v="234"/>
    <d v="2012-12-01T00:00:00"/>
    <x v="11"/>
    <x v="0"/>
    <m/>
    <s v="Onde: Omaggio a Miguel Gomes"/>
    <x v="0"/>
    <x v="0"/>
    <m/>
    <x v="0"/>
    <x v="5"/>
    <x v="138"/>
    <x v="15"/>
    <x v="0"/>
    <x v="0"/>
    <x v="234"/>
    <x v="2360"/>
  </r>
  <r>
    <x v="1"/>
    <n v="1568"/>
    <x v="992"/>
    <x v="0"/>
    <s v="CM"/>
    <s v="N"/>
    <x v="671"/>
    <x v="41"/>
    <x v="548"/>
    <m/>
    <x v="24"/>
    <m/>
    <x v="3"/>
    <x v="0"/>
    <x v="296"/>
    <m/>
    <x v="12"/>
    <x v="1"/>
    <m/>
    <m/>
    <x v="0"/>
    <x v="1"/>
    <m/>
    <x v="0"/>
    <x v="0"/>
    <x v="996"/>
    <x v="3"/>
    <x v="0"/>
    <x v="1"/>
    <x v="296"/>
    <x v="2361"/>
  </r>
  <r>
    <x v="1"/>
    <n v="200"/>
    <x v="993"/>
    <x v="0"/>
    <s v="Série"/>
    <s v=""/>
    <x v="18"/>
    <x v="2"/>
    <x v="62"/>
    <m/>
    <x v="23"/>
    <m/>
    <x v="3"/>
    <x v="0"/>
    <x v="302"/>
    <d v="2012-03-04T00:00:00"/>
    <x v="19"/>
    <x v="0"/>
    <m/>
    <s v="Retrospectivas - António-Pedro Vasconcelos"/>
    <x v="0"/>
    <x v="0"/>
    <m/>
    <x v="0"/>
    <x v="16"/>
    <x v="997"/>
    <x v="3"/>
    <x v="0"/>
    <x v="1"/>
    <x v="302"/>
    <x v="2362"/>
  </r>
  <r>
    <x v="1"/>
    <n v="1428"/>
    <x v="994"/>
    <x v="1"/>
    <s v="CM"/>
    <s v="N"/>
    <x v="672"/>
    <x v="41"/>
    <x v="25"/>
    <m/>
    <x v="24"/>
    <m/>
    <x v="3"/>
    <x v="0"/>
    <x v="294"/>
    <d v="2012-10-28T00:00:00"/>
    <x v="14"/>
    <x v="0"/>
    <m/>
    <s v="Verdes Anos"/>
    <x v="0"/>
    <x v="0"/>
    <m/>
    <x v="0"/>
    <x v="2"/>
    <x v="998"/>
    <x v="3"/>
    <x v="0"/>
    <x v="1"/>
    <x v="294"/>
    <x v="2363"/>
  </r>
  <r>
    <x v="1"/>
    <n v="201"/>
    <x v="995"/>
    <x v="0"/>
    <s v="CM"/>
    <s v="N"/>
    <x v="673"/>
    <x v="3"/>
    <x v="549"/>
    <m/>
    <x v="24"/>
    <m/>
    <x v="3"/>
    <x v="0"/>
    <x v="318"/>
    <m/>
    <x v="1"/>
    <x v="0"/>
    <m/>
    <m/>
    <x v="0"/>
    <x v="1"/>
    <m/>
    <x v="0"/>
    <x v="0"/>
    <x v="999"/>
    <x v="3"/>
    <x v="0"/>
    <x v="1"/>
    <x v="318"/>
    <x v="2364"/>
  </r>
  <r>
    <x v="1"/>
    <n v="201"/>
    <x v="995"/>
    <x v="0"/>
    <s v="CM"/>
    <s v="N"/>
    <x v="673"/>
    <x v="3"/>
    <x v="550"/>
    <m/>
    <x v="20"/>
    <m/>
    <x v="5"/>
    <x v="0"/>
    <x v="256"/>
    <m/>
    <x v="2"/>
    <x v="0"/>
    <m/>
    <s v="Curta Convidada"/>
    <x v="0"/>
    <x v="1"/>
    <m/>
    <x v="0"/>
    <x v="0"/>
    <x v="999"/>
    <x v="5"/>
    <x v="0"/>
    <x v="0"/>
    <x v="256"/>
    <x v="2365"/>
  </r>
  <r>
    <x v="1"/>
    <n v="201"/>
    <x v="995"/>
    <x v="0"/>
    <s v="CM"/>
    <s v="N"/>
    <x v="673"/>
    <x v="3"/>
    <x v="551"/>
    <m/>
    <x v="23"/>
    <m/>
    <x v="3"/>
    <x v="0"/>
    <x v="372"/>
    <m/>
    <x v="2"/>
    <x v="1"/>
    <m/>
    <m/>
    <x v="0"/>
    <x v="1"/>
    <m/>
    <x v="0"/>
    <x v="0"/>
    <x v="999"/>
    <x v="3"/>
    <x v="0"/>
    <x v="1"/>
    <x v="372"/>
    <x v="2366"/>
  </r>
  <r>
    <x v="1"/>
    <n v="201"/>
    <x v="995"/>
    <x v="0"/>
    <s v="CM"/>
    <s v="N"/>
    <x v="673"/>
    <x v="3"/>
    <x v="467"/>
    <m/>
    <x v="24"/>
    <m/>
    <x v="3"/>
    <x v="0"/>
    <x v="314"/>
    <m/>
    <x v="6"/>
    <x v="1"/>
    <m/>
    <m/>
    <x v="0"/>
    <x v="1"/>
    <m/>
    <x v="0"/>
    <x v="0"/>
    <x v="999"/>
    <x v="3"/>
    <x v="0"/>
    <x v="1"/>
    <x v="314"/>
    <x v="2367"/>
  </r>
  <r>
    <x v="1"/>
    <n v="201"/>
    <x v="995"/>
    <x v="0"/>
    <s v="CM"/>
    <s v="N"/>
    <x v="673"/>
    <x v="3"/>
    <x v="552"/>
    <m/>
    <x v="11"/>
    <m/>
    <x v="3"/>
    <x v="0"/>
    <x v="301"/>
    <m/>
    <x v="7"/>
    <x v="1"/>
    <m/>
    <m/>
    <x v="235"/>
    <x v="1"/>
    <m/>
    <x v="1"/>
    <x v="0"/>
    <x v="999"/>
    <x v="3"/>
    <x v="273"/>
    <x v="1"/>
    <x v="301"/>
    <x v="2368"/>
  </r>
  <r>
    <x v="1"/>
    <n v="201"/>
    <x v="995"/>
    <x v="0"/>
    <s v="CM"/>
    <s v="N"/>
    <x v="673"/>
    <x v="3"/>
    <x v="450"/>
    <m/>
    <x v="24"/>
    <m/>
    <x v="3"/>
    <x v="0"/>
    <x v="237"/>
    <m/>
    <x v="7"/>
    <x v="0"/>
    <m/>
    <m/>
    <x v="0"/>
    <x v="1"/>
    <m/>
    <x v="0"/>
    <x v="0"/>
    <x v="999"/>
    <x v="3"/>
    <x v="0"/>
    <x v="1"/>
    <x v="237"/>
    <x v="2369"/>
  </r>
  <r>
    <x v="1"/>
    <n v="203"/>
    <x v="996"/>
    <x v="4"/>
    <s v="CM"/>
    <s v="N"/>
    <x v="674"/>
    <x v="2"/>
    <x v="427"/>
    <m/>
    <x v="275"/>
    <m/>
    <x v="65"/>
    <x v="0"/>
    <x v="259"/>
    <d v="2012-03-11T00:00:00"/>
    <x v="2"/>
    <x v="0"/>
    <m/>
    <s v="Portugal1"/>
    <x v="0"/>
    <x v="0"/>
    <m/>
    <x v="0"/>
    <x v="8"/>
    <x v="1000"/>
    <x v="65"/>
    <x v="0"/>
    <x v="0"/>
    <x v="259"/>
    <x v="2370"/>
  </r>
  <r>
    <x v="1"/>
    <n v="879"/>
    <x v="997"/>
    <x v="0"/>
    <s v="CM"/>
    <s v="S"/>
    <x v="182"/>
    <x v="1"/>
    <x v="133"/>
    <m/>
    <x v="101"/>
    <m/>
    <x v="3"/>
    <x v="0"/>
    <x v="331"/>
    <d v="2012-12-09T00:00:00"/>
    <x v="12"/>
    <x v="0"/>
    <m/>
    <s v="Sangue Novo - André Gil Mata"/>
    <x v="0"/>
    <x v="0"/>
    <m/>
    <x v="0"/>
    <x v="0"/>
    <x v="1001"/>
    <x v="3"/>
    <x v="0"/>
    <x v="1"/>
    <x v="331"/>
    <x v="2371"/>
  </r>
  <r>
    <x v="1"/>
    <n v="205"/>
    <x v="140"/>
    <x v="0"/>
    <s v="CM"/>
    <s v="S"/>
    <x v="120"/>
    <x v="1"/>
    <x v="553"/>
    <m/>
    <x v="17"/>
    <m/>
    <x v="2"/>
    <x v="0"/>
    <x v="352"/>
    <d v="2012-02-12T00:00:00"/>
    <x v="18"/>
    <x v="0"/>
    <m/>
    <s v="Cartes Blanches Festivals: INDIELISBOA"/>
    <x v="0"/>
    <x v="0"/>
    <m/>
    <x v="0"/>
    <x v="0"/>
    <x v="141"/>
    <x v="2"/>
    <x v="0"/>
    <x v="0"/>
    <x v="352"/>
    <x v="2372"/>
  </r>
  <r>
    <x v="1"/>
    <n v="205"/>
    <x v="140"/>
    <x v="0"/>
    <s v="CM"/>
    <s v="S"/>
    <x v="120"/>
    <x v="1"/>
    <x v="427"/>
    <m/>
    <x v="275"/>
    <m/>
    <x v="65"/>
    <x v="0"/>
    <x v="259"/>
    <d v="2012-03-11T00:00:00"/>
    <x v="2"/>
    <x v="0"/>
    <m/>
    <s v="Portugal1"/>
    <x v="0"/>
    <x v="0"/>
    <m/>
    <x v="0"/>
    <x v="0"/>
    <x v="141"/>
    <x v="65"/>
    <x v="0"/>
    <x v="0"/>
    <x v="259"/>
    <x v="2373"/>
  </r>
  <r>
    <x v="1"/>
    <n v="205"/>
    <x v="140"/>
    <x v="0"/>
    <s v="CM"/>
    <s v="S"/>
    <x v="120"/>
    <x v="1"/>
    <x v="407"/>
    <m/>
    <x v="154"/>
    <m/>
    <x v="0"/>
    <x v="0"/>
    <x v="237"/>
    <d v="2012-07-08T00:00:00"/>
    <x v="17"/>
    <x v="0"/>
    <m/>
    <m/>
    <x v="0"/>
    <x v="1"/>
    <m/>
    <x v="0"/>
    <x v="0"/>
    <x v="141"/>
    <x v="0"/>
    <x v="0"/>
    <x v="0"/>
    <x v="237"/>
    <x v="2374"/>
  </r>
  <r>
    <x v="1"/>
    <n v="205"/>
    <x v="140"/>
    <x v="0"/>
    <s v="CM"/>
    <s v="S"/>
    <x v="120"/>
    <x v="1"/>
    <x v="58"/>
    <m/>
    <x v="47"/>
    <m/>
    <x v="3"/>
    <x v="0"/>
    <x v="118"/>
    <d v="2012-09-09T00:00:00"/>
    <x v="9"/>
    <x v="0"/>
    <m/>
    <m/>
    <x v="0"/>
    <x v="1"/>
    <m/>
    <x v="0"/>
    <x v="0"/>
    <x v="141"/>
    <x v="3"/>
    <x v="0"/>
    <x v="1"/>
    <x v="118"/>
    <x v="2375"/>
  </r>
  <r>
    <x v="1"/>
    <n v="205"/>
    <x v="140"/>
    <x v="0"/>
    <s v="CM"/>
    <s v="S"/>
    <x v="120"/>
    <x v="1"/>
    <x v="538"/>
    <m/>
    <x v="315"/>
    <m/>
    <x v="3"/>
    <x v="0"/>
    <x v="276"/>
    <m/>
    <x v="9"/>
    <x v="0"/>
    <m/>
    <m/>
    <x v="0"/>
    <x v="1"/>
    <m/>
    <x v="0"/>
    <x v="0"/>
    <x v="141"/>
    <x v="3"/>
    <x v="0"/>
    <x v="1"/>
    <x v="276"/>
    <x v="2376"/>
  </r>
  <r>
    <x v="1"/>
    <n v="205"/>
    <x v="140"/>
    <x v="0"/>
    <s v="CM"/>
    <s v="S"/>
    <x v="120"/>
    <x v="1"/>
    <x v="444"/>
    <m/>
    <x v="283"/>
    <m/>
    <x v="3"/>
    <x v="0"/>
    <x v="285"/>
    <d v="2012-10-17T00:00:00"/>
    <x v="14"/>
    <x v="0"/>
    <m/>
    <m/>
    <x v="0"/>
    <x v="1"/>
    <m/>
    <x v="0"/>
    <x v="0"/>
    <x v="141"/>
    <x v="3"/>
    <x v="0"/>
    <x v="1"/>
    <x v="285"/>
    <x v="2377"/>
  </r>
  <r>
    <x v="1"/>
    <n v="205"/>
    <x v="140"/>
    <x v="0"/>
    <s v="CM"/>
    <s v="S"/>
    <x v="120"/>
    <x v="1"/>
    <x v="451"/>
    <m/>
    <x v="24"/>
    <m/>
    <x v="3"/>
    <x v="0"/>
    <x v="295"/>
    <d v="2012-10-28T00:00:00"/>
    <x v="14"/>
    <x v="0"/>
    <m/>
    <m/>
    <x v="0"/>
    <x v="1"/>
    <m/>
    <x v="0"/>
    <x v="0"/>
    <x v="141"/>
    <x v="3"/>
    <x v="0"/>
    <x v="1"/>
    <x v="295"/>
    <x v="2378"/>
  </r>
  <r>
    <x v="1"/>
    <n v="205"/>
    <x v="140"/>
    <x v="0"/>
    <s v="CM"/>
    <s v="S"/>
    <x v="120"/>
    <x v="1"/>
    <x v="409"/>
    <m/>
    <x v="58"/>
    <m/>
    <x v="17"/>
    <x v="0"/>
    <x v="239"/>
    <d v="2012-12-08T00:00:00"/>
    <x v="11"/>
    <x v="0"/>
    <m/>
    <m/>
    <x v="0"/>
    <x v="1"/>
    <m/>
    <x v="0"/>
    <x v="0"/>
    <x v="141"/>
    <x v="17"/>
    <x v="0"/>
    <x v="0"/>
    <x v="239"/>
    <x v="2379"/>
  </r>
  <r>
    <x v="1"/>
    <n v="205"/>
    <x v="140"/>
    <x v="0"/>
    <s v="CM"/>
    <s v="S"/>
    <x v="120"/>
    <x v="1"/>
    <x v="133"/>
    <m/>
    <x v="101"/>
    <m/>
    <x v="3"/>
    <x v="0"/>
    <x v="331"/>
    <d v="2012-12-09T00:00:00"/>
    <x v="12"/>
    <x v="0"/>
    <m/>
    <s v="Em Debate - João Salaviza"/>
    <x v="0"/>
    <x v="0"/>
    <m/>
    <x v="0"/>
    <x v="0"/>
    <x v="141"/>
    <x v="3"/>
    <x v="0"/>
    <x v="1"/>
    <x v="331"/>
    <x v="2380"/>
  </r>
  <r>
    <x v="1"/>
    <n v="210"/>
    <x v="144"/>
    <x v="1"/>
    <s v="CM"/>
    <s v="N"/>
    <x v="124"/>
    <x v="2"/>
    <x v="316"/>
    <m/>
    <x v="11"/>
    <m/>
    <x v="3"/>
    <x v="0"/>
    <x v="199"/>
    <d v="2012-08-25T00:00:00"/>
    <x v="16"/>
    <x v="1"/>
    <s v="Documentário"/>
    <m/>
    <x v="0"/>
    <x v="0"/>
    <m/>
    <x v="0"/>
    <x v="2"/>
    <x v="146"/>
    <x v="3"/>
    <x v="0"/>
    <x v="1"/>
    <x v="199"/>
    <x v="2381"/>
  </r>
  <r>
    <x v="1"/>
    <n v="211"/>
    <x v="998"/>
    <x v="0"/>
    <s v="CM"/>
    <s v="N"/>
    <x v="675"/>
    <x v="2"/>
    <x v="412"/>
    <m/>
    <x v="269"/>
    <m/>
    <x v="3"/>
    <x v="0"/>
    <x v="242"/>
    <m/>
    <x v="7"/>
    <x v="1"/>
    <m/>
    <m/>
    <x v="0"/>
    <x v="0"/>
    <m/>
    <x v="0"/>
    <x v="0"/>
    <x v="1002"/>
    <x v="3"/>
    <x v="0"/>
    <x v="1"/>
    <x v="242"/>
    <x v="2382"/>
  </r>
  <r>
    <x v="1"/>
    <n v="1417"/>
    <x v="999"/>
    <x v="1"/>
    <s v="CM"/>
    <s v="N"/>
    <x v="676"/>
    <x v="41"/>
    <x v="25"/>
    <m/>
    <x v="24"/>
    <m/>
    <x v="3"/>
    <x v="0"/>
    <x v="294"/>
    <d v="2012-10-28T00:00:00"/>
    <x v="14"/>
    <x v="0"/>
    <m/>
    <s v="Cinema de Urgência"/>
    <x v="0"/>
    <x v="0"/>
    <m/>
    <x v="0"/>
    <x v="2"/>
    <x v="1003"/>
    <x v="3"/>
    <x v="0"/>
    <x v="1"/>
    <x v="294"/>
    <x v="2383"/>
  </r>
  <r>
    <x v="1"/>
    <n v="215"/>
    <x v="148"/>
    <x v="1"/>
    <s v="CM"/>
    <s v="S"/>
    <x v="127"/>
    <x v="2"/>
    <x v="62"/>
    <m/>
    <x v="23"/>
    <m/>
    <x v="3"/>
    <x v="0"/>
    <x v="302"/>
    <d v="2012-03-04T00:00:00"/>
    <x v="19"/>
    <x v="1"/>
    <s v="Prémio de Cinema Português - Escolas de Cinema"/>
    <m/>
    <x v="0"/>
    <x v="0"/>
    <m/>
    <x v="0"/>
    <x v="2"/>
    <x v="150"/>
    <x v="3"/>
    <x v="0"/>
    <x v="1"/>
    <x v="302"/>
    <x v="2384"/>
  </r>
  <r>
    <x v="1"/>
    <n v="215"/>
    <x v="148"/>
    <x v="1"/>
    <s v="CM"/>
    <s v="S"/>
    <x v="127"/>
    <x v="2"/>
    <x v="554"/>
    <m/>
    <x v="24"/>
    <m/>
    <x v="3"/>
    <x v="0"/>
    <x v="232"/>
    <m/>
    <x v="5"/>
    <x v="1"/>
    <m/>
    <m/>
    <x v="236"/>
    <x v="1"/>
    <m/>
    <x v="1"/>
    <x v="2"/>
    <x v="150"/>
    <x v="3"/>
    <x v="274"/>
    <x v="1"/>
    <x v="232"/>
    <x v="2385"/>
  </r>
  <r>
    <x v="1"/>
    <n v="215"/>
    <x v="148"/>
    <x v="1"/>
    <s v="CM"/>
    <s v="S"/>
    <x v="127"/>
    <x v="2"/>
    <x v="555"/>
    <m/>
    <x v="317"/>
    <m/>
    <x v="8"/>
    <x v="0"/>
    <x v="358"/>
    <d v="2012-04-29T00:00:00"/>
    <x v="5"/>
    <x v="0"/>
    <m/>
    <m/>
    <x v="0"/>
    <x v="0"/>
    <m/>
    <x v="0"/>
    <x v="2"/>
    <x v="150"/>
    <x v="8"/>
    <x v="0"/>
    <x v="0"/>
    <x v="358"/>
    <x v="2386"/>
  </r>
  <r>
    <x v="1"/>
    <n v="215"/>
    <x v="148"/>
    <x v="1"/>
    <s v="CM"/>
    <s v="S"/>
    <x v="127"/>
    <x v="2"/>
    <x v="556"/>
    <m/>
    <x v="23"/>
    <m/>
    <x v="3"/>
    <x v="0"/>
    <x v="373"/>
    <m/>
    <x v="6"/>
    <x v="1"/>
    <m/>
    <m/>
    <x v="237"/>
    <x v="1"/>
    <m/>
    <x v="1"/>
    <x v="2"/>
    <x v="150"/>
    <x v="3"/>
    <x v="275"/>
    <x v="1"/>
    <x v="373"/>
    <x v="2387"/>
  </r>
  <r>
    <x v="1"/>
    <n v="215"/>
    <x v="148"/>
    <x v="1"/>
    <s v="CM"/>
    <s v="S"/>
    <x v="127"/>
    <x v="2"/>
    <x v="413"/>
    <m/>
    <x v="270"/>
    <m/>
    <x v="3"/>
    <x v="0"/>
    <x v="243"/>
    <d v="2012-06-03T00:00:00"/>
    <x v="7"/>
    <x v="1"/>
    <s v="Universidades"/>
    <m/>
    <x v="238"/>
    <x v="0"/>
    <m/>
    <x v="1"/>
    <x v="2"/>
    <x v="150"/>
    <x v="3"/>
    <x v="276"/>
    <x v="1"/>
    <x v="243"/>
    <x v="2388"/>
  </r>
  <r>
    <x v="1"/>
    <n v="215"/>
    <x v="148"/>
    <x v="1"/>
    <s v="CM"/>
    <s v="S"/>
    <x v="127"/>
    <x v="2"/>
    <x v="431"/>
    <m/>
    <x v="277"/>
    <m/>
    <x v="14"/>
    <x v="0"/>
    <x v="243"/>
    <d v="2012-06-02T00:00:00"/>
    <x v="7"/>
    <x v="0"/>
    <m/>
    <m/>
    <x v="0"/>
    <x v="0"/>
    <m/>
    <x v="0"/>
    <x v="2"/>
    <x v="150"/>
    <x v="14"/>
    <x v="0"/>
    <x v="0"/>
    <x v="243"/>
    <x v="2389"/>
  </r>
  <r>
    <x v="1"/>
    <n v="217"/>
    <x v="1000"/>
    <x v="0"/>
    <s v="CM"/>
    <s v="N"/>
    <x v="677"/>
    <x v="3"/>
    <x v="428"/>
    <m/>
    <x v="24"/>
    <m/>
    <x v="3"/>
    <x v="0"/>
    <x v="260"/>
    <d v="2012-04-19T00:00:00"/>
    <x v="5"/>
    <x v="0"/>
    <m/>
    <m/>
    <x v="0"/>
    <x v="1"/>
    <m/>
    <x v="0"/>
    <x v="0"/>
    <x v="1004"/>
    <x v="3"/>
    <x v="0"/>
    <x v="1"/>
    <x v="260"/>
    <x v="2390"/>
  </r>
  <r>
    <x v="1"/>
    <n v="217"/>
    <x v="1000"/>
    <x v="0"/>
    <s v="CM"/>
    <s v="N"/>
    <x v="677"/>
    <x v="3"/>
    <x v="548"/>
    <m/>
    <x v="24"/>
    <m/>
    <x v="3"/>
    <x v="0"/>
    <x v="296"/>
    <m/>
    <x v="12"/>
    <x v="1"/>
    <m/>
    <m/>
    <x v="239"/>
    <x v="1"/>
    <m/>
    <x v="1"/>
    <x v="0"/>
    <x v="1004"/>
    <x v="3"/>
    <x v="277"/>
    <x v="1"/>
    <x v="296"/>
    <x v="2391"/>
  </r>
  <r>
    <x v="1"/>
    <n v="1546"/>
    <x v="1001"/>
    <x v="1"/>
    <s v="LM"/>
    <s v="S"/>
    <x v="678"/>
    <x v="18"/>
    <x v="557"/>
    <m/>
    <x v="20"/>
    <m/>
    <x v="5"/>
    <x v="0"/>
    <x v="374"/>
    <d v="2012-11-17T00:00:00"/>
    <x v="0"/>
    <x v="0"/>
    <m/>
    <m/>
    <x v="0"/>
    <x v="1"/>
    <m/>
    <x v="0"/>
    <x v="1"/>
    <x v="1005"/>
    <x v="5"/>
    <x v="0"/>
    <x v="0"/>
    <x v="374"/>
    <x v="2392"/>
  </r>
  <r>
    <x v="1"/>
    <n v="1546"/>
    <x v="1001"/>
    <x v="1"/>
    <s v="LM"/>
    <s v="S"/>
    <x v="678"/>
    <x v="18"/>
    <x v="37"/>
    <m/>
    <x v="35"/>
    <m/>
    <x v="2"/>
    <x v="0"/>
    <x v="304"/>
    <d v="2012-12-02T00:00:00"/>
    <x v="11"/>
    <x v="0"/>
    <m/>
    <s v="Panorama Fenêtre Ouverte Documentaire"/>
    <x v="0"/>
    <x v="0"/>
    <m/>
    <x v="0"/>
    <x v="1"/>
    <x v="1005"/>
    <x v="2"/>
    <x v="0"/>
    <x v="0"/>
    <x v="304"/>
    <x v="2393"/>
  </r>
  <r>
    <x v="1"/>
    <n v="219"/>
    <x v="1002"/>
    <x v="2"/>
    <s v="Série"/>
    <s v="N"/>
    <x v="153"/>
    <x v="2"/>
    <x v="558"/>
    <m/>
    <x v="24"/>
    <m/>
    <x v="3"/>
    <x v="0"/>
    <x v="375"/>
    <m/>
    <x v="15"/>
    <x v="1"/>
    <s v="Animação Digital"/>
    <m/>
    <x v="37"/>
    <x v="2"/>
    <m/>
    <x v="1"/>
    <x v="9"/>
    <x v="1006"/>
    <x v="3"/>
    <x v="278"/>
    <x v="1"/>
    <x v="375"/>
    <x v="2394"/>
  </r>
  <r>
    <x v="1"/>
    <n v="220"/>
    <x v="1003"/>
    <x v="0"/>
    <s v="LM"/>
    <s v="S"/>
    <x v="105"/>
    <x v="2"/>
    <x v="559"/>
    <m/>
    <x v="24"/>
    <m/>
    <x v="3"/>
    <x v="0"/>
    <x v="245"/>
    <d v="2012-02-28T00:00:00"/>
    <x v="1"/>
    <x v="0"/>
    <m/>
    <m/>
    <x v="0"/>
    <x v="1"/>
    <m/>
    <x v="0"/>
    <x v="5"/>
    <x v="1007"/>
    <x v="3"/>
    <x v="0"/>
    <x v="1"/>
    <x v="245"/>
    <x v="2395"/>
  </r>
  <r>
    <x v="1"/>
    <n v="221"/>
    <x v="1004"/>
    <x v="1"/>
    <s v="LM"/>
    <s v="S"/>
    <x v="679"/>
    <x v="5"/>
    <x v="545"/>
    <m/>
    <x v="92"/>
    <m/>
    <x v="16"/>
    <x v="0"/>
    <x v="371"/>
    <d v="2012-03-16T00:00:00"/>
    <x v="19"/>
    <x v="0"/>
    <m/>
    <m/>
    <x v="0"/>
    <x v="1"/>
    <m/>
    <x v="0"/>
    <x v="1"/>
    <x v="1008"/>
    <x v="16"/>
    <x v="0"/>
    <x v="0"/>
    <x v="371"/>
    <x v="2396"/>
  </r>
  <r>
    <x v="1"/>
    <n v="1480"/>
    <x v="1005"/>
    <x v="1"/>
    <s v="CM"/>
    <s v="N"/>
    <x v="680"/>
    <x v="41"/>
    <x v="88"/>
    <m/>
    <x v="67"/>
    <m/>
    <x v="3"/>
    <x v="0"/>
    <x v="262"/>
    <d v="2012-10-13T00:00:00"/>
    <x v="14"/>
    <x v="0"/>
    <s v="Competição Lusófona - Panorama Regional"/>
    <m/>
    <x v="0"/>
    <x v="0"/>
    <m/>
    <x v="0"/>
    <x v="2"/>
    <x v="1009"/>
    <x v="3"/>
    <x v="0"/>
    <x v="1"/>
    <x v="262"/>
    <x v="2397"/>
  </r>
  <r>
    <x v="1"/>
    <n v="1490"/>
    <x v="1006"/>
    <x v="2"/>
    <s v="Série"/>
    <s v="S"/>
    <x v="681"/>
    <x v="1"/>
    <x v="27"/>
    <m/>
    <x v="25"/>
    <m/>
    <x v="3"/>
    <x v="0"/>
    <x v="307"/>
    <d v="2012-11-18T00:00:00"/>
    <x v="13"/>
    <x v="0"/>
    <m/>
    <s v="Ilustração e Animação"/>
    <x v="0"/>
    <x v="0"/>
    <m/>
    <x v="0"/>
    <x v="9"/>
    <x v="1010"/>
    <x v="3"/>
    <x v="0"/>
    <x v="1"/>
    <x v="307"/>
    <x v="2398"/>
  </r>
  <r>
    <x v="1"/>
    <n v="222"/>
    <x v="1007"/>
    <x v="0"/>
    <s v="CM"/>
    <s v="S"/>
    <x v="330"/>
    <x v="41"/>
    <x v="90"/>
    <m/>
    <x v="69"/>
    <m/>
    <x v="8"/>
    <x v="0"/>
    <x v="273"/>
    <d v="2012-02-05T00:00:00"/>
    <x v="18"/>
    <x v="1"/>
    <s v="Tiger Awards Competition for Short Films"/>
    <m/>
    <x v="0"/>
    <x v="0"/>
    <m/>
    <x v="0"/>
    <x v="0"/>
    <x v="1011"/>
    <x v="8"/>
    <x v="0"/>
    <x v="0"/>
    <x v="273"/>
    <x v="2399"/>
  </r>
  <r>
    <x v="1"/>
    <n v="222"/>
    <x v="1007"/>
    <x v="0"/>
    <s v="CM"/>
    <s v="S"/>
    <x v="330"/>
    <x v="41"/>
    <x v="498"/>
    <m/>
    <x v="303"/>
    <m/>
    <x v="17"/>
    <x v="0"/>
    <x v="306"/>
    <d v="2012-07-01T00:00:00"/>
    <x v="17"/>
    <x v="0"/>
    <m/>
    <m/>
    <x v="0"/>
    <x v="0"/>
    <m/>
    <x v="0"/>
    <x v="0"/>
    <x v="1011"/>
    <x v="17"/>
    <x v="0"/>
    <x v="0"/>
    <x v="306"/>
    <x v="2400"/>
  </r>
  <r>
    <x v="1"/>
    <n v="222"/>
    <x v="1007"/>
    <x v="0"/>
    <s v="CM"/>
    <s v="S"/>
    <x v="330"/>
    <x v="41"/>
    <x v="68"/>
    <m/>
    <x v="53"/>
    <m/>
    <x v="3"/>
    <x v="0"/>
    <x v="253"/>
    <d v="2012-07-15T00:00:00"/>
    <x v="8"/>
    <x v="1"/>
    <s v="Competição Nacional"/>
    <m/>
    <x v="0"/>
    <x v="0"/>
    <m/>
    <x v="0"/>
    <x v="0"/>
    <x v="1011"/>
    <x v="3"/>
    <x v="0"/>
    <x v="1"/>
    <x v="253"/>
    <x v="2401"/>
  </r>
  <r>
    <x v="1"/>
    <n v="222"/>
    <x v="1007"/>
    <x v="0"/>
    <s v="CM"/>
    <s v="S"/>
    <x v="330"/>
    <x v="41"/>
    <x v="510"/>
    <m/>
    <x v="133"/>
    <m/>
    <x v="0"/>
    <x v="0"/>
    <x v="199"/>
    <d v="2012-08-31T00:00:00"/>
    <x v="16"/>
    <x v="0"/>
    <m/>
    <s v="Mostra Internacional 5"/>
    <x v="0"/>
    <x v="0"/>
    <m/>
    <x v="0"/>
    <x v="0"/>
    <x v="1011"/>
    <x v="0"/>
    <x v="0"/>
    <x v="0"/>
    <x v="199"/>
    <x v="2402"/>
  </r>
  <r>
    <x v="1"/>
    <n v="222"/>
    <x v="1007"/>
    <x v="0"/>
    <s v="CM"/>
    <s v="S"/>
    <x v="330"/>
    <x v="41"/>
    <x v="278"/>
    <m/>
    <x v="194"/>
    <m/>
    <x v="50"/>
    <x v="0"/>
    <x v="376"/>
    <d v="2012-09-22T00:00:00"/>
    <x v="9"/>
    <x v="1"/>
    <s v="Competition Shorts"/>
    <m/>
    <x v="0"/>
    <x v="0"/>
    <m/>
    <x v="0"/>
    <x v="0"/>
    <x v="1011"/>
    <x v="50"/>
    <x v="0"/>
    <x v="0"/>
    <x v="376"/>
    <x v="2403"/>
  </r>
  <r>
    <x v="1"/>
    <n v="222"/>
    <x v="1007"/>
    <x v="0"/>
    <s v="CM"/>
    <s v="S"/>
    <x v="330"/>
    <x v="41"/>
    <x v="353"/>
    <m/>
    <x v="237"/>
    <m/>
    <x v="17"/>
    <x v="0"/>
    <x v="377"/>
    <d v="2012-09-23T00:00:00"/>
    <x v="9"/>
    <x v="1"/>
    <s v="Brief Encounters Competition - INT 6: Take me Out"/>
    <m/>
    <x v="0"/>
    <x v="0"/>
    <m/>
    <x v="0"/>
    <x v="0"/>
    <x v="1011"/>
    <x v="17"/>
    <x v="0"/>
    <x v="0"/>
    <x v="377"/>
    <x v="2404"/>
  </r>
  <r>
    <x v="1"/>
    <n v="222"/>
    <x v="1007"/>
    <x v="0"/>
    <s v="CM"/>
    <s v="S"/>
    <x v="330"/>
    <x v="41"/>
    <x v="341"/>
    <m/>
    <x v="231"/>
    <m/>
    <x v="58"/>
    <x v="0"/>
    <x v="378"/>
    <d v="2012-10-20T00:00:00"/>
    <x v="14"/>
    <x v="1"/>
    <s v="Shorts - Competition for European Shorts"/>
    <m/>
    <x v="240"/>
    <x v="0"/>
    <m/>
    <x v="1"/>
    <x v="0"/>
    <x v="1011"/>
    <x v="58"/>
    <x v="279"/>
    <x v="0"/>
    <x v="378"/>
    <x v="2405"/>
  </r>
  <r>
    <x v="1"/>
    <n v="222"/>
    <x v="1007"/>
    <x v="0"/>
    <s v="CM"/>
    <s v="S"/>
    <x v="330"/>
    <x v="41"/>
    <x v="389"/>
    <m/>
    <x v="173"/>
    <m/>
    <x v="7"/>
    <x v="0"/>
    <x v="338"/>
    <d v="2012-10-21T00:00:00"/>
    <x v="14"/>
    <x v="1"/>
    <s v="Sélection Internationale - Courts métrages: Attractions"/>
    <m/>
    <x v="0"/>
    <x v="0"/>
    <m/>
    <x v="0"/>
    <x v="0"/>
    <x v="1011"/>
    <x v="7"/>
    <x v="0"/>
    <x v="0"/>
    <x v="338"/>
    <x v="2406"/>
  </r>
  <r>
    <x v="1"/>
    <n v="222"/>
    <x v="1007"/>
    <x v="0"/>
    <s v="CM"/>
    <s v="S"/>
    <x v="330"/>
    <x v="41"/>
    <x v="161"/>
    <m/>
    <x v="35"/>
    <m/>
    <x v="2"/>
    <x v="0"/>
    <x v="252"/>
    <d v="2012-11-03T00:00:00"/>
    <x v="0"/>
    <x v="1"/>
    <s v="Courts métrages compétition"/>
    <m/>
    <x v="0"/>
    <x v="0"/>
    <m/>
    <x v="0"/>
    <x v="0"/>
    <x v="1011"/>
    <x v="2"/>
    <x v="0"/>
    <x v="0"/>
    <x v="252"/>
    <x v="2407"/>
  </r>
  <r>
    <x v="1"/>
    <n v="222"/>
    <x v="1007"/>
    <x v="0"/>
    <s v="CM"/>
    <s v="S"/>
    <x v="330"/>
    <x v="41"/>
    <x v="99"/>
    <m/>
    <x v="78"/>
    <m/>
    <x v="20"/>
    <x v="0"/>
    <x v="342"/>
    <d v="2012-11-18T00:00:00"/>
    <x v="13"/>
    <x v="1"/>
    <s v="International Shorts 7"/>
    <m/>
    <x v="0"/>
    <x v="0"/>
    <m/>
    <x v="0"/>
    <x v="0"/>
    <x v="1011"/>
    <x v="20"/>
    <x v="0"/>
    <x v="0"/>
    <x v="342"/>
    <x v="2408"/>
  </r>
  <r>
    <x v="1"/>
    <n v="222"/>
    <x v="1007"/>
    <x v="0"/>
    <s v="CM"/>
    <s v="S"/>
    <x v="330"/>
    <x v="41"/>
    <x v="560"/>
    <m/>
    <x v="209"/>
    <m/>
    <x v="51"/>
    <x v="0"/>
    <x v="326"/>
    <d v="2012-11-25T00:00:00"/>
    <x v="13"/>
    <x v="1"/>
    <s v="International Competition"/>
    <m/>
    <x v="241"/>
    <x v="0"/>
    <m/>
    <x v="1"/>
    <x v="0"/>
    <x v="1011"/>
    <x v="51"/>
    <x v="280"/>
    <x v="0"/>
    <x v="326"/>
    <x v="2409"/>
  </r>
  <r>
    <x v="1"/>
    <n v="222"/>
    <x v="1007"/>
    <x v="0"/>
    <s v="CM"/>
    <s v="S"/>
    <x v="330"/>
    <x v="41"/>
    <x v="280"/>
    <m/>
    <x v="196"/>
    <m/>
    <x v="2"/>
    <x v="0"/>
    <x v="279"/>
    <d v="2012-12-02T00:00:00"/>
    <x v="11"/>
    <x v="1"/>
    <s v="Compétiton Internationale: Courts Métrages"/>
    <m/>
    <x v="0"/>
    <x v="0"/>
    <m/>
    <x v="0"/>
    <x v="0"/>
    <x v="1011"/>
    <x v="2"/>
    <x v="0"/>
    <x v="0"/>
    <x v="279"/>
    <x v="2410"/>
  </r>
  <r>
    <x v="1"/>
    <n v="222"/>
    <x v="1007"/>
    <x v="0"/>
    <s v="CM"/>
    <s v="S"/>
    <x v="330"/>
    <x v="41"/>
    <x v="133"/>
    <m/>
    <x v="101"/>
    <m/>
    <x v="3"/>
    <x v="0"/>
    <x v="331"/>
    <d v="2012-12-09T00:00:00"/>
    <x v="12"/>
    <x v="1"/>
    <s v="Curtas Metragens"/>
    <m/>
    <x v="0"/>
    <x v="0"/>
    <m/>
    <x v="0"/>
    <x v="0"/>
    <x v="1011"/>
    <x v="3"/>
    <x v="0"/>
    <x v="1"/>
    <x v="331"/>
    <x v="2411"/>
  </r>
  <r>
    <x v="1"/>
    <n v="1450"/>
    <x v="1008"/>
    <x v="1"/>
    <s v="CM"/>
    <s v="N"/>
    <x v="158"/>
    <x v="6"/>
    <x v="25"/>
    <m/>
    <x v="24"/>
    <m/>
    <x v="3"/>
    <x v="0"/>
    <x v="294"/>
    <d v="2012-10-28T00:00:00"/>
    <x v="14"/>
    <x v="0"/>
    <m/>
    <s v="Homenagem a Fernando Lopes"/>
    <x v="0"/>
    <x v="0"/>
    <m/>
    <x v="0"/>
    <x v="2"/>
    <x v="1012"/>
    <x v="3"/>
    <x v="0"/>
    <x v="1"/>
    <x v="294"/>
    <x v="2412"/>
  </r>
  <r>
    <x v="1"/>
    <n v="226"/>
    <x v="1009"/>
    <x v="1"/>
    <s v="CM"/>
    <s v="N"/>
    <x v="615"/>
    <x v="2"/>
    <x v="55"/>
    <m/>
    <x v="45"/>
    <m/>
    <x v="3"/>
    <x v="0"/>
    <x v="259"/>
    <d v="2012-03-28T00:00:00"/>
    <x v="2"/>
    <x v="0"/>
    <m/>
    <s v="17º Programa: As Escolhas de Leonor Noivo"/>
    <x v="0"/>
    <x v="1"/>
    <m/>
    <x v="0"/>
    <x v="2"/>
    <x v="1013"/>
    <x v="3"/>
    <x v="0"/>
    <x v="1"/>
    <x v="259"/>
    <x v="2413"/>
  </r>
  <r>
    <x v="1"/>
    <n v="227"/>
    <x v="154"/>
    <x v="3"/>
    <s v="CM"/>
    <s v="N"/>
    <x v="131"/>
    <x v="3"/>
    <x v="146"/>
    <m/>
    <x v="24"/>
    <m/>
    <x v="3"/>
    <x v="0"/>
    <x v="281"/>
    <d v="2012-05-06T00:00:00"/>
    <x v="4"/>
    <x v="0"/>
    <m/>
    <s v="Sessões Especiais - Novíssimos Curtas"/>
    <x v="0"/>
    <x v="0"/>
    <m/>
    <x v="0"/>
    <x v="6"/>
    <x v="156"/>
    <x v="3"/>
    <x v="0"/>
    <x v="1"/>
    <x v="281"/>
    <x v="2414"/>
  </r>
  <r>
    <x v="1"/>
    <n v="227"/>
    <x v="154"/>
    <x v="3"/>
    <s v="CM"/>
    <s v="N"/>
    <x v="131"/>
    <x v="3"/>
    <x v="68"/>
    <m/>
    <x v="53"/>
    <m/>
    <x v="3"/>
    <x v="0"/>
    <x v="253"/>
    <d v="2012-07-15T00:00:00"/>
    <x v="8"/>
    <x v="1"/>
    <s v="Take One!"/>
    <m/>
    <x v="0"/>
    <x v="0"/>
    <m/>
    <x v="0"/>
    <x v="6"/>
    <x v="156"/>
    <x v="3"/>
    <x v="0"/>
    <x v="1"/>
    <x v="253"/>
    <x v="2415"/>
  </r>
  <r>
    <x v="1"/>
    <n v="228"/>
    <x v="155"/>
    <x v="0"/>
    <s v="CM"/>
    <s v="N"/>
    <x v="132"/>
    <x v="2"/>
    <x v="561"/>
    <m/>
    <x v="24"/>
    <m/>
    <x v="3"/>
    <x v="0"/>
    <x v="365"/>
    <m/>
    <x v="6"/>
    <x v="0"/>
    <m/>
    <m/>
    <x v="0"/>
    <x v="1"/>
    <m/>
    <x v="0"/>
    <x v="0"/>
    <x v="157"/>
    <x v="3"/>
    <x v="0"/>
    <x v="1"/>
    <x v="365"/>
    <x v="2416"/>
  </r>
  <r>
    <x v="1"/>
    <n v="228"/>
    <x v="155"/>
    <x v="0"/>
    <s v="CM"/>
    <s v="N"/>
    <x v="132"/>
    <x v="2"/>
    <x v="22"/>
    <m/>
    <x v="22"/>
    <m/>
    <x v="3"/>
    <x v="0"/>
    <x v="251"/>
    <d v="2012-11-18T00:00:00"/>
    <x v="13"/>
    <x v="1"/>
    <s v="Secção Competitiva"/>
    <m/>
    <x v="242"/>
    <x v="0"/>
    <m/>
    <x v="1"/>
    <x v="0"/>
    <x v="157"/>
    <x v="3"/>
    <x v="281"/>
    <x v="1"/>
    <x v="251"/>
    <x v="2417"/>
  </r>
  <r>
    <x v="1"/>
    <n v="229"/>
    <x v="1010"/>
    <x v="2"/>
    <s v="CM"/>
    <s v="N"/>
    <x v="682"/>
    <x v="2"/>
    <x v="411"/>
    <m/>
    <x v="268"/>
    <m/>
    <x v="0"/>
    <x v="0"/>
    <x v="241"/>
    <d v="2012-05-18T00:00:00"/>
    <x v="6"/>
    <x v="0"/>
    <m/>
    <s v="Mostra dos Festivais - FIKE"/>
    <x v="0"/>
    <x v="0"/>
    <m/>
    <x v="0"/>
    <x v="4"/>
    <x v="1014"/>
    <x v="0"/>
    <x v="0"/>
    <x v="0"/>
    <x v="241"/>
    <x v="2418"/>
  </r>
  <r>
    <x v="1"/>
    <n v="1508"/>
    <x v="1011"/>
    <x v="0"/>
    <s v="CM"/>
    <s v="N"/>
    <x v="195"/>
    <x v="41"/>
    <x v="462"/>
    <m/>
    <x v="8"/>
    <m/>
    <x v="3"/>
    <x v="0"/>
    <x v="308"/>
    <d v="2012-10-25T00:00:00"/>
    <x v="14"/>
    <x v="1"/>
    <m/>
    <m/>
    <x v="243"/>
    <x v="0"/>
    <m/>
    <x v="1"/>
    <x v="0"/>
    <x v="1015"/>
    <x v="3"/>
    <x v="282"/>
    <x v="1"/>
    <x v="308"/>
    <x v="2419"/>
  </r>
  <r>
    <x v="1"/>
    <n v="1508"/>
    <x v="1011"/>
    <x v="0"/>
    <s v="CM"/>
    <s v="N"/>
    <x v="195"/>
    <x v="41"/>
    <x v="562"/>
    <m/>
    <x v="23"/>
    <m/>
    <x v="3"/>
    <x v="0"/>
    <x v="379"/>
    <m/>
    <x v="13"/>
    <x v="1"/>
    <m/>
    <m/>
    <x v="0"/>
    <x v="1"/>
    <m/>
    <x v="0"/>
    <x v="0"/>
    <x v="1015"/>
    <x v="3"/>
    <x v="0"/>
    <x v="1"/>
    <x v="379"/>
    <x v="2420"/>
  </r>
  <r>
    <x v="1"/>
    <n v="1537"/>
    <x v="1012"/>
    <x v="0"/>
    <s v="CM"/>
    <s v=""/>
    <x v="683"/>
    <x v="2"/>
    <x v="37"/>
    <m/>
    <x v="35"/>
    <m/>
    <x v="2"/>
    <x v="0"/>
    <x v="304"/>
    <d v="2012-12-02T00:00:00"/>
    <x v="11"/>
    <x v="1"/>
    <s v="Compétition Internationale"/>
    <m/>
    <x v="0"/>
    <x v="0"/>
    <m/>
    <x v="0"/>
    <x v="0"/>
    <x v="1016"/>
    <x v="2"/>
    <x v="0"/>
    <x v="0"/>
    <x v="304"/>
    <x v="2421"/>
  </r>
  <r>
    <x v="1"/>
    <n v="1310"/>
    <x v="1013"/>
    <x v="0"/>
    <s v="CM"/>
    <s v="N"/>
    <x v="290"/>
    <x v="41"/>
    <x v="48"/>
    <m/>
    <x v="24"/>
    <m/>
    <x v="3"/>
    <x v="0"/>
    <x v="276"/>
    <d v="2012-09-16T00:00:00"/>
    <x v="9"/>
    <x v="1"/>
    <s v="Prémio Motelx - Melhor Curta de Terror Portuguesa"/>
    <m/>
    <x v="0"/>
    <x v="0"/>
    <m/>
    <x v="0"/>
    <x v="0"/>
    <x v="1017"/>
    <x v="3"/>
    <x v="0"/>
    <x v="1"/>
    <x v="276"/>
    <x v="2422"/>
  </r>
  <r>
    <x v="1"/>
    <n v="233"/>
    <x v="1014"/>
    <x v="0"/>
    <s v="CM"/>
    <s v=""/>
    <x v="604"/>
    <x v="2"/>
    <x v="146"/>
    <m/>
    <x v="24"/>
    <m/>
    <x v="3"/>
    <x v="0"/>
    <x v="281"/>
    <d v="2012-05-06T00:00:00"/>
    <x v="4"/>
    <x v="0"/>
    <m/>
    <s v="Sessões Especiais - Novíssimos Curtas"/>
    <x v="0"/>
    <x v="0"/>
    <m/>
    <x v="0"/>
    <x v="0"/>
    <x v="1018"/>
    <x v="3"/>
    <x v="0"/>
    <x v="1"/>
    <x v="281"/>
    <x v="2423"/>
  </r>
  <r>
    <x v="1"/>
    <n v="233"/>
    <x v="1014"/>
    <x v="0"/>
    <s v="CM"/>
    <s v=""/>
    <x v="604"/>
    <x v="2"/>
    <x v="563"/>
    <m/>
    <x v="318"/>
    <m/>
    <x v="60"/>
    <x v="0"/>
    <x v="380"/>
    <d v="2012-09-29T00:00:00"/>
    <x v="9"/>
    <x v="1"/>
    <s v="Corto Metraje Extranjero"/>
    <m/>
    <x v="0"/>
    <x v="0"/>
    <m/>
    <x v="0"/>
    <x v="0"/>
    <x v="1018"/>
    <x v="60"/>
    <x v="0"/>
    <x v="0"/>
    <x v="380"/>
    <x v="2424"/>
  </r>
  <r>
    <x v="1"/>
    <n v="1298"/>
    <x v="1015"/>
    <x v="0"/>
    <s v="CM"/>
    <s v="N"/>
    <x v="684"/>
    <x v="41"/>
    <x v="316"/>
    <m/>
    <x v="11"/>
    <m/>
    <x v="3"/>
    <x v="0"/>
    <x v="199"/>
    <d v="2012-08-25T00:00:00"/>
    <x v="16"/>
    <x v="1"/>
    <s v="Ficção"/>
    <m/>
    <x v="0"/>
    <x v="0"/>
    <m/>
    <x v="0"/>
    <x v="0"/>
    <x v="1019"/>
    <x v="3"/>
    <x v="0"/>
    <x v="1"/>
    <x v="199"/>
    <x v="2425"/>
  </r>
  <r>
    <x v="1"/>
    <n v="1298"/>
    <x v="1015"/>
    <x v="0"/>
    <s v="CM"/>
    <s v="N"/>
    <x v="684"/>
    <x v="41"/>
    <x v="445"/>
    <m/>
    <x v="284"/>
    <m/>
    <x v="3"/>
    <x v="0"/>
    <x v="286"/>
    <d v="2012-09-08T00:00:00"/>
    <x v="9"/>
    <x v="1"/>
    <m/>
    <m/>
    <x v="0"/>
    <x v="0"/>
    <m/>
    <x v="0"/>
    <x v="0"/>
    <x v="1019"/>
    <x v="3"/>
    <x v="0"/>
    <x v="1"/>
    <x v="286"/>
    <x v="2426"/>
  </r>
  <r>
    <x v="1"/>
    <n v="1298"/>
    <x v="1015"/>
    <x v="0"/>
    <s v="CM"/>
    <s v="N"/>
    <x v="684"/>
    <x v="41"/>
    <x v="562"/>
    <m/>
    <x v="23"/>
    <m/>
    <x v="3"/>
    <x v="0"/>
    <x v="379"/>
    <m/>
    <x v="13"/>
    <x v="1"/>
    <m/>
    <m/>
    <x v="0"/>
    <x v="1"/>
    <m/>
    <x v="0"/>
    <x v="0"/>
    <x v="1019"/>
    <x v="3"/>
    <x v="0"/>
    <x v="1"/>
    <x v="379"/>
    <x v="2427"/>
  </r>
  <r>
    <x v="1"/>
    <n v="236"/>
    <x v="1016"/>
    <x v="2"/>
    <s v="CM"/>
    <s v="N"/>
    <x v="685"/>
    <x v="2"/>
    <x v="454"/>
    <m/>
    <x v="15"/>
    <m/>
    <x v="3"/>
    <x v="0"/>
    <x v="298"/>
    <m/>
    <x v="8"/>
    <x v="1"/>
    <s v="Animação"/>
    <m/>
    <x v="127"/>
    <x v="0"/>
    <m/>
    <x v="1"/>
    <x v="4"/>
    <x v="1020"/>
    <x v="3"/>
    <x v="283"/>
    <x v="1"/>
    <x v="298"/>
    <x v="2428"/>
  </r>
  <r>
    <x v="1"/>
    <n v="1412"/>
    <x v="1017"/>
    <x v="1"/>
    <s v="CM"/>
    <s v="N"/>
    <x v="686"/>
    <x v="41"/>
    <x v="376"/>
    <m/>
    <x v="247"/>
    <m/>
    <x v="34"/>
    <x v="0"/>
    <x v="355"/>
    <d v="2012-04-27T00:00:00"/>
    <x v="5"/>
    <x v="1"/>
    <s v="Compétition Internationale Moyens Métrages"/>
    <m/>
    <x v="0"/>
    <x v="0"/>
    <m/>
    <x v="0"/>
    <x v="2"/>
    <x v="1021"/>
    <x v="34"/>
    <x v="0"/>
    <x v="0"/>
    <x v="355"/>
    <x v="2429"/>
  </r>
  <r>
    <x v="1"/>
    <n v="1412"/>
    <x v="1017"/>
    <x v="1"/>
    <s v="CM"/>
    <s v="N"/>
    <x v="686"/>
    <x v="41"/>
    <x v="25"/>
    <m/>
    <x v="24"/>
    <m/>
    <x v="3"/>
    <x v="0"/>
    <x v="294"/>
    <d v="2012-10-28T00:00:00"/>
    <x v="14"/>
    <x v="1"/>
    <s v="Competição Portuguesa - Curtas"/>
    <m/>
    <x v="244"/>
    <x v="0"/>
    <m/>
    <x v="1"/>
    <x v="2"/>
    <x v="1021"/>
    <x v="3"/>
    <x v="284"/>
    <x v="1"/>
    <x v="294"/>
    <x v="2430"/>
  </r>
  <r>
    <x v="1"/>
    <n v="1412"/>
    <x v="1017"/>
    <x v="1"/>
    <s v="CM"/>
    <s v="N"/>
    <x v="686"/>
    <x v="41"/>
    <x v="280"/>
    <m/>
    <x v="196"/>
    <m/>
    <x v="2"/>
    <x v="0"/>
    <x v="279"/>
    <d v="2012-12-02T00:00:00"/>
    <x v="11"/>
    <x v="1"/>
    <s v="Compétiton Internationale: Courts Métrages"/>
    <m/>
    <x v="0"/>
    <x v="0"/>
    <m/>
    <x v="0"/>
    <x v="2"/>
    <x v="1021"/>
    <x v="2"/>
    <x v="0"/>
    <x v="0"/>
    <x v="279"/>
    <x v="2431"/>
  </r>
  <r>
    <x v="1"/>
    <n v="244"/>
    <x v="168"/>
    <x v="1"/>
    <s v="CM"/>
    <s v="N"/>
    <x v="144"/>
    <x v="2"/>
    <x v="432"/>
    <m/>
    <x v="39"/>
    <m/>
    <x v="3"/>
    <x v="0"/>
    <x v="265"/>
    <d v="2012-04-21T00:00:00"/>
    <x v="5"/>
    <x v="1"/>
    <s v="Competição Regional"/>
    <m/>
    <x v="0"/>
    <x v="0"/>
    <m/>
    <x v="0"/>
    <x v="2"/>
    <x v="170"/>
    <x v="3"/>
    <x v="0"/>
    <x v="1"/>
    <x v="265"/>
    <x v="2432"/>
  </r>
  <r>
    <x v="1"/>
    <n v="1338"/>
    <x v="1018"/>
    <x v="1"/>
    <s v="LM"/>
    <s v="N"/>
    <x v="687"/>
    <x v="41"/>
    <x v="106"/>
    <m/>
    <x v="82"/>
    <m/>
    <x v="21"/>
    <x v="0"/>
    <x v="349"/>
    <d v="2012-09-23T00:00:00"/>
    <x v="9"/>
    <x v="0"/>
    <m/>
    <s v="Janela Aberta"/>
    <x v="0"/>
    <x v="0"/>
    <m/>
    <x v="0"/>
    <x v="1"/>
    <x v="1022"/>
    <x v="21"/>
    <x v="0"/>
    <x v="0"/>
    <x v="349"/>
    <x v="2433"/>
  </r>
  <r>
    <x v="1"/>
    <n v="1338"/>
    <x v="1018"/>
    <x v="1"/>
    <s v="LM"/>
    <s v="N"/>
    <x v="687"/>
    <x v="41"/>
    <x v="22"/>
    <m/>
    <x v="22"/>
    <m/>
    <x v="3"/>
    <x v="0"/>
    <x v="251"/>
    <d v="2012-11-18T00:00:00"/>
    <x v="13"/>
    <x v="1"/>
    <s v="Secção Competitiva"/>
    <m/>
    <x v="0"/>
    <x v="0"/>
    <m/>
    <x v="0"/>
    <x v="1"/>
    <x v="1022"/>
    <x v="3"/>
    <x v="0"/>
    <x v="1"/>
    <x v="251"/>
    <x v="2434"/>
  </r>
  <r>
    <x v="1"/>
    <n v="250"/>
    <x v="1019"/>
    <x v="1"/>
    <s v="LM"/>
    <s v="N"/>
    <x v="259"/>
    <x v="18"/>
    <x v="162"/>
    <m/>
    <x v="124"/>
    <m/>
    <x v="3"/>
    <x v="0"/>
    <x v="373"/>
    <m/>
    <x v="6"/>
    <x v="0"/>
    <m/>
    <m/>
    <x v="0"/>
    <x v="1"/>
    <m/>
    <x v="0"/>
    <x v="1"/>
    <x v="1023"/>
    <x v="3"/>
    <x v="0"/>
    <x v="1"/>
    <x v="373"/>
    <x v="2435"/>
  </r>
  <r>
    <x v="1"/>
    <n v="250"/>
    <x v="1019"/>
    <x v="1"/>
    <s v="LM"/>
    <s v="N"/>
    <x v="259"/>
    <x v="18"/>
    <x v="540"/>
    <m/>
    <x v="174"/>
    <m/>
    <x v="1"/>
    <x v="0"/>
    <x v="368"/>
    <d v="2012-06-12T00:00:00"/>
    <x v="7"/>
    <x v="0"/>
    <m/>
    <m/>
    <x v="0"/>
    <x v="1"/>
    <m/>
    <x v="0"/>
    <x v="1"/>
    <x v="1023"/>
    <x v="1"/>
    <x v="0"/>
    <x v="0"/>
    <x v="368"/>
    <x v="2436"/>
  </r>
  <r>
    <x v="1"/>
    <n v="250"/>
    <x v="1019"/>
    <x v="1"/>
    <s v="LM"/>
    <s v="N"/>
    <x v="259"/>
    <x v="18"/>
    <x v="564"/>
    <m/>
    <x v="319"/>
    <m/>
    <x v="1"/>
    <x v="0"/>
    <x v="309"/>
    <d v="2012-06-28T00:00:00"/>
    <x v="7"/>
    <x v="0"/>
    <m/>
    <m/>
    <x v="0"/>
    <x v="1"/>
    <m/>
    <x v="0"/>
    <x v="1"/>
    <x v="1023"/>
    <x v="1"/>
    <x v="0"/>
    <x v="0"/>
    <x v="309"/>
    <x v="2437"/>
  </r>
  <r>
    <x v="1"/>
    <n v="1580"/>
    <x v="1020"/>
    <x v="0"/>
    <s v="LM"/>
    <s v="N"/>
    <x v="208"/>
    <x v="2"/>
    <x v="22"/>
    <m/>
    <x v="22"/>
    <m/>
    <x v="3"/>
    <x v="0"/>
    <x v="251"/>
    <d v="2012-11-18T00:00:00"/>
    <x v="13"/>
    <x v="1"/>
    <s v="Secção Competitiva"/>
    <m/>
    <x v="0"/>
    <x v="0"/>
    <m/>
    <x v="0"/>
    <x v="5"/>
    <x v="1024"/>
    <x v="3"/>
    <x v="0"/>
    <x v="1"/>
    <x v="251"/>
    <x v="2438"/>
  </r>
  <r>
    <x v="1"/>
    <n v="1516"/>
    <x v="1021"/>
    <x v="1"/>
    <s v="CM"/>
    <s v="N"/>
    <x v="688"/>
    <x v="2"/>
    <x v="489"/>
    <m/>
    <x v="297"/>
    <m/>
    <x v="3"/>
    <x v="0"/>
    <x v="267"/>
    <d v="2012-11-17T00:00:00"/>
    <x v="13"/>
    <x v="1"/>
    <s v="Olhares e Enquadramentos"/>
    <m/>
    <x v="0"/>
    <x v="0"/>
    <m/>
    <x v="0"/>
    <x v="2"/>
    <x v="1025"/>
    <x v="3"/>
    <x v="0"/>
    <x v="1"/>
    <x v="267"/>
    <x v="2439"/>
  </r>
  <r>
    <x v="1"/>
    <n v="251"/>
    <x v="174"/>
    <x v="0"/>
    <s v="CM"/>
    <s v="N"/>
    <x v="150"/>
    <x v="3"/>
    <x v="565"/>
    <m/>
    <x v="320"/>
    <m/>
    <x v="5"/>
    <x v="0"/>
    <x v="372"/>
    <d v="2012-03-25T00:00:00"/>
    <x v="2"/>
    <x v="1"/>
    <s v="Schockblock 6"/>
    <m/>
    <x v="0"/>
    <x v="0"/>
    <m/>
    <x v="0"/>
    <x v="0"/>
    <x v="176"/>
    <x v="5"/>
    <x v="0"/>
    <x v="0"/>
    <x v="372"/>
    <x v="2440"/>
  </r>
  <r>
    <x v="1"/>
    <n v="251"/>
    <x v="174"/>
    <x v="0"/>
    <s v="CM"/>
    <s v="N"/>
    <x v="150"/>
    <x v="3"/>
    <x v="457"/>
    <m/>
    <x v="285"/>
    <m/>
    <x v="3"/>
    <x v="0"/>
    <x v="301"/>
    <d v="2012-06-16T00:00:00"/>
    <x v="7"/>
    <x v="1"/>
    <s v="Curtas-metragens"/>
    <m/>
    <x v="0"/>
    <x v="0"/>
    <m/>
    <x v="0"/>
    <x v="0"/>
    <x v="176"/>
    <x v="3"/>
    <x v="0"/>
    <x v="1"/>
    <x v="301"/>
    <x v="2441"/>
  </r>
  <r>
    <x v="1"/>
    <n v="251"/>
    <x v="174"/>
    <x v="0"/>
    <s v="CM"/>
    <s v="N"/>
    <x v="150"/>
    <x v="3"/>
    <x v="67"/>
    <m/>
    <x v="23"/>
    <m/>
    <x v="3"/>
    <x v="0"/>
    <x v="264"/>
    <d v="2012-06-17T00:00:00"/>
    <x v="7"/>
    <x v="1"/>
    <s v="Curtas Nacionais"/>
    <m/>
    <x v="0"/>
    <x v="0"/>
    <m/>
    <x v="0"/>
    <x v="0"/>
    <x v="176"/>
    <x v="3"/>
    <x v="0"/>
    <x v="1"/>
    <x v="264"/>
    <x v="2442"/>
  </r>
  <r>
    <x v="1"/>
    <n v="1346"/>
    <x v="1022"/>
    <x v="3"/>
    <s v="CM"/>
    <s v="N"/>
    <x v="386"/>
    <x v="2"/>
    <x v="24"/>
    <m/>
    <x v="24"/>
    <m/>
    <x v="3"/>
    <x v="0"/>
    <x v="380"/>
    <d v="2012-09-29T00:00:00"/>
    <x v="9"/>
    <x v="1"/>
    <s v="Competição para a Melhor Curta-Metragem"/>
    <m/>
    <x v="245"/>
    <x v="0"/>
    <m/>
    <x v="1"/>
    <x v="6"/>
    <x v="1026"/>
    <x v="3"/>
    <x v="285"/>
    <x v="1"/>
    <x v="380"/>
    <x v="2443"/>
  </r>
  <r>
    <x v="1"/>
    <n v="1346"/>
    <x v="1022"/>
    <x v="3"/>
    <s v="CM"/>
    <s v="N"/>
    <x v="386"/>
    <x v="2"/>
    <x v="566"/>
    <m/>
    <x v="24"/>
    <m/>
    <x v="3"/>
    <x v="0"/>
    <x v="381"/>
    <m/>
    <x v="13"/>
    <x v="0"/>
    <m/>
    <s v="Curta Convidada (Queer Lisboa)"/>
    <x v="0"/>
    <x v="1"/>
    <m/>
    <x v="0"/>
    <x v="6"/>
    <x v="1026"/>
    <x v="3"/>
    <x v="0"/>
    <x v="1"/>
    <x v="381"/>
    <x v="2444"/>
  </r>
  <r>
    <x v="1"/>
    <n v="252"/>
    <x v="175"/>
    <x v="0"/>
    <s v="CM"/>
    <s v="S"/>
    <x v="151"/>
    <x v="3"/>
    <x v="112"/>
    <m/>
    <x v="23"/>
    <m/>
    <x v="3"/>
    <x v="0"/>
    <x v="260"/>
    <d v="2012-04-21T00:00:00"/>
    <x v="5"/>
    <x v="1"/>
    <s v="Vídeo (Ficção)"/>
    <m/>
    <x v="0"/>
    <x v="0"/>
    <m/>
    <x v="0"/>
    <x v="0"/>
    <x v="177"/>
    <x v="3"/>
    <x v="0"/>
    <x v="1"/>
    <x v="260"/>
    <x v="2445"/>
  </r>
  <r>
    <x v="1"/>
    <n v="252"/>
    <x v="175"/>
    <x v="0"/>
    <s v="CM"/>
    <s v="S"/>
    <x v="151"/>
    <x v="3"/>
    <x v="146"/>
    <m/>
    <x v="24"/>
    <m/>
    <x v="3"/>
    <x v="0"/>
    <x v="281"/>
    <d v="2012-05-06T00:00:00"/>
    <x v="4"/>
    <x v="1"/>
    <s v="Competição Nacional Curtas 3"/>
    <s v="Cinema Emergente Curtas 1"/>
    <x v="0"/>
    <x v="0"/>
    <m/>
    <x v="0"/>
    <x v="0"/>
    <x v="177"/>
    <x v="3"/>
    <x v="0"/>
    <x v="1"/>
    <x v="281"/>
    <x v="2446"/>
  </r>
  <r>
    <x v="1"/>
    <n v="252"/>
    <x v="175"/>
    <x v="0"/>
    <s v="CM"/>
    <s v="S"/>
    <x v="151"/>
    <x v="3"/>
    <x v="68"/>
    <m/>
    <x v="53"/>
    <m/>
    <x v="3"/>
    <x v="0"/>
    <x v="253"/>
    <d v="2012-07-15T00:00:00"/>
    <x v="8"/>
    <x v="0"/>
    <m/>
    <s v="Panorama Nacional"/>
    <x v="0"/>
    <x v="0"/>
    <m/>
    <x v="0"/>
    <x v="0"/>
    <x v="177"/>
    <x v="3"/>
    <x v="0"/>
    <x v="1"/>
    <x v="253"/>
    <x v="2447"/>
  </r>
  <r>
    <x v="1"/>
    <n v="252"/>
    <x v="175"/>
    <x v="0"/>
    <s v="CM"/>
    <s v="S"/>
    <x v="151"/>
    <x v="3"/>
    <x v="567"/>
    <m/>
    <x v="190"/>
    <m/>
    <x v="0"/>
    <x v="0"/>
    <x v="382"/>
    <d v="2012-10-07T00:00:00"/>
    <x v="14"/>
    <x v="1"/>
    <m/>
    <m/>
    <x v="246"/>
    <x v="0"/>
    <m/>
    <x v="1"/>
    <x v="0"/>
    <x v="177"/>
    <x v="0"/>
    <x v="286"/>
    <x v="0"/>
    <x v="382"/>
    <x v="2448"/>
  </r>
  <r>
    <x v="1"/>
    <n v="252"/>
    <x v="175"/>
    <x v="0"/>
    <s v="CM"/>
    <s v="S"/>
    <x v="151"/>
    <x v="3"/>
    <x v="22"/>
    <m/>
    <x v="22"/>
    <m/>
    <x v="3"/>
    <x v="0"/>
    <x v="251"/>
    <d v="2012-11-18T00:00:00"/>
    <x v="13"/>
    <x v="1"/>
    <s v="Secção Competitiva"/>
    <m/>
    <x v="0"/>
    <x v="0"/>
    <m/>
    <x v="0"/>
    <x v="0"/>
    <x v="177"/>
    <x v="3"/>
    <x v="0"/>
    <x v="1"/>
    <x v="251"/>
    <x v="2449"/>
  </r>
  <r>
    <x v="1"/>
    <n v="252"/>
    <x v="175"/>
    <x v="0"/>
    <s v="CM"/>
    <s v="S"/>
    <x v="151"/>
    <x v="3"/>
    <x v="37"/>
    <m/>
    <x v="35"/>
    <m/>
    <x v="2"/>
    <x v="0"/>
    <x v="304"/>
    <d v="2012-12-02T00:00:00"/>
    <x v="11"/>
    <x v="0"/>
    <m/>
    <s v="Panorama Fenêtre Ouverte"/>
    <x v="0"/>
    <x v="0"/>
    <m/>
    <x v="0"/>
    <x v="0"/>
    <x v="177"/>
    <x v="2"/>
    <x v="0"/>
    <x v="0"/>
    <x v="304"/>
    <x v="2450"/>
  </r>
  <r>
    <x v="1"/>
    <n v="253"/>
    <x v="176"/>
    <x v="1"/>
    <s v="LM"/>
    <s v="N"/>
    <x v="41"/>
    <x v="1"/>
    <x v="42"/>
    <m/>
    <x v="39"/>
    <m/>
    <x v="3"/>
    <x v="0"/>
    <x v="383"/>
    <m/>
    <x v="16"/>
    <x v="0"/>
    <m/>
    <m/>
    <x v="0"/>
    <x v="1"/>
    <m/>
    <x v="0"/>
    <x v="1"/>
    <x v="178"/>
    <x v="3"/>
    <x v="0"/>
    <x v="1"/>
    <x v="383"/>
    <x v="2451"/>
  </r>
  <r>
    <x v="1"/>
    <n v="255"/>
    <x v="178"/>
    <x v="2"/>
    <s v="CM"/>
    <s v="N"/>
    <x v="153"/>
    <x v="5"/>
    <x v="568"/>
    <m/>
    <x v="24"/>
    <m/>
    <x v="3"/>
    <x v="0"/>
    <x v="384"/>
    <m/>
    <x v="15"/>
    <x v="0"/>
    <m/>
    <m/>
    <x v="0"/>
    <x v="1"/>
    <m/>
    <x v="0"/>
    <x v="4"/>
    <x v="180"/>
    <x v="3"/>
    <x v="0"/>
    <x v="1"/>
    <x v="384"/>
    <x v="2452"/>
  </r>
  <r>
    <x v="1"/>
    <n v="255"/>
    <x v="178"/>
    <x v="2"/>
    <s v="CM"/>
    <s v="N"/>
    <x v="153"/>
    <x v="5"/>
    <x v="481"/>
    <m/>
    <x v="24"/>
    <m/>
    <x v="3"/>
    <x v="0"/>
    <x v="320"/>
    <m/>
    <x v="5"/>
    <x v="0"/>
    <m/>
    <m/>
    <x v="0"/>
    <x v="1"/>
    <m/>
    <x v="0"/>
    <x v="4"/>
    <x v="180"/>
    <x v="3"/>
    <x v="0"/>
    <x v="1"/>
    <x v="320"/>
    <x v="2453"/>
  </r>
  <r>
    <x v="1"/>
    <n v="255"/>
    <x v="178"/>
    <x v="2"/>
    <s v="CM"/>
    <s v="N"/>
    <x v="153"/>
    <x v="5"/>
    <x v="488"/>
    <m/>
    <x v="296"/>
    <m/>
    <x v="1"/>
    <x v="0"/>
    <x v="329"/>
    <d v="2012-04-14T00:00:00"/>
    <x v="5"/>
    <x v="1"/>
    <s v="Competición de Cortometrajes educativos"/>
    <m/>
    <x v="0"/>
    <x v="0"/>
    <m/>
    <x v="0"/>
    <x v="4"/>
    <x v="180"/>
    <x v="1"/>
    <x v="0"/>
    <x v="0"/>
    <x v="329"/>
    <x v="2454"/>
  </r>
  <r>
    <x v="1"/>
    <n v="255"/>
    <x v="178"/>
    <x v="2"/>
    <s v="CM"/>
    <s v="N"/>
    <x v="153"/>
    <x v="5"/>
    <x v="561"/>
    <m/>
    <x v="24"/>
    <m/>
    <x v="3"/>
    <x v="0"/>
    <x v="365"/>
    <m/>
    <x v="6"/>
    <x v="0"/>
    <m/>
    <m/>
    <x v="0"/>
    <x v="1"/>
    <m/>
    <x v="0"/>
    <x v="4"/>
    <x v="180"/>
    <x v="3"/>
    <x v="0"/>
    <x v="1"/>
    <x v="365"/>
    <x v="2455"/>
  </r>
  <r>
    <x v="1"/>
    <n v="255"/>
    <x v="178"/>
    <x v="2"/>
    <s v="CM"/>
    <s v="N"/>
    <x v="153"/>
    <x v="5"/>
    <x v="457"/>
    <m/>
    <x v="285"/>
    <m/>
    <x v="3"/>
    <x v="0"/>
    <x v="301"/>
    <d v="2012-06-16T00:00:00"/>
    <x v="7"/>
    <x v="1"/>
    <s v="Curtas-metragens"/>
    <m/>
    <x v="0"/>
    <x v="0"/>
    <m/>
    <x v="0"/>
    <x v="4"/>
    <x v="180"/>
    <x v="3"/>
    <x v="0"/>
    <x v="1"/>
    <x v="301"/>
    <x v="2456"/>
  </r>
  <r>
    <x v="1"/>
    <n v="255"/>
    <x v="178"/>
    <x v="2"/>
    <s v="CM"/>
    <s v="N"/>
    <x v="153"/>
    <x v="5"/>
    <x v="178"/>
    <m/>
    <x v="25"/>
    <m/>
    <x v="3"/>
    <x v="0"/>
    <x v="293"/>
    <d v="2012-07-08T00:00:00"/>
    <x v="8"/>
    <x v="0"/>
    <m/>
    <s v="Panorama Light&amp;Sound - Shortcutz"/>
    <x v="0"/>
    <x v="0"/>
    <m/>
    <x v="0"/>
    <x v="4"/>
    <x v="180"/>
    <x v="3"/>
    <x v="0"/>
    <x v="1"/>
    <x v="293"/>
    <x v="2457"/>
  </r>
  <r>
    <x v="1"/>
    <n v="255"/>
    <x v="178"/>
    <x v="2"/>
    <s v="CM"/>
    <s v="N"/>
    <x v="153"/>
    <x v="5"/>
    <x v="27"/>
    <m/>
    <x v="25"/>
    <m/>
    <x v="3"/>
    <x v="0"/>
    <x v="307"/>
    <d v="2012-11-18T00:00:00"/>
    <x v="13"/>
    <x v="0"/>
    <m/>
    <s v="Sessão Premiados 2011"/>
    <x v="0"/>
    <x v="0"/>
    <m/>
    <x v="0"/>
    <x v="4"/>
    <x v="180"/>
    <x v="3"/>
    <x v="0"/>
    <x v="1"/>
    <x v="307"/>
    <x v="2458"/>
  </r>
  <r>
    <x v="1"/>
    <n v="257"/>
    <x v="180"/>
    <x v="1"/>
    <s v="CM"/>
    <s v="S"/>
    <x v="155"/>
    <x v="18"/>
    <x v="569"/>
    <m/>
    <x v="92"/>
    <m/>
    <x v="16"/>
    <x v="0"/>
    <x v="385"/>
    <d v="2012-12-18T00:00:00"/>
    <x v="12"/>
    <x v="0"/>
    <m/>
    <m/>
    <x v="0"/>
    <x v="1"/>
    <s v="Kino Pod Baranami e Fundação Lusorizonte"/>
    <x v="0"/>
    <x v="2"/>
    <x v="182"/>
    <x v="16"/>
    <x v="0"/>
    <x v="0"/>
    <x v="385"/>
    <x v="2459"/>
  </r>
  <r>
    <x v="1"/>
    <n v="258"/>
    <x v="1023"/>
    <x v="4"/>
    <s v="CM"/>
    <s v="N"/>
    <x v="689"/>
    <x v="2"/>
    <x v="424"/>
    <m/>
    <x v="24"/>
    <m/>
    <x v="3"/>
    <x v="0"/>
    <x v="255"/>
    <d v="2012-06-17T00:00:00"/>
    <x v="7"/>
    <x v="1"/>
    <s v="Curta Metragem"/>
    <m/>
    <x v="0"/>
    <x v="0"/>
    <m/>
    <x v="0"/>
    <x v="8"/>
    <x v="1027"/>
    <x v="3"/>
    <x v="0"/>
    <x v="1"/>
    <x v="255"/>
    <x v="2460"/>
  </r>
  <r>
    <x v="1"/>
    <n v="259"/>
    <x v="1024"/>
    <x v="0"/>
    <s v="CM"/>
    <s v="N"/>
    <x v="668"/>
    <x v="3"/>
    <x v="570"/>
    <m/>
    <x v="24"/>
    <m/>
    <x v="3"/>
    <x v="0"/>
    <x v="386"/>
    <m/>
    <x v="6"/>
    <x v="1"/>
    <m/>
    <m/>
    <x v="0"/>
    <x v="1"/>
    <m/>
    <x v="0"/>
    <x v="0"/>
    <x v="1028"/>
    <x v="3"/>
    <x v="0"/>
    <x v="1"/>
    <x v="386"/>
    <x v="2461"/>
  </r>
  <r>
    <x v="1"/>
    <n v="259"/>
    <x v="1024"/>
    <x v="0"/>
    <s v="CM"/>
    <s v="N"/>
    <x v="668"/>
    <x v="3"/>
    <x v="535"/>
    <m/>
    <x v="24"/>
    <m/>
    <x v="3"/>
    <x v="0"/>
    <x v="282"/>
    <d v="2012-11-18T00:00:00"/>
    <x v="13"/>
    <x v="0"/>
    <m/>
    <s v="Ciclo: Inclusão e Exclusão Social"/>
    <x v="0"/>
    <x v="1"/>
    <m/>
    <x v="0"/>
    <x v="0"/>
    <x v="1028"/>
    <x v="3"/>
    <x v="0"/>
    <x v="1"/>
    <x v="282"/>
    <x v="2462"/>
  </r>
  <r>
    <x v="1"/>
    <n v="1408"/>
    <x v="1025"/>
    <x v="1"/>
    <s v="CM"/>
    <s v="N"/>
    <x v="690"/>
    <x v="41"/>
    <x v="25"/>
    <m/>
    <x v="24"/>
    <m/>
    <x v="3"/>
    <x v="0"/>
    <x v="294"/>
    <d v="2012-10-28T00:00:00"/>
    <x v="14"/>
    <x v="1"/>
    <s v="Competição Portuguesa - Curtas"/>
    <m/>
    <x v="0"/>
    <x v="0"/>
    <m/>
    <x v="0"/>
    <x v="2"/>
    <x v="1029"/>
    <x v="3"/>
    <x v="0"/>
    <x v="1"/>
    <x v="294"/>
    <x v="2463"/>
  </r>
  <r>
    <x v="1"/>
    <n v="262"/>
    <x v="183"/>
    <x v="0"/>
    <s v="LM"/>
    <s v="N"/>
    <x v="158"/>
    <x v="19"/>
    <x v="435"/>
    <m/>
    <x v="24"/>
    <m/>
    <x v="3"/>
    <x v="0"/>
    <x v="269"/>
    <d v="2012-03-11T00:00:00"/>
    <x v="2"/>
    <x v="0"/>
    <m/>
    <m/>
    <x v="0"/>
    <x v="1"/>
    <m/>
    <x v="0"/>
    <x v="5"/>
    <x v="185"/>
    <x v="3"/>
    <x v="0"/>
    <x v="1"/>
    <x v="269"/>
    <x v="2464"/>
  </r>
  <r>
    <x v="1"/>
    <n v="262"/>
    <x v="183"/>
    <x v="0"/>
    <s v="LM"/>
    <s v="N"/>
    <x v="158"/>
    <x v="19"/>
    <x v="58"/>
    <m/>
    <x v="47"/>
    <m/>
    <x v="3"/>
    <x v="0"/>
    <x v="118"/>
    <d v="2012-09-09T00:00:00"/>
    <x v="9"/>
    <x v="0"/>
    <m/>
    <m/>
    <x v="0"/>
    <x v="1"/>
    <m/>
    <x v="0"/>
    <x v="5"/>
    <x v="185"/>
    <x v="3"/>
    <x v="0"/>
    <x v="1"/>
    <x v="118"/>
    <x v="2465"/>
  </r>
  <r>
    <x v="1"/>
    <n v="262"/>
    <x v="183"/>
    <x v="0"/>
    <s v="LM"/>
    <s v="N"/>
    <x v="158"/>
    <x v="19"/>
    <x v="149"/>
    <m/>
    <x v="114"/>
    <m/>
    <x v="35"/>
    <x v="0"/>
    <x v="339"/>
    <d v="2012-11-07T00:00:00"/>
    <x v="0"/>
    <x v="0"/>
    <m/>
    <s v="In Focus: Manuel Mozos"/>
    <x v="0"/>
    <x v="0"/>
    <m/>
    <x v="0"/>
    <x v="5"/>
    <x v="185"/>
    <x v="35"/>
    <x v="0"/>
    <x v="0"/>
    <x v="339"/>
    <x v="2466"/>
  </r>
  <r>
    <x v="1"/>
    <n v="262"/>
    <x v="183"/>
    <x v="0"/>
    <s v="LM"/>
    <s v="N"/>
    <x v="158"/>
    <x v="19"/>
    <x v="571"/>
    <m/>
    <x v="321"/>
    <m/>
    <x v="3"/>
    <x v="0"/>
    <x v="387"/>
    <d v="2012-11-25T00:00:00"/>
    <x v="13"/>
    <x v="0"/>
    <m/>
    <m/>
    <x v="0"/>
    <x v="1"/>
    <m/>
    <x v="0"/>
    <x v="5"/>
    <x v="185"/>
    <x v="3"/>
    <x v="0"/>
    <x v="1"/>
    <x v="387"/>
    <x v="2467"/>
  </r>
  <r>
    <x v="1"/>
    <n v="1542"/>
    <x v="1026"/>
    <x v="0"/>
    <s v="LM"/>
    <s v="S"/>
    <x v="20"/>
    <x v="15"/>
    <x v="80"/>
    <m/>
    <x v="60"/>
    <m/>
    <x v="3"/>
    <x v="0"/>
    <x v="251"/>
    <d v="2012-11-18T00:00:00"/>
    <x v="13"/>
    <x v="0"/>
    <m/>
    <s v="Sessões Especiais - Arte vs Cultura e Indústrias Culturais"/>
    <x v="0"/>
    <x v="0"/>
    <m/>
    <x v="0"/>
    <x v="5"/>
    <x v="1030"/>
    <x v="3"/>
    <x v="0"/>
    <x v="1"/>
    <x v="251"/>
    <x v="2468"/>
  </r>
  <r>
    <x v="1"/>
    <n v="1291"/>
    <x v="1027"/>
    <x v="0"/>
    <s v="CM"/>
    <s v="N"/>
    <x v="691"/>
    <x v="2"/>
    <x v="165"/>
    <m/>
    <x v="65"/>
    <m/>
    <x v="9"/>
    <x v="0"/>
    <x v="286"/>
    <m/>
    <x v="9"/>
    <x v="0"/>
    <m/>
    <m/>
    <x v="0"/>
    <x v="1"/>
    <m/>
    <x v="0"/>
    <x v="0"/>
    <x v="1031"/>
    <x v="9"/>
    <x v="0"/>
    <x v="0"/>
    <x v="286"/>
    <x v="2469"/>
  </r>
  <r>
    <x v="1"/>
    <n v="1465"/>
    <x v="1028"/>
    <x v="1"/>
    <s v="CM"/>
    <s v="N"/>
    <x v="126"/>
    <x v="41"/>
    <x v="520"/>
    <m/>
    <x v="46"/>
    <m/>
    <x v="3"/>
    <x v="0"/>
    <x v="297"/>
    <d v="2012-10-27T00:00:00"/>
    <x v="14"/>
    <x v="1"/>
    <s v="Documentário/Reportagem"/>
    <m/>
    <x v="247"/>
    <x v="0"/>
    <m/>
    <x v="1"/>
    <x v="2"/>
    <x v="1032"/>
    <x v="3"/>
    <x v="287"/>
    <x v="1"/>
    <x v="297"/>
    <x v="2470"/>
  </r>
  <r>
    <x v="1"/>
    <n v="1556"/>
    <x v="1029"/>
    <x v="1"/>
    <s v="CM"/>
    <s v="N"/>
    <x v="692"/>
    <x v="41"/>
    <x v="46"/>
    <m/>
    <x v="24"/>
    <m/>
    <x v="3"/>
    <x v="0"/>
    <x v="231"/>
    <d v="2012-12-11T00:00:00"/>
    <x v="12"/>
    <x v="1"/>
    <s v="Prémio de Cinema para Filmes sobre Arte"/>
    <m/>
    <x v="0"/>
    <x v="0"/>
    <m/>
    <x v="0"/>
    <x v="2"/>
    <x v="1033"/>
    <x v="3"/>
    <x v="0"/>
    <x v="1"/>
    <x v="231"/>
    <x v="2471"/>
  </r>
  <r>
    <x v="1"/>
    <n v="1527"/>
    <x v="1030"/>
    <x v="0"/>
    <s v="CM"/>
    <s v="N"/>
    <x v="146"/>
    <x v="41"/>
    <x v="471"/>
    <m/>
    <x v="75"/>
    <m/>
    <x v="15"/>
    <x v="0"/>
    <x v="251"/>
    <d v="2012-11-17T00:00:00"/>
    <x v="13"/>
    <x v="0"/>
    <m/>
    <s v="CinemaXXI: Mediometraggi e Cortometraggii fuori Concorso - Guimarães Transversal"/>
    <x v="0"/>
    <x v="0"/>
    <m/>
    <x v="0"/>
    <x v="0"/>
    <x v="1034"/>
    <x v="15"/>
    <x v="0"/>
    <x v="0"/>
    <x v="251"/>
    <x v="2472"/>
  </r>
  <r>
    <x v="1"/>
    <n v="268"/>
    <x v="189"/>
    <x v="0"/>
    <s v="LM"/>
    <s v=""/>
    <x v="162"/>
    <x v="2"/>
    <x v="572"/>
    <m/>
    <x v="17"/>
    <m/>
    <x v="2"/>
    <x v="0"/>
    <x v="388"/>
    <m/>
    <x v="2"/>
    <x v="0"/>
    <m/>
    <m/>
    <x v="0"/>
    <x v="1"/>
    <m/>
    <x v="0"/>
    <x v="5"/>
    <x v="191"/>
    <x v="2"/>
    <x v="0"/>
    <x v="0"/>
    <x v="388"/>
    <x v="2473"/>
  </r>
  <r>
    <x v="1"/>
    <n v="269"/>
    <x v="190"/>
    <x v="0"/>
    <s v="LM"/>
    <s v="S"/>
    <x v="163"/>
    <x v="5"/>
    <x v="495"/>
    <m/>
    <x v="300"/>
    <m/>
    <x v="9"/>
    <x v="0"/>
    <x v="344"/>
    <d v="2012-03-11T00:00:00"/>
    <x v="2"/>
    <x v="1"/>
    <s v="Knight Ibero-American Competition"/>
    <m/>
    <x v="248"/>
    <x v="0"/>
    <m/>
    <x v="1"/>
    <x v="5"/>
    <x v="192"/>
    <x v="9"/>
    <x v="288"/>
    <x v="0"/>
    <x v="344"/>
    <x v="2474"/>
  </r>
  <r>
    <x v="1"/>
    <n v="269"/>
    <x v="190"/>
    <x v="0"/>
    <s v="LM"/>
    <s v="S"/>
    <x v="163"/>
    <x v="5"/>
    <x v="573"/>
    <m/>
    <x v="134"/>
    <m/>
    <x v="41"/>
    <x v="0"/>
    <x v="256"/>
    <d v="2012-03-29T00:00:00"/>
    <x v="2"/>
    <x v="0"/>
    <m/>
    <s v="Main Programme &quot;Horizons&quot;"/>
    <x v="0"/>
    <x v="0"/>
    <m/>
    <x v="0"/>
    <x v="5"/>
    <x v="192"/>
    <x v="41"/>
    <x v="0"/>
    <x v="0"/>
    <x v="256"/>
    <x v="2475"/>
  </r>
  <r>
    <x v="1"/>
    <n v="269"/>
    <x v="190"/>
    <x v="0"/>
    <s v="LM"/>
    <s v="S"/>
    <x v="163"/>
    <x v="5"/>
    <x v="91"/>
    <m/>
    <x v="70"/>
    <m/>
    <x v="18"/>
    <x v="0"/>
    <x v="362"/>
    <d v="2012-04-26T00:00:00"/>
    <x v="5"/>
    <x v="0"/>
    <m/>
    <s v="Cinemascape: World Cinema"/>
    <x v="0"/>
    <x v="0"/>
    <m/>
    <x v="0"/>
    <x v="5"/>
    <x v="192"/>
    <x v="18"/>
    <x v="0"/>
    <x v="0"/>
    <x v="362"/>
    <x v="2476"/>
  </r>
  <r>
    <x v="1"/>
    <n v="269"/>
    <x v="190"/>
    <x v="0"/>
    <s v="LM"/>
    <s v="S"/>
    <x v="163"/>
    <x v="5"/>
    <x v="522"/>
    <m/>
    <x v="165"/>
    <m/>
    <x v="4"/>
    <x v="0"/>
    <x v="363"/>
    <d v="2012-04-22T00:00:00"/>
    <x v="5"/>
    <x v="1"/>
    <s v="Competencia Internacional"/>
    <m/>
    <x v="0"/>
    <x v="0"/>
    <m/>
    <x v="0"/>
    <x v="5"/>
    <x v="192"/>
    <x v="4"/>
    <x v="0"/>
    <x v="0"/>
    <x v="363"/>
    <x v="2477"/>
  </r>
  <r>
    <x v="1"/>
    <n v="269"/>
    <x v="190"/>
    <x v="0"/>
    <s v="LM"/>
    <s v="S"/>
    <x v="163"/>
    <x v="5"/>
    <x v="574"/>
    <m/>
    <x v="322"/>
    <m/>
    <x v="9"/>
    <x v="0"/>
    <x v="358"/>
    <d v="2012-05-03T00:00:00"/>
    <x v="4"/>
    <x v="1"/>
    <s v="New Directors"/>
    <m/>
    <x v="0"/>
    <x v="0"/>
    <m/>
    <x v="0"/>
    <x v="5"/>
    <x v="192"/>
    <x v="9"/>
    <x v="0"/>
    <x v="0"/>
    <x v="358"/>
    <x v="2478"/>
  </r>
  <r>
    <x v="1"/>
    <n v="269"/>
    <x v="190"/>
    <x v="0"/>
    <s v="LM"/>
    <s v="S"/>
    <x v="163"/>
    <x v="5"/>
    <x v="146"/>
    <m/>
    <x v="24"/>
    <m/>
    <x v="3"/>
    <x v="0"/>
    <x v="281"/>
    <d v="2012-05-06T00:00:00"/>
    <x v="4"/>
    <x v="0"/>
    <m/>
    <s v="Cinema Emergente Longas Metragens"/>
    <x v="0"/>
    <x v="0"/>
    <m/>
    <x v="0"/>
    <x v="5"/>
    <x v="192"/>
    <x v="3"/>
    <x v="0"/>
    <x v="1"/>
    <x v="281"/>
    <x v="2479"/>
  </r>
  <r>
    <x v="1"/>
    <n v="269"/>
    <x v="190"/>
    <x v="0"/>
    <s v="LM"/>
    <s v="S"/>
    <x v="163"/>
    <x v="5"/>
    <x v="42"/>
    <m/>
    <x v="39"/>
    <m/>
    <x v="3"/>
    <x v="0"/>
    <x v="389"/>
    <m/>
    <x v="13"/>
    <x v="0"/>
    <m/>
    <m/>
    <x v="0"/>
    <x v="1"/>
    <m/>
    <x v="0"/>
    <x v="5"/>
    <x v="192"/>
    <x v="3"/>
    <x v="0"/>
    <x v="1"/>
    <x v="389"/>
    <x v="2480"/>
  </r>
  <r>
    <x v="1"/>
    <n v="269"/>
    <x v="190"/>
    <x v="0"/>
    <s v="LM"/>
    <s v="S"/>
    <x v="163"/>
    <x v="5"/>
    <x v="575"/>
    <m/>
    <x v="11"/>
    <m/>
    <x v="3"/>
    <x v="0"/>
    <x v="326"/>
    <m/>
    <x v="13"/>
    <x v="0"/>
    <m/>
    <m/>
    <x v="0"/>
    <x v="1"/>
    <m/>
    <x v="0"/>
    <x v="5"/>
    <x v="192"/>
    <x v="3"/>
    <x v="0"/>
    <x v="1"/>
    <x v="326"/>
    <x v="2481"/>
  </r>
  <r>
    <x v="1"/>
    <n v="269"/>
    <x v="190"/>
    <x v="0"/>
    <s v="LM"/>
    <s v="S"/>
    <x v="163"/>
    <x v="5"/>
    <x v="575"/>
    <m/>
    <x v="11"/>
    <m/>
    <x v="3"/>
    <x v="0"/>
    <x v="326"/>
    <m/>
    <x v="13"/>
    <x v="0"/>
    <m/>
    <m/>
    <x v="0"/>
    <x v="1"/>
    <m/>
    <x v="0"/>
    <x v="5"/>
    <x v="192"/>
    <x v="3"/>
    <x v="0"/>
    <x v="1"/>
    <x v="326"/>
    <x v="2482"/>
  </r>
  <r>
    <x v="1"/>
    <n v="270"/>
    <x v="191"/>
    <x v="0"/>
    <s v="CM"/>
    <s v="N"/>
    <x v="164"/>
    <x v="2"/>
    <x v="568"/>
    <m/>
    <x v="24"/>
    <m/>
    <x v="3"/>
    <x v="0"/>
    <x v="384"/>
    <m/>
    <x v="15"/>
    <x v="0"/>
    <m/>
    <m/>
    <x v="0"/>
    <x v="1"/>
    <m/>
    <x v="0"/>
    <x v="0"/>
    <x v="193"/>
    <x v="3"/>
    <x v="0"/>
    <x v="1"/>
    <x v="384"/>
    <x v="2483"/>
  </r>
  <r>
    <x v="1"/>
    <n v="270"/>
    <x v="191"/>
    <x v="0"/>
    <s v="CM"/>
    <s v="N"/>
    <x v="164"/>
    <x v="2"/>
    <x v="456"/>
    <m/>
    <x v="24"/>
    <m/>
    <x v="3"/>
    <x v="0"/>
    <x v="390"/>
    <m/>
    <x v="15"/>
    <x v="0"/>
    <m/>
    <m/>
    <x v="0"/>
    <x v="1"/>
    <m/>
    <x v="0"/>
    <x v="0"/>
    <x v="193"/>
    <x v="3"/>
    <x v="0"/>
    <x v="1"/>
    <x v="390"/>
    <x v="2484"/>
  </r>
  <r>
    <x v="1"/>
    <n v="270"/>
    <x v="191"/>
    <x v="0"/>
    <s v="CM"/>
    <s v="N"/>
    <x v="164"/>
    <x v="2"/>
    <x v="456"/>
    <m/>
    <x v="24"/>
    <m/>
    <x v="3"/>
    <x v="0"/>
    <x v="300"/>
    <m/>
    <x v="1"/>
    <x v="0"/>
    <m/>
    <s v="Especial Curtas Nomeadas para Melhor Curta Prémios Shortcutz Lisboa 2011"/>
    <x v="0"/>
    <x v="1"/>
    <m/>
    <x v="0"/>
    <x v="0"/>
    <x v="193"/>
    <x v="3"/>
    <x v="0"/>
    <x v="1"/>
    <x v="300"/>
    <x v="2485"/>
  </r>
  <r>
    <x v="1"/>
    <n v="270"/>
    <x v="191"/>
    <x v="0"/>
    <s v="CM"/>
    <s v="N"/>
    <x v="164"/>
    <x v="2"/>
    <x v="473"/>
    <m/>
    <x v="24"/>
    <m/>
    <x v="3"/>
    <x v="0"/>
    <x v="317"/>
    <m/>
    <x v="2"/>
    <x v="1"/>
    <m/>
    <m/>
    <x v="249"/>
    <x v="2"/>
    <m/>
    <x v="1"/>
    <x v="0"/>
    <x v="193"/>
    <x v="3"/>
    <x v="289"/>
    <x v="1"/>
    <x v="317"/>
    <x v="2486"/>
  </r>
  <r>
    <x v="1"/>
    <n v="270"/>
    <x v="191"/>
    <x v="0"/>
    <s v="CM"/>
    <s v="N"/>
    <x v="164"/>
    <x v="2"/>
    <x v="178"/>
    <m/>
    <x v="25"/>
    <m/>
    <x v="3"/>
    <x v="0"/>
    <x v="293"/>
    <d v="2012-07-08T00:00:00"/>
    <x v="8"/>
    <x v="0"/>
    <m/>
    <s v="Panorama Light&amp;Sound - Shortcutz"/>
    <x v="0"/>
    <x v="0"/>
    <m/>
    <x v="0"/>
    <x v="0"/>
    <x v="193"/>
    <x v="3"/>
    <x v="0"/>
    <x v="1"/>
    <x v="293"/>
    <x v="2487"/>
  </r>
  <r>
    <x v="1"/>
    <n v="1486"/>
    <x v="1031"/>
    <x v="2"/>
    <s v="CM"/>
    <s v="N"/>
    <x v="693"/>
    <x v="41"/>
    <x v="27"/>
    <m/>
    <x v="25"/>
    <m/>
    <x v="3"/>
    <x v="0"/>
    <x v="307"/>
    <d v="2012-11-18T00:00:00"/>
    <x v="13"/>
    <x v="1"/>
    <s v="Competição Nacional: Jovem Cineasta Português (+18 anos) "/>
    <m/>
    <x v="250"/>
    <x v="0"/>
    <m/>
    <x v="1"/>
    <x v="4"/>
    <x v="1035"/>
    <x v="3"/>
    <x v="290"/>
    <x v="1"/>
    <x v="307"/>
    <x v="2488"/>
  </r>
  <r>
    <x v="1"/>
    <n v="273"/>
    <x v="1032"/>
    <x v="0"/>
    <s v="CM"/>
    <s v="N"/>
    <x v="694"/>
    <x v="2"/>
    <x v="464"/>
    <m/>
    <x v="40"/>
    <m/>
    <x v="3"/>
    <x v="0"/>
    <x v="311"/>
    <d v="2012-04-01T00:00:00"/>
    <x v="3"/>
    <x v="1"/>
    <s v="Competição Vídeos Musicais"/>
    <m/>
    <x v="159"/>
    <x v="0"/>
    <m/>
    <x v="1"/>
    <x v="0"/>
    <x v="1036"/>
    <x v="3"/>
    <x v="291"/>
    <x v="1"/>
    <x v="311"/>
    <x v="2489"/>
  </r>
  <r>
    <x v="1"/>
    <n v="1455"/>
    <x v="1033"/>
    <x v="0"/>
    <s v="CM"/>
    <s v="N"/>
    <x v="695"/>
    <x v="2"/>
    <x v="576"/>
    <m/>
    <x v="323"/>
    <m/>
    <x v="3"/>
    <x v="0"/>
    <x v="285"/>
    <d v="2012-10-20T00:00:00"/>
    <x v="14"/>
    <x v="1"/>
    <m/>
    <m/>
    <x v="251"/>
    <x v="0"/>
    <m/>
    <x v="1"/>
    <x v="0"/>
    <x v="1037"/>
    <x v="3"/>
    <x v="292"/>
    <x v="1"/>
    <x v="285"/>
    <x v="2490"/>
  </r>
  <r>
    <x v="1"/>
    <n v="1455"/>
    <x v="1033"/>
    <x v="0"/>
    <s v="CM"/>
    <s v="N"/>
    <x v="695"/>
    <x v="2"/>
    <x v="577"/>
    <m/>
    <x v="24"/>
    <m/>
    <x v="3"/>
    <x v="0"/>
    <x v="308"/>
    <m/>
    <x v="14"/>
    <x v="1"/>
    <m/>
    <m/>
    <x v="0"/>
    <x v="1"/>
    <m/>
    <x v="0"/>
    <x v="0"/>
    <x v="1037"/>
    <x v="3"/>
    <x v="0"/>
    <x v="1"/>
    <x v="308"/>
    <x v="2491"/>
  </r>
  <r>
    <x v="1"/>
    <n v="1455"/>
    <x v="1033"/>
    <x v="0"/>
    <s v="CM"/>
    <s v="N"/>
    <x v="695"/>
    <x v="2"/>
    <x v="22"/>
    <m/>
    <x v="22"/>
    <m/>
    <x v="3"/>
    <x v="0"/>
    <x v="251"/>
    <d v="2012-11-18T00:00:00"/>
    <x v="13"/>
    <x v="1"/>
    <s v="Ensaios Visuais"/>
    <m/>
    <x v="0"/>
    <x v="0"/>
    <m/>
    <x v="0"/>
    <x v="0"/>
    <x v="1037"/>
    <x v="3"/>
    <x v="0"/>
    <x v="1"/>
    <x v="251"/>
    <x v="2492"/>
  </r>
  <r>
    <x v="1"/>
    <n v="274"/>
    <x v="194"/>
    <x v="2"/>
    <s v="Série"/>
    <s v="S"/>
    <x v="167"/>
    <x v="2"/>
    <x v="578"/>
    <m/>
    <x v="324"/>
    <m/>
    <x v="17"/>
    <x v="0"/>
    <x v="391"/>
    <m/>
    <x v="1"/>
    <x v="1"/>
    <s v="Best 3 Minute Animation"/>
    <m/>
    <x v="0"/>
    <x v="2"/>
    <m/>
    <x v="0"/>
    <x v="9"/>
    <x v="196"/>
    <x v="17"/>
    <x v="0"/>
    <x v="0"/>
    <x v="391"/>
    <x v="2493"/>
  </r>
  <r>
    <x v="1"/>
    <n v="274"/>
    <x v="194"/>
    <x v="2"/>
    <s v="Série"/>
    <s v="S"/>
    <x v="167"/>
    <x v="2"/>
    <x v="579"/>
    <m/>
    <x v="325"/>
    <m/>
    <x v="15"/>
    <x v="0"/>
    <x v="392"/>
    <d v="2012-07-28T00:00:00"/>
    <x v="8"/>
    <x v="1"/>
    <s v="Premio Cartoon Club e Premio Cartoon Kids"/>
    <m/>
    <x v="0"/>
    <x v="0"/>
    <m/>
    <x v="0"/>
    <x v="9"/>
    <x v="196"/>
    <x v="15"/>
    <x v="0"/>
    <x v="0"/>
    <x v="392"/>
    <x v="2494"/>
  </r>
  <r>
    <x v="1"/>
    <n v="276"/>
    <x v="196"/>
    <x v="0"/>
    <s v="CM"/>
    <s v="N"/>
    <x v="169"/>
    <x v="2"/>
    <x v="580"/>
    <m/>
    <x v="15"/>
    <m/>
    <x v="3"/>
    <x v="0"/>
    <x v="393"/>
    <m/>
    <x v="7"/>
    <x v="0"/>
    <m/>
    <m/>
    <x v="0"/>
    <x v="1"/>
    <m/>
    <x v="0"/>
    <x v="0"/>
    <x v="198"/>
    <x v="3"/>
    <x v="0"/>
    <x v="1"/>
    <x v="393"/>
    <x v="2495"/>
  </r>
  <r>
    <x v="1"/>
    <n v="277"/>
    <x v="197"/>
    <x v="2"/>
    <s v="CM"/>
    <s v=""/>
    <x v="170"/>
    <x v="2"/>
    <x v="26"/>
    <m/>
    <x v="24"/>
    <m/>
    <x v="3"/>
    <x v="0"/>
    <x v="268"/>
    <d v="2012-03-24T00:00:00"/>
    <x v="2"/>
    <x v="1"/>
    <s v="Competição Portugueses"/>
    <m/>
    <x v="0"/>
    <x v="0"/>
    <m/>
    <x v="0"/>
    <x v="4"/>
    <x v="199"/>
    <x v="3"/>
    <x v="0"/>
    <x v="1"/>
    <x v="268"/>
    <x v="2496"/>
  </r>
  <r>
    <x v="1"/>
    <n v="277"/>
    <x v="197"/>
    <x v="2"/>
    <s v="CM"/>
    <s v=""/>
    <x v="170"/>
    <x v="2"/>
    <x v="413"/>
    <m/>
    <x v="270"/>
    <m/>
    <x v="3"/>
    <x v="0"/>
    <x v="243"/>
    <d v="2012-06-03T00:00:00"/>
    <x v="7"/>
    <x v="1"/>
    <s v="Geral"/>
    <m/>
    <x v="0"/>
    <x v="0"/>
    <m/>
    <x v="0"/>
    <x v="4"/>
    <x v="199"/>
    <x v="3"/>
    <x v="0"/>
    <x v="1"/>
    <x v="243"/>
    <x v="2497"/>
  </r>
  <r>
    <x v="1"/>
    <n v="277"/>
    <x v="197"/>
    <x v="2"/>
    <s v="CM"/>
    <s v=""/>
    <x v="170"/>
    <x v="2"/>
    <x v="579"/>
    <m/>
    <x v="325"/>
    <m/>
    <x v="15"/>
    <x v="0"/>
    <x v="392"/>
    <d v="2012-07-28T00:00:00"/>
    <x v="8"/>
    <x v="1"/>
    <s v="Premio Cartoon Club"/>
    <m/>
    <x v="0"/>
    <x v="0"/>
    <m/>
    <x v="0"/>
    <x v="4"/>
    <x v="199"/>
    <x v="15"/>
    <x v="0"/>
    <x v="0"/>
    <x v="392"/>
    <x v="2498"/>
  </r>
  <r>
    <x v="1"/>
    <n v="277"/>
    <x v="197"/>
    <x v="2"/>
    <s v="CM"/>
    <s v=""/>
    <x v="170"/>
    <x v="2"/>
    <x v="70"/>
    <m/>
    <x v="38"/>
    <m/>
    <x v="3"/>
    <x v="0"/>
    <x v="349"/>
    <d v="2012-09-16T00:00:00"/>
    <x v="9"/>
    <x v="1"/>
    <m/>
    <m/>
    <x v="0"/>
    <x v="0"/>
    <m/>
    <x v="0"/>
    <x v="4"/>
    <x v="199"/>
    <x v="3"/>
    <x v="0"/>
    <x v="1"/>
    <x v="349"/>
    <x v="2499"/>
  </r>
  <r>
    <x v="1"/>
    <n v="278"/>
    <x v="1034"/>
    <x v="4"/>
    <s v="CM"/>
    <s v="N"/>
    <x v="696"/>
    <x v="2"/>
    <x v="62"/>
    <m/>
    <x v="23"/>
    <m/>
    <x v="3"/>
    <x v="0"/>
    <x v="302"/>
    <d v="2012-03-04T00:00:00"/>
    <x v="19"/>
    <x v="1"/>
    <s v="Prémio de Cinema Português - Escolas de Cinema"/>
    <m/>
    <x v="0"/>
    <x v="0"/>
    <m/>
    <x v="0"/>
    <x v="8"/>
    <x v="1038"/>
    <x v="3"/>
    <x v="0"/>
    <x v="1"/>
    <x v="302"/>
    <x v="2500"/>
  </r>
  <r>
    <x v="1"/>
    <n v="278"/>
    <x v="1034"/>
    <x v="4"/>
    <s v="CM"/>
    <s v="N"/>
    <x v="696"/>
    <x v="2"/>
    <x v="457"/>
    <m/>
    <x v="285"/>
    <m/>
    <x v="3"/>
    <x v="0"/>
    <x v="301"/>
    <d v="2012-06-16T00:00:00"/>
    <x v="7"/>
    <x v="1"/>
    <s v="U-Can: Escola Artística Soares dos Reis"/>
    <m/>
    <x v="0"/>
    <x v="0"/>
    <m/>
    <x v="0"/>
    <x v="8"/>
    <x v="1038"/>
    <x v="3"/>
    <x v="0"/>
    <x v="1"/>
    <x v="301"/>
    <x v="2501"/>
  </r>
  <r>
    <x v="1"/>
    <n v="279"/>
    <x v="1035"/>
    <x v="4"/>
    <s v="CM"/>
    <s v="N"/>
    <x v="697"/>
    <x v="2"/>
    <x v="457"/>
    <m/>
    <x v="285"/>
    <m/>
    <x v="3"/>
    <x v="0"/>
    <x v="301"/>
    <d v="2012-06-16T00:00:00"/>
    <x v="7"/>
    <x v="1"/>
    <s v="U-Can: Escola Secundária Artística António Arroio"/>
    <m/>
    <x v="0"/>
    <x v="0"/>
    <m/>
    <x v="0"/>
    <x v="8"/>
    <x v="1039"/>
    <x v="3"/>
    <x v="0"/>
    <x v="1"/>
    <x v="301"/>
    <x v="2502"/>
  </r>
  <r>
    <x v="1"/>
    <n v="280"/>
    <x v="1036"/>
    <x v="0"/>
    <s v="CM"/>
    <s v="N"/>
    <x v="661"/>
    <x v="2"/>
    <x v="412"/>
    <m/>
    <x v="269"/>
    <m/>
    <x v="3"/>
    <x v="0"/>
    <x v="242"/>
    <m/>
    <x v="7"/>
    <x v="1"/>
    <m/>
    <m/>
    <x v="0"/>
    <x v="0"/>
    <m/>
    <x v="0"/>
    <x v="0"/>
    <x v="1040"/>
    <x v="3"/>
    <x v="0"/>
    <x v="1"/>
    <x v="242"/>
    <x v="2503"/>
  </r>
  <r>
    <x v="1"/>
    <n v="282"/>
    <x v="1037"/>
    <x v="0"/>
    <s v="CM"/>
    <s v="N"/>
    <x v="37"/>
    <x v="41"/>
    <x v="68"/>
    <m/>
    <x v="53"/>
    <m/>
    <x v="3"/>
    <x v="0"/>
    <x v="253"/>
    <d v="2012-07-15T00:00:00"/>
    <x v="8"/>
    <x v="1"/>
    <s v="Competição Nacional"/>
    <m/>
    <x v="0"/>
    <x v="0"/>
    <m/>
    <x v="0"/>
    <x v="0"/>
    <x v="1041"/>
    <x v="3"/>
    <x v="0"/>
    <x v="1"/>
    <x v="253"/>
    <x v="2504"/>
  </r>
  <r>
    <x v="1"/>
    <n v="284"/>
    <x v="200"/>
    <x v="2"/>
    <s v="CM"/>
    <s v="S"/>
    <x v="33"/>
    <x v="2"/>
    <x v="487"/>
    <m/>
    <x v="295"/>
    <m/>
    <x v="10"/>
    <x v="0"/>
    <x v="287"/>
    <d v="2012-04-01T00:00:00"/>
    <x v="3"/>
    <x v="0"/>
    <m/>
    <s v="Portugal: Contemporary Animation Films"/>
    <x v="0"/>
    <x v="0"/>
    <m/>
    <x v="0"/>
    <x v="4"/>
    <x v="202"/>
    <x v="10"/>
    <x v="0"/>
    <x v="0"/>
    <x v="287"/>
    <x v="2505"/>
  </r>
  <r>
    <x v="1"/>
    <n v="285"/>
    <x v="201"/>
    <x v="2"/>
    <s v="CM"/>
    <s v="S"/>
    <x v="173"/>
    <x v="1"/>
    <x v="27"/>
    <m/>
    <x v="25"/>
    <m/>
    <x v="3"/>
    <x v="0"/>
    <x v="307"/>
    <d v="2012-11-18T00:00:00"/>
    <x v="13"/>
    <x v="0"/>
    <m/>
    <s v="Ilustração e Animação"/>
    <x v="0"/>
    <x v="0"/>
    <m/>
    <x v="0"/>
    <x v="4"/>
    <x v="203"/>
    <x v="3"/>
    <x v="0"/>
    <x v="1"/>
    <x v="307"/>
    <x v="2506"/>
  </r>
  <r>
    <x v="1"/>
    <n v="286"/>
    <x v="1038"/>
    <x v="2"/>
    <s v="CM"/>
    <s v="N"/>
    <x v="698"/>
    <x v="2"/>
    <x v="62"/>
    <m/>
    <x v="23"/>
    <m/>
    <x v="3"/>
    <x v="0"/>
    <x v="302"/>
    <d v="2012-03-04T00:00:00"/>
    <x v="19"/>
    <x v="1"/>
    <s v="Prémio de Cinema Português - Escolas de Cinema"/>
    <m/>
    <x v="0"/>
    <x v="0"/>
    <m/>
    <x v="0"/>
    <x v="4"/>
    <x v="1042"/>
    <x v="3"/>
    <x v="0"/>
    <x v="1"/>
    <x v="302"/>
    <x v="2507"/>
  </r>
  <r>
    <x v="1"/>
    <n v="286"/>
    <x v="1038"/>
    <x v="2"/>
    <s v="CM"/>
    <s v="N"/>
    <x v="698"/>
    <x v="2"/>
    <x v="412"/>
    <m/>
    <x v="269"/>
    <m/>
    <x v="3"/>
    <x v="0"/>
    <x v="242"/>
    <m/>
    <x v="7"/>
    <x v="1"/>
    <m/>
    <m/>
    <x v="5"/>
    <x v="0"/>
    <m/>
    <x v="1"/>
    <x v="4"/>
    <x v="1042"/>
    <x v="3"/>
    <x v="5"/>
    <x v="1"/>
    <x v="242"/>
    <x v="2508"/>
  </r>
  <r>
    <x v="1"/>
    <n v="286"/>
    <x v="1038"/>
    <x v="2"/>
    <s v="CM"/>
    <s v="N"/>
    <x v="698"/>
    <x v="2"/>
    <x v="457"/>
    <m/>
    <x v="285"/>
    <m/>
    <x v="3"/>
    <x v="0"/>
    <x v="301"/>
    <d v="2012-06-16T00:00:00"/>
    <x v="7"/>
    <x v="1"/>
    <s v="U-Can: Escola Artística Soares dos Reis"/>
    <m/>
    <x v="0"/>
    <x v="0"/>
    <m/>
    <x v="0"/>
    <x v="4"/>
    <x v="1042"/>
    <x v="3"/>
    <x v="0"/>
    <x v="1"/>
    <x v="301"/>
    <x v="2509"/>
  </r>
  <r>
    <x v="1"/>
    <n v="289"/>
    <x v="1039"/>
    <x v="0"/>
    <s v="LM"/>
    <s v="N"/>
    <x v="699"/>
    <x v="2"/>
    <x v="450"/>
    <m/>
    <x v="24"/>
    <m/>
    <x v="3"/>
    <x v="0"/>
    <x v="353"/>
    <m/>
    <x v="2"/>
    <x v="0"/>
    <m/>
    <m/>
    <x v="0"/>
    <x v="1"/>
    <m/>
    <x v="0"/>
    <x v="5"/>
    <x v="1043"/>
    <x v="3"/>
    <x v="0"/>
    <x v="1"/>
    <x v="353"/>
    <x v="2510"/>
  </r>
  <r>
    <x v="1"/>
    <n v="290"/>
    <x v="1040"/>
    <x v="0"/>
    <s v="CM"/>
    <s v="N"/>
    <x v="690"/>
    <x v="41"/>
    <x v="146"/>
    <m/>
    <x v="24"/>
    <m/>
    <x v="3"/>
    <x v="0"/>
    <x v="281"/>
    <d v="2012-05-06T00:00:00"/>
    <x v="4"/>
    <x v="1"/>
    <s v="Competição Internacional Curtas 2 e Competição Nacional Curtas 2"/>
    <m/>
    <x v="28"/>
    <x v="0"/>
    <m/>
    <x v="1"/>
    <x v="0"/>
    <x v="1044"/>
    <x v="3"/>
    <x v="293"/>
    <x v="1"/>
    <x v="281"/>
    <x v="2511"/>
  </r>
  <r>
    <x v="1"/>
    <n v="290"/>
    <x v="1040"/>
    <x v="0"/>
    <s v="CM"/>
    <s v="N"/>
    <x v="690"/>
    <x v="41"/>
    <x v="490"/>
    <m/>
    <x v="298"/>
    <m/>
    <x v="15"/>
    <x v="0"/>
    <x v="330"/>
    <d v="2012-11-17T00:00:00"/>
    <x v="13"/>
    <x v="1"/>
    <s v="Concorso Internazionale Lungometraggi"/>
    <m/>
    <x v="0"/>
    <x v="0"/>
    <m/>
    <x v="0"/>
    <x v="0"/>
    <x v="1044"/>
    <x v="15"/>
    <x v="0"/>
    <x v="0"/>
    <x v="330"/>
    <x v="2512"/>
  </r>
  <r>
    <x v="1"/>
    <n v="290"/>
    <x v="1040"/>
    <x v="0"/>
    <s v="CM"/>
    <s v="N"/>
    <x v="690"/>
    <x v="41"/>
    <x v="581"/>
    <m/>
    <x v="213"/>
    <m/>
    <x v="8"/>
    <x v="0"/>
    <x v="379"/>
    <d v="2012-11-25T00:00:00"/>
    <x v="13"/>
    <x v="0"/>
    <m/>
    <s v="Reflecting Images: Panorama"/>
    <x v="0"/>
    <x v="0"/>
    <m/>
    <x v="0"/>
    <x v="0"/>
    <x v="1044"/>
    <x v="8"/>
    <x v="0"/>
    <x v="0"/>
    <x v="379"/>
    <x v="2513"/>
  </r>
  <r>
    <x v="1"/>
    <n v="290"/>
    <x v="1040"/>
    <x v="0"/>
    <s v="CM"/>
    <s v="N"/>
    <x v="690"/>
    <x v="41"/>
    <x v="133"/>
    <m/>
    <x v="101"/>
    <m/>
    <x v="3"/>
    <x v="0"/>
    <x v="331"/>
    <d v="2012-12-09T00:00:00"/>
    <x v="12"/>
    <x v="1"/>
    <s v="Longas Metragens"/>
    <m/>
    <x v="97"/>
    <x v="0"/>
    <m/>
    <x v="1"/>
    <x v="0"/>
    <x v="1044"/>
    <x v="3"/>
    <x v="294"/>
    <x v="1"/>
    <x v="331"/>
    <x v="2514"/>
  </r>
  <r>
    <x v="1"/>
    <n v="291"/>
    <x v="204"/>
    <x v="2"/>
    <s v="CM"/>
    <s v="N"/>
    <x v="175"/>
    <x v="2"/>
    <x v="26"/>
    <m/>
    <x v="24"/>
    <m/>
    <x v="3"/>
    <x v="0"/>
    <x v="268"/>
    <d v="2012-03-25T00:00:00"/>
    <x v="2"/>
    <x v="1"/>
    <s v="Competição Estudantes 3"/>
    <m/>
    <x v="252"/>
    <x v="0"/>
    <m/>
    <x v="1"/>
    <x v="4"/>
    <x v="206"/>
    <x v="3"/>
    <x v="295"/>
    <x v="1"/>
    <x v="268"/>
    <x v="2515"/>
  </r>
  <r>
    <x v="1"/>
    <n v="1445"/>
    <x v="1041"/>
    <x v="1"/>
    <s v="CM"/>
    <s v="N"/>
    <x v="700"/>
    <x v="29"/>
    <x v="25"/>
    <m/>
    <x v="24"/>
    <m/>
    <x v="3"/>
    <x v="0"/>
    <x v="294"/>
    <d v="2012-10-28T00:00:00"/>
    <x v="14"/>
    <x v="0"/>
    <m/>
    <s v="Retrospectiva: United we Stand, Divided we Fall"/>
    <x v="0"/>
    <x v="0"/>
    <m/>
    <x v="0"/>
    <x v="2"/>
    <x v="1045"/>
    <x v="3"/>
    <x v="0"/>
    <x v="1"/>
    <x v="294"/>
    <x v="2516"/>
  </r>
  <r>
    <x v="1"/>
    <n v="292"/>
    <x v="205"/>
    <x v="0"/>
    <s v="CM"/>
    <s v="S"/>
    <x v="38"/>
    <x v="1"/>
    <x v="403"/>
    <m/>
    <x v="263"/>
    <m/>
    <x v="2"/>
    <x v="0"/>
    <x v="232"/>
    <d v="2012-04-15T00:00:00"/>
    <x v="5"/>
    <x v="0"/>
    <m/>
    <s v="Rétrospectives et Thématiques - Jeune Cinéma Portugais"/>
    <x v="0"/>
    <x v="0"/>
    <m/>
    <x v="0"/>
    <x v="0"/>
    <x v="207"/>
    <x v="2"/>
    <x v="0"/>
    <x v="0"/>
    <x v="232"/>
    <x v="2517"/>
  </r>
  <r>
    <x v="1"/>
    <n v="292"/>
    <x v="205"/>
    <x v="0"/>
    <s v="CM"/>
    <s v="S"/>
    <x v="38"/>
    <x v="1"/>
    <x v="407"/>
    <m/>
    <x v="154"/>
    <m/>
    <x v="0"/>
    <x v="0"/>
    <x v="237"/>
    <d v="2012-07-08T00:00:00"/>
    <x v="17"/>
    <x v="0"/>
    <m/>
    <m/>
    <x v="0"/>
    <x v="1"/>
    <m/>
    <x v="0"/>
    <x v="0"/>
    <x v="207"/>
    <x v="0"/>
    <x v="0"/>
    <x v="0"/>
    <x v="237"/>
    <x v="2518"/>
  </r>
  <r>
    <x v="1"/>
    <n v="292"/>
    <x v="205"/>
    <x v="0"/>
    <s v="CM"/>
    <s v="S"/>
    <x v="38"/>
    <x v="1"/>
    <x v="441"/>
    <m/>
    <x v="282"/>
    <m/>
    <x v="2"/>
    <x v="0"/>
    <x v="280"/>
    <d v="2012-07-08T00:00:00"/>
    <x v="17"/>
    <x v="0"/>
    <m/>
    <s v="Ici et ailleurs: Cinémas 93"/>
    <x v="0"/>
    <x v="0"/>
    <m/>
    <x v="0"/>
    <x v="0"/>
    <x v="207"/>
    <x v="2"/>
    <x v="0"/>
    <x v="0"/>
    <x v="280"/>
    <x v="2519"/>
  </r>
  <r>
    <x v="1"/>
    <n v="1442"/>
    <x v="1042"/>
    <x v="1"/>
    <s v="CM"/>
    <s v="N"/>
    <x v="701"/>
    <x v="3"/>
    <x v="25"/>
    <m/>
    <x v="24"/>
    <m/>
    <x v="3"/>
    <x v="0"/>
    <x v="294"/>
    <d v="2012-10-28T00:00:00"/>
    <x v="14"/>
    <x v="0"/>
    <m/>
    <s v="Verdes Anos"/>
    <x v="0"/>
    <x v="0"/>
    <m/>
    <x v="0"/>
    <x v="2"/>
    <x v="1046"/>
    <x v="3"/>
    <x v="0"/>
    <x v="1"/>
    <x v="294"/>
    <x v="2520"/>
  </r>
  <r>
    <x v="1"/>
    <n v="293"/>
    <x v="206"/>
    <x v="2"/>
    <s v="CM"/>
    <s v="S"/>
    <x v="176"/>
    <x v="2"/>
    <x v="582"/>
    <m/>
    <x v="24"/>
    <m/>
    <x v="3"/>
    <x v="0"/>
    <x v="394"/>
    <m/>
    <x v="2"/>
    <x v="0"/>
    <m/>
    <m/>
    <x v="0"/>
    <x v="1"/>
    <m/>
    <x v="0"/>
    <x v="4"/>
    <x v="208"/>
    <x v="3"/>
    <x v="0"/>
    <x v="1"/>
    <x v="394"/>
    <x v="2521"/>
  </r>
  <r>
    <x v="1"/>
    <n v="294"/>
    <x v="207"/>
    <x v="0"/>
    <s v="CM"/>
    <s v="S"/>
    <x v="0"/>
    <x v="15"/>
    <x v="441"/>
    <m/>
    <x v="282"/>
    <m/>
    <x v="2"/>
    <x v="0"/>
    <x v="280"/>
    <d v="2012-07-08T00:00:00"/>
    <x v="17"/>
    <x v="0"/>
    <m/>
    <s v="Hommages: Miguel Gomes"/>
    <x v="0"/>
    <x v="0"/>
    <m/>
    <x v="0"/>
    <x v="0"/>
    <x v="209"/>
    <x v="2"/>
    <x v="0"/>
    <x v="0"/>
    <x v="280"/>
    <x v="2522"/>
  </r>
  <r>
    <x v="1"/>
    <n v="294"/>
    <x v="207"/>
    <x v="0"/>
    <s v="CM"/>
    <s v="S"/>
    <x v="0"/>
    <x v="15"/>
    <x v="179"/>
    <m/>
    <x v="133"/>
    <m/>
    <x v="0"/>
    <x v="0"/>
    <x v="233"/>
    <d v="2012-11-01T00:00:00"/>
    <x v="0"/>
    <x v="0"/>
    <m/>
    <s v="Homenagem a Miguel Gomes"/>
    <x v="0"/>
    <x v="0"/>
    <m/>
    <x v="0"/>
    <x v="0"/>
    <x v="209"/>
    <x v="0"/>
    <x v="0"/>
    <x v="0"/>
    <x v="233"/>
    <x v="2523"/>
  </r>
  <r>
    <x v="1"/>
    <n v="294"/>
    <x v="207"/>
    <x v="0"/>
    <s v="CM"/>
    <s v="S"/>
    <x v="0"/>
    <x v="15"/>
    <x v="404"/>
    <m/>
    <x v="264"/>
    <m/>
    <x v="15"/>
    <x v="0"/>
    <x v="234"/>
    <d v="2012-12-01T00:00:00"/>
    <x v="11"/>
    <x v="0"/>
    <m/>
    <s v="Onde: Omaggio a Miguel Gomes"/>
    <x v="0"/>
    <x v="0"/>
    <m/>
    <x v="0"/>
    <x v="0"/>
    <x v="209"/>
    <x v="15"/>
    <x v="0"/>
    <x v="0"/>
    <x v="234"/>
    <x v="2524"/>
  </r>
  <r>
    <x v="1"/>
    <n v="295"/>
    <x v="1043"/>
    <x v="1"/>
    <s v="CM"/>
    <s v=""/>
    <x v="702"/>
    <x v="2"/>
    <x v="539"/>
    <m/>
    <x v="76"/>
    <m/>
    <x v="3"/>
    <x v="0"/>
    <x v="367"/>
    <d v="2012-05-06T00:00:00"/>
    <x v="6"/>
    <x v="1"/>
    <s v="Lusófono"/>
    <m/>
    <x v="0"/>
    <x v="0"/>
    <m/>
    <x v="0"/>
    <x v="2"/>
    <x v="1047"/>
    <x v="3"/>
    <x v="0"/>
    <x v="1"/>
    <x v="367"/>
    <x v="2525"/>
  </r>
  <r>
    <x v="1"/>
    <n v="1432"/>
    <x v="1044"/>
    <x v="1"/>
    <s v="CM"/>
    <s v="N"/>
    <x v="703"/>
    <x v="41"/>
    <x v="25"/>
    <m/>
    <x v="24"/>
    <m/>
    <x v="3"/>
    <x v="0"/>
    <x v="294"/>
    <d v="2012-10-28T00:00:00"/>
    <x v="14"/>
    <x v="0"/>
    <m/>
    <s v="Verdes Anos"/>
    <x v="0"/>
    <x v="0"/>
    <m/>
    <x v="0"/>
    <x v="2"/>
    <x v="1048"/>
    <x v="3"/>
    <x v="0"/>
    <x v="1"/>
    <x v="294"/>
    <x v="2526"/>
  </r>
  <r>
    <x v="1"/>
    <n v="1371"/>
    <x v="1045"/>
    <x v="0"/>
    <s v="LM"/>
    <s v="S"/>
    <x v="704"/>
    <x v="2"/>
    <x v="583"/>
    <m/>
    <x v="49"/>
    <m/>
    <x v="3"/>
    <x v="0"/>
    <x v="374"/>
    <m/>
    <x v="14"/>
    <x v="0"/>
    <m/>
    <m/>
    <x v="0"/>
    <x v="1"/>
    <m/>
    <x v="0"/>
    <x v="5"/>
    <x v="1049"/>
    <x v="3"/>
    <x v="0"/>
    <x v="1"/>
    <x v="374"/>
    <x v="2527"/>
  </r>
  <r>
    <x v="1"/>
    <n v="297"/>
    <x v="209"/>
    <x v="0"/>
    <s v="LM"/>
    <s v="S"/>
    <x v="142"/>
    <x v="20"/>
    <x v="584"/>
    <m/>
    <x v="24"/>
    <m/>
    <x v="3"/>
    <x v="0"/>
    <x v="337"/>
    <d v="2012-10-14T00:00:00"/>
    <x v="14"/>
    <x v="0"/>
    <m/>
    <s v="Maria de Medeiros/A Madrinha"/>
    <x v="0"/>
    <x v="1"/>
    <m/>
    <x v="0"/>
    <x v="5"/>
    <x v="211"/>
    <x v="3"/>
    <x v="0"/>
    <x v="1"/>
    <x v="337"/>
    <x v="2528"/>
  </r>
  <r>
    <x v="1"/>
    <n v="1468"/>
    <x v="1046"/>
    <x v="1"/>
    <s v="CM"/>
    <s v="N"/>
    <x v="705"/>
    <x v="41"/>
    <x v="520"/>
    <m/>
    <x v="46"/>
    <m/>
    <x v="3"/>
    <x v="0"/>
    <x v="297"/>
    <d v="2012-10-27T00:00:00"/>
    <x v="14"/>
    <x v="1"/>
    <s v="Divulgação/Promoção"/>
    <m/>
    <x v="253"/>
    <x v="0"/>
    <m/>
    <x v="1"/>
    <x v="2"/>
    <x v="1050"/>
    <x v="3"/>
    <x v="296"/>
    <x v="1"/>
    <x v="297"/>
    <x v="2529"/>
  </r>
  <r>
    <x v="1"/>
    <n v="298"/>
    <x v="210"/>
    <x v="0"/>
    <s v="CM"/>
    <s v="N"/>
    <x v="178"/>
    <x v="5"/>
    <x v="428"/>
    <m/>
    <x v="24"/>
    <m/>
    <x v="3"/>
    <x v="0"/>
    <x v="260"/>
    <d v="2012-04-19T00:00:00"/>
    <x v="5"/>
    <x v="0"/>
    <m/>
    <m/>
    <x v="0"/>
    <x v="1"/>
    <m/>
    <x v="0"/>
    <x v="0"/>
    <x v="212"/>
    <x v="3"/>
    <x v="0"/>
    <x v="1"/>
    <x v="260"/>
    <x v="2530"/>
  </r>
  <r>
    <x v="1"/>
    <n v="299"/>
    <x v="211"/>
    <x v="1"/>
    <s v="LM"/>
    <s v="N"/>
    <x v="179"/>
    <x v="3"/>
    <x v="447"/>
    <m/>
    <x v="185"/>
    <m/>
    <x v="0"/>
    <x v="0"/>
    <x v="288"/>
    <d v="2012-03-15T00:00:00"/>
    <x v="2"/>
    <x v="0"/>
    <m/>
    <s v="Mostra Principal"/>
    <x v="0"/>
    <x v="0"/>
    <m/>
    <x v="0"/>
    <x v="1"/>
    <x v="213"/>
    <x v="0"/>
    <x v="0"/>
    <x v="0"/>
    <x v="288"/>
    <x v="2531"/>
  </r>
  <r>
    <x v="1"/>
    <n v="299"/>
    <x v="211"/>
    <x v="1"/>
    <s v="LM"/>
    <s v="N"/>
    <x v="179"/>
    <x v="3"/>
    <x v="268"/>
    <m/>
    <x v="0"/>
    <m/>
    <x v="0"/>
    <x v="0"/>
    <x v="309"/>
    <d v="2012-06-24T00:00:00"/>
    <x v="7"/>
    <x v="1"/>
    <s v="Mostra Competitiva  Documentário"/>
    <m/>
    <x v="254"/>
    <x v="0"/>
    <m/>
    <x v="1"/>
    <x v="1"/>
    <x v="213"/>
    <x v="0"/>
    <x v="297"/>
    <x v="0"/>
    <x v="309"/>
    <x v="2532"/>
  </r>
  <r>
    <x v="1"/>
    <n v="301"/>
    <x v="213"/>
    <x v="1"/>
    <s v="LM"/>
    <s v="S"/>
    <x v="181"/>
    <x v="5"/>
    <x v="585"/>
    <m/>
    <x v="326"/>
    <m/>
    <x v="2"/>
    <x v="0"/>
    <x v="384"/>
    <d v="2012-01-29T00:00:00"/>
    <x v="15"/>
    <x v="0"/>
    <m/>
    <s v="Aspects of European Production"/>
    <x v="0"/>
    <x v="0"/>
    <m/>
    <x v="0"/>
    <x v="1"/>
    <x v="215"/>
    <x v="2"/>
    <x v="0"/>
    <x v="0"/>
    <x v="384"/>
    <x v="2533"/>
  </r>
  <r>
    <x v="1"/>
    <n v="301"/>
    <x v="213"/>
    <x v="1"/>
    <s v="LM"/>
    <s v="S"/>
    <x v="181"/>
    <x v="5"/>
    <x v="586"/>
    <m/>
    <x v="327"/>
    <m/>
    <x v="66"/>
    <x v="0"/>
    <x v="358"/>
    <d v="2012-04-22T00:00:00"/>
    <x v="5"/>
    <x v="1"/>
    <s v="Long Films"/>
    <m/>
    <x v="0"/>
    <x v="0"/>
    <m/>
    <x v="0"/>
    <x v="1"/>
    <x v="215"/>
    <x v="66"/>
    <x v="0"/>
    <x v="0"/>
    <x v="358"/>
    <x v="2534"/>
  </r>
  <r>
    <x v="1"/>
    <n v="301"/>
    <x v="213"/>
    <x v="1"/>
    <s v="LM"/>
    <s v="S"/>
    <x v="181"/>
    <x v="5"/>
    <x v="58"/>
    <m/>
    <x v="47"/>
    <m/>
    <x v="3"/>
    <x v="0"/>
    <x v="118"/>
    <d v="2012-09-09T00:00:00"/>
    <x v="9"/>
    <x v="0"/>
    <m/>
    <m/>
    <x v="0"/>
    <x v="1"/>
    <m/>
    <x v="0"/>
    <x v="1"/>
    <x v="215"/>
    <x v="3"/>
    <x v="0"/>
    <x v="1"/>
    <x v="118"/>
    <x v="2535"/>
  </r>
  <r>
    <x v="1"/>
    <n v="301"/>
    <x v="213"/>
    <x v="1"/>
    <s v="LM"/>
    <s v="S"/>
    <x v="181"/>
    <x v="5"/>
    <x v="106"/>
    <m/>
    <x v="82"/>
    <m/>
    <x v="21"/>
    <x v="0"/>
    <x v="349"/>
    <d v="2012-09-23T00:00:00"/>
    <x v="9"/>
    <x v="0"/>
    <m/>
    <s v="Janela Aberta"/>
    <x v="0"/>
    <x v="0"/>
    <m/>
    <x v="0"/>
    <x v="1"/>
    <x v="215"/>
    <x v="21"/>
    <x v="0"/>
    <x v="0"/>
    <x v="349"/>
    <x v="2536"/>
  </r>
  <r>
    <x v="1"/>
    <n v="301"/>
    <x v="213"/>
    <x v="1"/>
    <s v="LM"/>
    <s v="S"/>
    <x v="181"/>
    <x v="5"/>
    <x v="563"/>
    <m/>
    <x v="318"/>
    <m/>
    <x v="60"/>
    <x v="0"/>
    <x v="380"/>
    <d v="2012-09-29T00:00:00"/>
    <x v="9"/>
    <x v="1"/>
    <s v="Documental Extranjero"/>
    <m/>
    <x v="255"/>
    <x v="0"/>
    <m/>
    <x v="1"/>
    <x v="1"/>
    <x v="215"/>
    <x v="60"/>
    <x v="298"/>
    <x v="0"/>
    <x v="380"/>
    <x v="2537"/>
  </r>
  <r>
    <x v="1"/>
    <n v="301"/>
    <x v="213"/>
    <x v="1"/>
    <s v="LM"/>
    <s v="S"/>
    <x v="181"/>
    <x v="5"/>
    <x v="219"/>
    <m/>
    <x v="153"/>
    <m/>
    <x v="44"/>
    <x v="0"/>
    <x v="294"/>
    <d v="2012-10-21T00:00:00"/>
    <x v="14"/>
    <x v="1"/>
    <s v="Longa-Metragem Documentário"/>
    <m/>
    <x v="0"/>
    <x v="0"/>
    <m/>
    <x v="0"/>
    <x v="1"/>
    <x v="215"/>
    <x v="44"/>
    <x v="0"/>
    <x v="0"/>
    <x v="294"/>
    <x v="2538"/>
  </r>
  <r>
    <x v="1"/>
    <n v="301"/>
    <x v="213"/>
    <x v="1"/>
    <s v="LM"/>
    <s v="S"/>
    <x v="181"/>
    <x v="5"/>
    <x v="587"/>
    <m/>
    <x v="213"/>
    <m/>
    <x v="8"/>
    <x v="0"/>
    <x v="233"/>
    <d v="2012-10-28T00:00:00"/>
    <x v="14"/>
    <x v="0"/>
    <m/>
    <s v="African Diaspora"/>
    <x v="0"/>
    <x v="0"/>
    <m/>
    <x v="0"/>
    <x v="1"/>
    <x v="215"/>
    <x v="8"/>
    <x v="0"/>
    <x v="0"/>
    <x v="233"/>
    <x v="2539"/>
  </r>
  <r>
    <x v="1"/>
    <n v="302"/>
    <x v="214"/>
    <x v="3"/>
    <s v="CM"/>
    <s v="N"/>
    <x v="182"/>
    <x v="5"/>
    <x v="464"/>
    <m/>
    <x v="40"/>
    <m/>
    <x v="3"/>
    <x v="0"/>
    <x v="311"/>
    <d v="2012-04-01T00:00:00"/>
    <x v="3"/>
    <x v="1"/>
    <s v="Competição Nacional de Curtas Experimentais"/>
    <m/>
    <x v="0"/>
    <x v="0"/>
    <m/>
    <x v="0"/>
    <x v="6"/>
    <x v="216"/>
    <x v="3"/>
    <x v="0"/>
    <x v="1"/>
    <x v="311"/>
    <x v="2540"/>
  </r>
  <r>
    <x v="1"/>
    <n v="302"/>
    <x v="214"/>
    <x v="3"/>
    <s v="CM"/>
    <s v="N"/>
    <x v="182"/>
    <x v="5"/>
    <x v="133"/>
    <m/>
    <x v="101"/>
    <m/>
    <x v="3"/>
    <x v="0"/>
    <x v="331"/>
    <d v="2012-12-09T00:00:00"/>
    <x v="12"/>
    <x v="0"/>
    <m/>
    <s v="Sangue Novo - André Gil Mata"/>
    <x v="0"/>
    <x v="0"/>
    <m/>
    <x v="0"/>
    <x v="6"/>
    <x v="216"/>
    <x v="3"/>
    <x v="0"/>
    <x v="1"/>
    <x v="331"/>
    <x v="2541"/>
  </r>
  <r>
    <x v="1"/>
    <n v="303"/>
    <x v="215"/>
    <x v="0"/>
    <s v="CM"/>
    <s v="N"/>
    <x v="183"/>
    <x v="2"/>
    <x v="473"/>
    <m/>
    <x v="24"/>
    <m/>
    <x v="3"/>
    <x v="0"/>
    <x v="317"/>
    <m/>
    <x v="2"/>
    <x v="1"/>
    <m/>
    <m/>
    <x v="256"/>
    <x v="2"/>
    <m/>
    <x v="1"/>
    <x v="0"/>
    <x v="217"/>
    <x v="3"/>
    <x v="299"/>
    <x v="1"/>
    <x v="317"/>
    <x v="2542"/>
  </r>
  <r>
    <x v="1"/>
    <n v="303"/>
    <x v="215"/>
    <x v="0"/>
    <s v="CM"/>
    <s v="N"/>
    <x v="183"/>
    <x v="2"/>
    <x v="58"/>
    <m/>
    <x v="47"/>
    <m/>
    <x v="3"/>
    <x v="0"/>
    <x v="118"/>
    <d v="2012-09-09T00:00:00"/>
    <x v="9"/>
    <x v="0"/>
    <m/>
    <m/>
    <x v="0"/>
    <x v="1"/>
    <m/>
    <x v="0"/>
    <x v="0"/>
    <x v="217"/>
    <x v="3"/>
    <x v="0"/>
    <x v="1"/>
    <x v="118"/>
    <x v="2543"/>
  </r>
  <r>
    <x v="1"/>
    <n v="304"/>
    <x v="1047"/>
    <x v="1"/>
    <s v="LM"/>
    <s v="N"/>
    <x v="706"/>
    <x v="2"/>
    <x v="519"/>
    <m/>
    <x v="24"/>
    <m/>
    <x v="3"/>
    <x v="0"/>
    <x v="319"/>
    <d v="2012-04-21T00:00:00"/>
    <x v="5"/>
    <x v="0"/>
    <m/>
    <m/>
    <x v="0"/>
    <x v="1"/>
    <m/>
    <x v="0"/>
    <x v="1"/>
    <x v="1051"/>
    <x v="3"/>
    <x v="0"/>
    <x v="1"/>
    <x v="319"/>
    <x v="2544"/>
  </r>
  <r>
    <x v="1"/>
    <n v="1458"/>
    <x v="1048"/>
    <x v="0"/>
    <s v="LM"/>
    <s v="S"/>
    <x v="348"/>
    <x v="39"/>
    <x v="46"/>
    <m/>
    <x v="24"/>
    <m/>
    <x v="3"/>
    <x v="0"/>
    <x v="389"/>
    <d v="2012-11-13T00:00:00"/>
    <x v="13"/>
    <x v="0"/>
    <m/>
    <s v="O Cinema à volta de Cinco Artes, Cinco Artes à volta do Cinema"/>
    <x v="0"/>
    <x v="1"/>
    <m/>
    <x v="0"/>
    <x v="5"/>
    <x v="1052"/>
    <x v="3"/>
    <x v="0"/>
    <x v="1"/>
    <x v="389"/>
    <x v="2545"/>
  </r>
  <r>
    <x v="1"/>
    <n v="1519"/>
    <x v="1049"/>
    <x v="0"/>
    <s v="CM"/>
    <s v="N"/>
    <x v="120"/>
    <x v="5"/>
    <x v="409"/>
    <m/>
    <x v="58"/>
    <m/>
    <x v="17"/>
    <x v="0"/>
    <x v="239"/>
    <d v="2012-12-08T00:00:00"/>
    <x v="11"/>
    <x v="0"/>
    <m/>
    <s v="No Place like: 4 Houses, 4 Films"/>
    <x v="0"/>
    <x v="1"/>
    <m/>
    <x v="0"/>
    <x v="0"/>
    <x v="1053"/>
    <x v="17"/>
    <x v="0"/>
    <x v="0"/>
    <x v="239"/>
    <x v="2546"/>
  </r>
  <r>
    <x v="1"/>
    <n v="1552"/>
    <x v="1050"/>
    <x v="1"/>
    <s v="CM"/>
    <s v="N"/>
    <x v="707"/>
    <x v="2"/>
    <x v="588"/>
    <m/>
    <x v="23"/>
    <m/>
    <x v="3"/>
    <x v="0"/>
    <x v="395"/>
    <m/>
    <x v="12"/>
    <x v="1"/>
    <m/>
    <m/>
    <x v="239"/>
    <x v="1"/>
    <m/>
    <x v="1"/>
    <x v="2"/>
    <x v="1054"/>
    <x v="3"/>
    <x v="277"/>
    <x v="1"/>
    <x v="395"/>
    <x v="2547"/>
  </r>
  <r>
    <x v="1"/>
    <n v="306"/>
    <x v="217"/>
    <x v="0"/>
    <s v="CM"/>
    <s v="N"/>
    <x v="185"/>
    <x v="3"/>
    <x v="463"/>
    <m/>
    <x v="24"/>
    <m/>
    <x v="3"/>
    <x v="0"/>
    <x v="396"/>
    <m/>
    <x v="1"/>
    <x v="1"/>
    <m/>
    <m/>
    <x v="257"/>
    <x v="1"/>
    <m/>
    <x v="1"/>
    <x v="0"/>
    <x v="219"/>
    <x v="3"/>
    <x v="300"/>
    <x v="1"/>
    <x v="396"/>
    <x v="2548"/>
  </r>
  <r>
    <x v="1"/>
    <n v="306"/>
    <x v="217"/>
    <x v="0"/>
    <s v="CM"/>
    <s v="N"/>
    <x v="185"/>
    <x v="3"/>
    <x v="457"/>
    <m/>
    <x v="285"/>
    <m/>
    <x v="3"/>
    <x v="0"/>
    <x v="301"/>
    <d v="2012-06-16T00:00:00"/>
    <x v="7"/>
    <x v="1"/>
    <s v="Curtas-metragens"/>
    <m/>
    <x v="0"/>
    <x v="0"/>
    <m/>
    <x v="0"/>
    <x v="0"/>
    <x v="219"/>
    <x v="3"/>
    <x v="0"/>
    <x v="1"/>
    <x v="301"/>
    <x v="2549"/>
  </r>
  <r>
    <x v="1"/>
    <n v="306"/>
    <x v="217"/>
    <x v="0"/>
    <s v="CM"/>
    <s v="N"/>
    <x v="185"/>
    <x v="3"/>
    <x v="58"/>
    <m/>
    <x v="47"/>
    <m/>
    <x v="3"/>
    <x v="0"/>
    <x v="118"/>
    <d v="2012-09-09T00:00:00"/>
    <x v="9"/>
    <x v="0"/>
    <m/>
    <m/>
    <x v="0"/>
    <x v="1"/>
    <m/>
    <x v="0"/>
    <x v="0"/>
    <x v="219"/>
    <x v="3"/>
    <x v="0"/>
    <x v="1"/>
    <x v="118"/>
    <x v="2550"/>
  </r>
  <r>
    <x v="1"/>
    <n v="1471"/>
    <x v="1051"/>
    <x v="1"/>
    <s v="CM"/>
    <s v="N"/>
    <x v="708"/>
    <x v="44"/>
    <x v="294"/>
    <m/>
    <x v="58"/>
    <m/>
    <x v="17"/>
    <x v="0"/>
    <x v="267"/>
    <m/>
    <x v="13"/>
    <x v="0"/>
    <m/>
    <m/>
    <x v="0"/>
    <x v="1"/>
    <m/>
    <x v="0"/>
    <x v="2"/>
    <x v="1055"/>
    <x v="17"/>
    <x v="0"/>
    <x v="0"/>
    <x v="267"/>
    <x v="2551"/>
  </r>
  <r>
    <x v="1"/>
    <n v="1398"/>
    <x v="1052"/>
    <x v="1"/>
    <s v="LM"/>
    <s v=""/>
    <x v="182"/>
    <x v="41"/>
    <x v="25"/>
    <m/>
    <x v="24"/>
    <m/>
    <x v="3"/>
    <x v="0"/>
    <x v="294"/>
    <d v="2012-10-28T00:00:00"/>
    <x v="14"/>
    <x v="1"/>
    <s v="Competição Portuguesa - Longas"/>
    <m/>
    <x v="258"/>
    <x v="0"/>
    <m/>
    <x v="1"/>
    <x v="1"/>
    <x v="1056"/>
    <x v="3"/>
    <x v="301"/>
    <x v="1"/>
    <x v="294"/>
    <x v="2552"/>
  </r>
  <r>
    <x v="1"/>
    <n v="1398"/>
    <x v="1052"/>
    <x v="1"/>
    <s v="LM"/>
    <s v=""/>
    <x v="182"/>
    <x v="41"/>
    <x v="133"/>
    <m/>
    <x v="101"/>
    <m/>
    <x v="3"/>
    <x v="0"/>
    <x v="331"/>
    <d v="2012-12-09T00:00:00"/>
    <x v="12"/>
    <x v="0"/>
    <m/>
    <s v="Sangue Novo - André Gil Mata"/>
    <x v="0"/>
    <x v="0"/>
    <m/>
    <x v="0"/>
    <x v="1"/>
    <x v="1056"/>
    <x v="3"/>
    <x v="0"/>
    <x v="1"/>
    <x v="331"/>
    <x v="2553"/>
  </r>
  <r>
    <x v="1"/>
    <n v="1573"/>
    <x v="1053"/>
    <x v="2"/>
    <s v="CM"/>
    <s v="N"/>
    <x v="92"/>
    <x v="41"/>
    <x v="22"/>
    <m/>
    <x v="22"/>
    <m/>
    <x v="3"/>
    <x v="0"/>
    <x v="251"/>
    <d v="2012-11-18T00:00:00"/>
    <x v="13"/>
    <x v="1"/>
    <s v="Secção Competitiva"/>
    <s v="Caminhos Juniores"/>
    <x v="0"/>
    <x v="0"/>
    <m/>
    <x v="0"/>
    <x v="4"/>
    <x v="1057"/>
    <x v="3"/>
    <x v="0"/>
    <x v="1"/>
    <x v="251"/>
    <x v="2554"/>
  </r>
  <r>
    <x v="1"/>
    <n v="307"/>
    <x v="218"/>
    <x v="0"/>
    <s v="CM"/>
    <s v="N "/>
    <x v="186"/>
    <x v="2"/>
    <x v="473"/>
    <m/>
    <x v="24"/>
    <m/>
    <x v="3"/>
    <x v="0"/>
    <x v="317"/>
    <m/>
    <x v="2"/>
    <x v="1"/>
    <m/>
    <m/>
    <x v="259"/>
    <x v="2"/>
    <m/>
    <x v="1"/>
    <x v="0"/>
    <x v="220"/>
    <x v="3"/>
    <x v="302"/>
    <x v="1"/>
    <x v="317"/>
    <x v="2555"/>
  </r>
  <r>
    <x v="1"/>
    <n v="308"/>
    <x v="1054"/>
    <x v="0"/>
    <s v="CM"/>
    <s v="N"/>
    <x v="709"/>
    <x v="2"/>
    <x v="589"/>
    <m/>
    <x v="65"/>
    <m/>
    <x v="9"/>
    <x v="0"/>
    <x v="397"/>
    <d v="2012-07-01T00:00:00"/>
    <x v="17"/>
    <x v="1"/>
    <s v="Dramatic Short Series"/>
    <m/>
    <x v="260"/>
    <x v="0"/>
    <m/>
    <x v="1"/>
    <x v="0"/>
    <x v="1058"/>
    <x v="9"/>
    <x v="303"/>
    <x v="0"/>
    <x v="397"/>
    <x v="2556"/>
  </r>
  <r>
    <x v="1"/>
    <n v="308"/>
    <x v="1054"/>
    <x v="0"/>
    <s v="CM"/>
    <s v="N"/>
    <x v="709"/>
    <x v="2"/>
    <x v="165"/>
    <m/>
    <x v="65"/>
    <m/>
    <x v="9"/>
    <x v="0"/>
    <x v="286"/>
    <m/>
    <x v="9"/>
    <x v="0"/>
    <m/>
    <m/>
    <x v="0"/>
    <x v="1"/>
    <m/>
    <x v="0"/>
    <x v="0"/>
    <x v="1058"/>
    <x v="9"/>
    <x v="0"/>
    <x v="0"/>
    <x v="286"/>
    <x v="2557"/>
  </r>
  <r>
    <x v="1"/>
    <n v="1439"/>
    <x v="1055"/>
    <x v="1"/>
    <s v="CM"/>
    <s v="N"/>
    <x v="710"/>
    <x v="41"/>
    <x v="25"/>
    <m/>
    <x v="24"/>
    <m/>
    <x v="3"/>
    <x v="0"/>
    <x v="294"/>
    <d v="2012-10-28T00:00:00"/>
    <x v="14"/>
    <x v="0"/>
    <m/>
    <s v="Verdes Anos"/>
    <x v="0"/>
    <x v="0"/>
    <m/>
    <x v="0"/>
    <x v="2"/>
    <x v="1059"/>
    <x v="3"/>
    <x v="0"/>
    <x v="1"/>
    <x v="294"/>
    <x v="2558"/>
  </r>
  <r>
    <x v="1"/>
    <n v="1526"/>
    <x v="1056"/>
    <x v="0"/>
    <s v="LM"/>
    <s v="N"/>
    <x v="711"/>
    <x v="41"/>
    <x v="471"/>
    <m/>
    <x v="75"/>
    <m/>
    <x v="15"/>
    <x v="0"/>
    <x v="251"/>
    <d v="2012-11-17T00:00:00"/>
    <x v="13"/>
    <x v="0"/>
    <m/>
    <s v="CinemaXXI: Lungometraggi fuori Concorso"/>
    <x v="0"/>
    <x v="0"/>
    <s v="4 CM: O Tasqueiro, Lamento da Vida Jovem, Vidros partidos e O Conquistador Conquistado"/>
    <x v="0"/>
    <x v="5"/>
    <x v="1060"/>
    <x v="15"/>
    <x v="0"/>
    <x v="0"/>
    <x v="251"/>
    <x v="2559"/>
  </r>
  <r>
    <x v="1"/>
    <n v="309"/>
    <x v="219"/>
    <x v="0"/>
    <s v="CM"/>
    <s v="N"/>
    <x v="120"/>
    <x v="3"/>
    <x v="90"/>
    <m/>
    <x v="69"/>
    <m/>
    <x v="8"/>
    <x v="0"/>
    <x v="273"/>
    <d v="2012-02-05T00:00:00"/>
    <x v="18"/>
    <x v="0"/>
    <m/>
    <s v="Spectrum Shorts - Short Stories: Family Ties"/>
    <x v="0"/>
    <x v="0"/>
    <m/>
    <x v="0"/>
    <x v="0"/>
    <x v="221"/>
    <x v="8"/>
    <x v="0"/>
    <x v="0"/>
    <x v="273"/>
    <x v="2560"/>
  </r>
  <r>
    <x v="1"/>
    <n v="309"/>
    <x v="219"/>
    <x v="0"/>
    <s v="CM"/>
    <s v="N"/>
    <x v="120"/>
    <x v="3"/>
    <x v="146"/>
    <m/>
    <x v="24"/>
    <m/>
    <x v="3"/>
    <x v="0"/>
    <x v="281"/>
    <d v="2012-05-06T00:00:00"/>
    <x v="4"/>
    <x v="1"/>
    <s v="Competição Internacional Curtas 7 e Competição Nacional Curtas 2"/>
    <m/>
    <x v="261"/>
    <x v="0"/>
    <m/>
    <x v="1"/>
    <x v="0"/>
    <x v="221"/>
    <x v="3"/>
    <x v="304"/>
    <x v="1"/>
    <x v="281"/>
    <x v="2561"/>
  </r>
  <r>
    <x v="1"/>
    <n v="309"/>
    <x v="219"/>
    <x v="0"/>
    <s v="CM"/>
    <s v="N"/>
    <x v="120"/>
    <x v="3"/>
    <x v="58"/>
    <m/>
    <x v="47"/>
    <m/>
    <x v="3"/>
    <x v="0"/>
    <x v="118"/>
    <d v="2012-09-09T00:00:00"/>
    <x v="9"/>
    <x v="0"/>
    <m/>
    <m/>
    <x v="0"/>
    <x v="1"/>
    <m/>
    <x v="0"/>
    <x v="0"/>
    <x v="221"/>
    <x v="3"/>
    <x v="0"/>
    <x v="1"/>
    <x v="118"/>
    <x v="2562"/>
  </r>
  <r>
    <x v="1"/>
    <n v="309"/>
    <x v="219"/>
    <x v="0"/>
    <s v="CM"/>
    <s v="N"/>
    <x v="120"/>
    <x v="3"/>
    <x v="538"/>
    <m/>
    <x v="315"/>
    <m/>
    <x v="3"/>
    <x v="0"/>
    <x v="276"/>
    <m/>
    <x v="9"/>
    <x v="0"/>
    <m/>
    <m/>
    <x v="0"/>
    <x v="1"/>
    <m/>
    <x v="0"/>
    <x v="0"/>
    <x v="221"/>
    <x v="3"/>
    <x v="0"/>
    <x v="1"/>
    <x v="276"/>
    <x v="2563"/>
  </r>
  <r>
    <x v="1"/>
    <n v="309"/>
    <x v="219"/>
    <x v="0"/>
    <s v="CM"/>
    <s v="N"/>
    <x v="120"/>
    <x v="3"/>
    <x v="444"/>
    <m/>
    <x v="283"/>
    <m/>
    <x v="3"/>
    <x v="0"/>
    <x v="285"/>
    <d v="2012-10-17T00:00:00"/>
    <x v="14"/>
    <x v="0"/>
    <m/>
    <m/>
    <x v="0"/>
    <x v="1"/>
    <m/>
    <x v="0"/>
    <x v="0"/>
    <x v="221"/>
    <x v="3"/>
    <x v="0"/>
    <x v="1"/>
    <x v="285"/>
    <x v="2564"/>
  </r>
  <r>
    <x v="1"/>
    <n v="309"/>
    <x v="219"/>
    <x v="0"/>
    <s v="CM"/>
    <s v="N"/>
    <x v="120"/>
    <x v="3"/>
    <x v="22"/>
    <m/>
    <x v="22"/>
    <m/>
    <x v="3"/>
    <x v="0"/>
    <x v="251"/>
    <d v="2012-11-18T00:00:00"/>
    <x v="13"/>
    <x v="1"/>
    <s v="Secção Competitiva"/>
    <m/>
    <x v="262"/>
    <x v="0"/>
    <m/>
    <x v="1"/>
    <x v="0"/>
    <x v="221"/>
    <x v="3"/>
    <x v="305"/>
    <x v="1"/>
    <x v="251"/>
    <x v="2565"/>
  </r>
  <r>
    <x v="1"/>
    <n v="309"/>
    <x v="219"/>
    <x v="0"/>
    <s v="CM"/>
    <s v="N"/>
    <x v="120"/>
    <x v="3"/>
    <x v="133"/>
    <m/>
    <x v="101"/>
    <m/>
    <x v="3"/>
    <x v="0"/>
    <x v="331"/>
    <d v="2012-12-09T00:00:00"/>
    <x v="12"/>
    <x v="0"/>
    <m/>
    <s v="Em Debate - João Salaviza"/>
    <x v="0"/>
    <x v="0"/>
    <m/>
    <x v="0"/>
    <x v="0"/>
    <x v="221"/>
    <x v="3"/>
    <x v="0"/>
    <x v="1"/>
    <x v="331"/>
    <x v="2566"/>
  </r>
  <r>
    <x v="1"/>
    <n v="310"/>
    <x v="1057"/>
    <x v="4"/>
    <s v="CM"/>
    <s v="N"/>
    <x v="712"/>
    <x v="2"/>
    <x v="62"/>
    <m/>
    <x v="23"/>
    <m/>
    <x v="3"/>
    <x v="0"/>
    <x v="302"/>
    <d v="2012-03-04T00:00:00"/>
    <x v="19"/>
    <x v="1"/>
    <s v="Prémio de Cinema Português - Escolas de Cinema"/>
    <m/>
    <x v="0"/>
    <x v="0"/>
    <m/>
    <x v="0"/>
    <x v="8"/>
    <x v="1061"/>
    <x v="3"/>
    <x v="0"/>
    <x v="1"/>
    <x v="302"/>
    <x v="2567"/>
  </r>
  <r>
    <x v="1"/>
    <n v="310"/>
    <x v="1057"/>
    <x v="4"/>
    <s v="CM"/>
    <s v="N"/>
    <x v="712"/>
    <x v="2"/>
    <x v="457"/>
    <m/>
    <x v="285"/>
    <m/>
    <x v="3"/>
    <x v="0"/>
    <x v="301"/>
    <d v="2012-06-16T00:00:00"/>
    <x v="7"/>
    <x v="1"/>
    <s v="U-Can: Escola Artística Soares dos Reis"/>
    <m/>
    <x v="0"/>
    <x v="0"/>
    <m/>
    <x v="0"/>
    <x v="8"/>
    <x v="1061"/>
    <x v="3"/>
    <x v="0"/>
    <x v="1"/>
    <x v="301"/>
    <x v="2568"/>
  </r>
  <r>
    <x v="1"/>
    <n v="315"/>
    <x v="224"/>
    <x v="0"/>
    <s v="CM"/>
    <s v="S"/>
    <x v="106"/>
    <x v="18"/>
    <x v="91"/>
    <m/>
    <x v="70"/>
    <m/>
    <x v="18"/>
    <x v="0"/>
    <x v="362"/>
    <d v="2012-04-26T00:00:00"/>
    <x v="5"/>
    <x v="0"/>
    <m/>
    <s v="Cinemascape: World Cinema Shorts"/>
    <x v="0"/>
    <x v="0"/>
    <m/>
    <x v="0"/>
    <x v="0"/>
    <x v="226"/>
    <x v="18"/>
    <x v="0"/>
    <x v="0"/>
    <x v="362"/>
    <x v="2569"/>
  </r>
  <r>
    <x v="1"/>
    <n v="315"/>
    <x v="224"/>
    <x v="0"/>
    <s v="CM"/>
    <s v="S"/>
    <x v="106"/>
    <x v="18"/>
    <x v="407"/>
    <m/>
    <x v="154"/>
    <m/>
    <x v="0"/>
    <x v="0"/>
    <x v="237"/>
    <d v="2012-07-08T00:00:00"/>
    <x v="17"/>
    <x v="0"/>
    <m/>
    <m/>
    <x v="0"/>
    <x v="1"/>
    <m/>
    <x v="0"/>
    <x v="0"/>
    <x v="226"/>
    <x v="0"/>
    <x v="0"/>
    <x v="0"/>
    <x v="237"/>
    <x v="2570"/>
  </r>
  <r>
    <x v="1"/>
    <n v="315"/>
    <x v="224"/>
    <x v="0"/>
    <s v="CM"/>
    <s v="S"/>
    <x v="106"/>
    <x v="18"/>
    <x v="80"/>
    <m/>
    <x v="60"/>
    <m/>
    <x v="3"/>
    <x v="0"/>
    <x v="251"/>
    <d v="2012-11-18T00:00:00"/>
    <x v="13"/>
    <x v="0"/>
    <m/>
    <s v="Homenagens: João Pedro Rodrigues e João Rui Guerra da Mata"/>
    <x v="0"/>
    <x v="0"/>
    <m/>
    <x v="0"/>
    <x v="0"/>
    <x v="226"/>
    <x v="3"/>
    <x v="0"/>
    <x v="1"/>
    <x v="251"/>
    <x v="2571"/>
  </r>
  <r>
    <x v="1"/>
    <n v="316"/>
    <x v="225"/>
    <x v="2"/>
    <s v="CM"/>
    <s v="N"/>
    <x v="191"/>
    <x v="2"/>
    <x v="590"/>
    <m/>
    <x v="328"/>
    <m/>
    <x v="11"/>
    <x v="0"/>
    <x v="281"/>
    <d v="2012-05-01T00:00:00"/>
    <x v="4"/>
    <x v="1"/>
    <s v="Films made by children 12/15"/>
    <m/>
    <x v="0"/>
    <x v="0"/>
    <m/>
    <x v="0"/>
    <x v="4"/>
    <x v="227"/>
    <x v="11"/>
    <x v="0"/>
    <x v="0"/>
    <x v="281"/>
    <x v="2572"/>
  </r>
  <r>
    <x v="1"/>
    <n v="316"/>
    <x v="225"/>
    <x v="2"/>
    <s v="CM"/>
    <s v="N"/>
    <x v="191"/>
    <x v="2"/>
    <x v="220"/>
    <m/>
    <x v="154"/>
    <m/>
    <x v="0"/>
    <x v="0"/>
    <x v="333"/>
    <d v="2012-07-29T00:00:00"/>
    <x v="8"/>
    <x v="0"/>
    <m/>
    <s v="Futuro Animador: Crianças e Adolescentes"/>
    <x v="0"/>
    <x v="0"/>
    <m/>
    <x v="0"/>
    <x v="4"/>
    <x v="227"/>
    <x v="0"/>
    <x v="0"/>
    <x v="0"/>
    <x v="333"/>
    <x v="2573"/>
  </r>
  <r>
    <x v="1"/>
    <n v="316"/>
    <x v="225"/>
    <x v="2"/>
    <s v="CM"/>
    <s v="N"/>
    <x v="191"/>
    <x v="2"/>
    <x v="22"/>
    <m/>
    <x v="22"/>
    <m/>
    <x v="3"/>
    <x v="0"/>
    <x v="251"/>
    <d v="2012-11-18T00:00:00"/>
    <x v="13"/>
    <x v="0"/>
    <m/>
    <s v="Caminhos Juniores"/>
    <x v="0"/>
    <x v="0"/>
    <m/>
    <x v="0"/>
    <x v="4"/>
    <x v="227"/>
    <x v="3"/>
    <x v="0"/>
    <x v="1"/>
    <x v="251"/>
    <x v="2574"/>
  </r>
  <r>
    <x v="1"/>
    <n v="1307"/>
    <x v="1058"/>
    <x v="3"/>
    <s v="CM"/>
    <s v="N"/>
    <x v="713"/>
    <x v="2"/>
    <x v="70"/>
    <m/>
    <x v="38"/>
    <m/>
    <x v="3"/>
    <x v="0"/>
    <x v="349"/>
    <d v="2012-09-16T00:00:00"/>
    <x v="9"/>
    <x v="1"/>
    <m/>
    <m/>
    <x v="7"/>
    <x v="0"/>
    <m/>
    <x v="1"/>
    <x v="6"/>
    <x v="1062"/>
    <x v="3"/>
    <x v="7"/>
    <x v="1"/>
    <x v="349"/>
    <x v="2575"/>
  </r>
  <r>
    <x v="1"/>
    <n v="1397"/>
    <x v="1059"/>
    <x v="2"/>
    <s v="CM"/>
    <s v="N"/>
    <x v="714"/>
    <x v="41"/>
    <x v="591"/>
    <m/>
    <x v="23"/>
    <m/>
    <x v="3"/>
    <x v="0"/>
    <x v="297"/>
    <m/>
    <x v="14"/>
    <x v="0"/>
    <m/>
    <s v="Projecto Convidado (CIN RE-MAKE'12)"/>
    <x v="0"/>
    <x v="1"/>
    <m/>
    <x v="0"/>
    <x v="4"/>
    <x v="1063"/>
    <x v="3"/>
    <x v="0"/>
    <x v="1"/>
    <x v="297"/>
    <x v="2576"/>
  </r>
  <r>
    <x v="1"/>
    <n v="319"/>
    <x v="228"/>
    <x v="0"/>
    <s v="LM"/>
    <s v="S"/>
    <x v="194"/>
    <x v="21"/>
    <x v="130"/>
    <m/>
    <x v="99"/>
    <m/>
    <x v="3"/>
    <x v="0"/>
    <x v="325"/>
    <m/>
    <x v="13"/>
    <x v="0"/>
    <m/>
    <m/>
    <x v="0"/>
    <x v="1"/>
    <m/>
    <x v="0"/>
    <x v="5"/>
    <x v="230"/>
    <x v="3"/>
    <x v="0"/>
    <x v="1"/>
    <x v="325"/>
    <x v="2577"/>
  </r>
  <r>
    <x v="1"/>
    <n v="1496"/>
    <x v="1060"/>
    <x v="2"/>
    <s v="CM"/>
    <s v="N"/>
    <x v="715"/>
    <x v="3"/>
    <x v="27"/>
    <m/>
    <x v="25"/>
    <m/>
    <x v="3"/>
    <x v="0"/>
    <x v="307"/>
    <d v="2012-11-18T00:00:00"/>
    <x v="13"/>
    <x v="1"/>
    <s v="Competição Nacional : Jovem Cineasta Português (-18)"/>
    <m/>
    <x v="0"/>
    <x v="0"/>
    <m/>
    <x v="0"/>
    <x v="4"/>
    <x v="1064"/>
    <x v="3"/>
    <x v="0"/>
    <x v="1"/>
    <x v="307"/>
    <x v="2578"/>
  </r>
  <r>
    <x v="1"/>
    <n v="1449"/>
    <x v="1061"/>
    <x v="1"/>
    <s v="CM"/>
    <s v=""/>
    <x v="158"/>
    <x v="3"/>
    <x v="25"/>
    <m/>
    <x v="24"/>
    <m/>
    <x v="3"/>
    <x v="0"/>
    <x v="294"/>
    <d v="2012-10-28T00:00:00"/>
    <x v="14"/>
    <x v="0"/>
    <m/>
    <s v="Homenagem a Fernando Lopes"/>
    <x v="0"/>
    <x v="0"/>
    <m/>
    <x v="0"/>
    <x v="2"/>
    <x v="1065"/>
    <x v="3"/>
    <x v="0"/>
    <x v="1"/>
    <x v="294"/>
    <x v="2579"/>
  </r>
  <r>
    <x v="1"/>
    <n v="320"/>
    <x v="229"/>
    <x v="1"/>
    <s v="LM"/>
    <s v="N"/>
    <x v="195"/>
    <x v="2"/>
    <x v="592"/>
    <m/>
    <x v="5"/>
    <m/>
    <x v="3"/>
    <x v="0"/>
    <x v="398"/>
    <d v="2012-09-04T00:00:00"/>
    <x v="20"/>
    <x v="0"/>
    <m/>
    <m/>
    <x v="0"/>
    <x v="1"/>
    <m/>
    <x v="0"/>
    <x v="1"/>
    <x v="231"/>
    <x v="3"/>
    <x v="0"/>
    <x v="1"/>
    <x v="398"/>
    <x v="2580"/>
  </r>
  <r>
    <x v="1"/>
    <n v="1361"/>
    <x v="1062"/>
    <x v="1"/>
    <s v="CM"/>
    <s v="S"/>
    <x v="10"/>
    <x v="21"/>
    <x v="408"/>
    <m/>
    <x v="266"/>
    <m/>
    <x v="2"/>
    <x v="0"/>
    <x v="238"/>
    <d v="2012-08-25T00:00:00"/>
    <x v="16"/>
    <x v="0"/>
    <m/>
    <s v="Route du Doc: Portugal"/>
    <x v="0"/>
    <x v="1"/>
    <m/>
    <x v="0"/>
    <x v="2"/>
    <x v="1066"/>
    <x v="2"/>
    <x v="0"/>
    <x v="0"/>
    <x v="238"/>
    <x v="2581"/>
  </r>
  <r>
    <x v="1"/>
    <n v="1361"/>
    <x v="1062"/>
    <x v="1"/>
    <s v="CM"/>
    <s v="S"/>
    <x v="10"/>
    <x v="21"/>
    <x v="149"/>
    <m/>
    <x v="114"/>
    <m/>
    <x v="35"/>
    <x v="0"/>
    <x v="339"/>
    <d v="2012-11-07T00:00:00"/>
    <x v="0"/>
    <x v="0"/>
    <m/>
    <s v="In Focus: Manuel Mozos"/>
    <x v="0"/>
    <x v="0"/>
    <m/>
    <x v="0"/>
    <x v="2"/>
    <x v="1066"/>
    <x v="35"/>
    <x v="0"/>
    <x v="0"/>
    <x v="339"/>
    <x v="2582"/>
  </r>
  <r>
    <x v="1"/>
    <n v="1452"/>
    <x v="1063"/>
    <x v="1"/>
    <s v="CM"/>
    <s v="N"/>
    <x v="716"/>
    <x v="41"/>
    <x v="25"/>
    <m/>
    <x v="24"/>
    <m/>
    <x v="3"/>
    <x v="0"/>
    <x v="294"/>
    <d v="2012-10-28T00:00:00"/>
    <x v="14"/>
    <x v="0"/>
    <m/>
    <s v="Homenagem ao Curtas Vila do Conde"/>
    <x v="0"/>
    <x v="0"/>
    <m/>
    <x v="0"/>
    <x v="2"/>
    <x v="1067"/>
    <x v="3"/>
    <x v="0"/>
    <x v="1"/>
    <x v="294"/>
    <x v="2583"/>
  </r>
  <r>
    <x v="1"/>
    <n v="1452"/>
    <x v="1063"/>
    <x v="1"/>
    <s v="CM"/>
    <s v="N"/>
    <x v="716"/>
    <x v="41"/>
    <x v="490"/>
    <m/>
    <x v="298"/>
    <m/>
    <x v="15"/>
    <x v="0"/>
    <x v="330"/>
    <d v="2012-11-17T00:00:00"/>
    <x v="13"/>
    <x v="1"/>
    <s v="Concorso Internazionale Cortometraggi"/>
    <m/>
    <x v="0"/>
    <x v="0"/>
    <m/>
    <x v="0"/>
    <x v="2"/>
    <x v="1067"/>
    <x v="15"/>
    <x v="0"/>
    <x v="0"/>
    <x v="330"/>
    <x v="2584"/>
  </r>
  <r>
    <x v="1"/>
    <n v="1452"/>
    <x v="1063"/>
    <x v="1"/>
    <s v="CM"/>
    <s v="N"/>
    <x v="716"/>
    <x v="41"/>
    <x v="133"/>
    <m/>
    <x v="101"/>
    <m/>
    <x v="3"/>
    <x v="0"/>
    <x v="331"/>
    <d v="2012-12-09T00:00:00"/>
    <x v="12"/>
    <x v="1"/>
    <s v="Curtas Metragens"/>
    <m/>
    <x v="0"/>
    <x v="0"/>
    <m/>
    <x v="0"/>
    <x v="2"/>
    <x v="1067"/>
    <x v="3"/>
    <x v="0"/>
    <x v="1"/>
    <x v="331"/>
    <x v="2585"/>
  </r>
  <r>
    <x v="1"/>
    <n v="322"/>
    <x v="231"/>
    <x v="0"/>
    <s v="LM"/>
    <s v="S"/>
    <x v="40"/>
    <x v="3"/>
    <x v="42"/>
    <m/>
    <x v="39"/>
    <m/>
    <x v="3"/>
    <x v="0"/>
    <x v="399"/>
    <m/>
    <x v="15"/>
    <x v="0"/>
    <m/>
    <m/>
    <x v="0"/>
    <x v="1"/>
    <m/>
    <x v="0"/>
    <x v="5"/>
    <x v="233"/>
    <x v="3"/>
    <x v="0"/>
    <x v="1"/>
    <x v="399"/>
    <x v="2586"/>
  </r>
  <r>
    <x v="1"/>
    <n v="322"/>
    <x v="231"/>
    <x v="0"/>
    <s v="LM"/>
    <s v="S"/>
    <x v="40"/>
    <x v="3"/>
    <x v="320"/>
    <m/>
    <x v="218"/>
    <m/>
    <x v="3"/>
    <x v="0"/>
    <x v="400"/>
    <m/>
    <x v="15"/>
    <x v="0"/>
    <m/>
    <m/>
    <x v="0"/>
    <x v="1"/>
    <m/>
    <x v="0"/>
    <x v="5"/>
    <x v="233"/>
    <x v="3"/>
    <x v="0"/>
    <x v="1"/>
    <x v="400"/>
    <x v="2587"/>
  </r>
  <r>
    <x v="1"/>
    <n v="322"/>
    <x v="231"/>
    <x v="0"/>
    <s v="LM"/>
    <s v="S"/>
    <x v="40"/>
    <x v="3"/>
    <x v="57"/>
    <m/>
    <x v="40"/>
    <m/>
    <x v="3"/>
    <x v="0"/>
    <x v="273"/>
    <m/>
    <x v="15"/>
    <x v="0"/>
    <m/>
    <m/>
    <x v="0"/>
    <x v="1"/>
    <m/>
    <x v="0"/>
    <x v="5"/>
    <x v="233"/>
    <x v="3"/>
    <x v="0"/>
    <x v="1"/>
    <x v="273"/>
    <x v="2588"/>
  </r>
  <r>
    <x v="1"/>
    <n v="322"/>
    <x v="231"/>
    <x v="0"/>
    <s v="LM"/>
    <s v="S"/>
    <x v="40"/>
    <x v="3"/>
    <x v="337"/>
    <m/>
    <x v="37"/>
    <m/>
    <x v="3"/>
    <x v="0"/>
    <x v="401"/>
    <m/>
    <x v="1"/>
    <x v="0"/>
    <m/>
    <m/>
    <x v="0"/>
    <x v="1"/>
    <m/>
    <x v="0"/>
    <x v="5"/>
    <x v="233"/>
    <x v="3"/>
    <x v="0"/>
    <x v="1"/>
    <x v="401"/>
    <x v="2589"/>
  </r>
  <r>
    <x v="1"/>
    <n v="322"/>
    <x v="231"/>
    <x v="0"/>
    <s v="LM"/>
    <s v="S"/>
    <x v="40"/>
    <x v="3"/>
    <x v="55"/>
    <m/>
    <x v="45"/>
    <m/>
    <x v="3"/>
    <x v="0"/>
    <x v="244"/>
    <d v="2012-02-29T00:00:00"/>
    <x v="1"/>
    <x v="0"/>
    <m/>
    <s v="16º Programa: As Escolhas de Teresa Villaverde"/>
    <x v="0"/>
    <x v="1"/>
    <m/>
    <x v="0"/>
    <x v="5"/>
    <x v="233"/>
    <x v="3"/>
    <x v="0"/>
    <x v="1"/>
    <x v="244"/>
    <x v="2590"/>
  </r>
  <r>
    <x v="1"/>
    <n v="322"/>
    <x v="231"/>
    <x v="0"/>
    <s v="LM"/>
    <s v="S"/>
    <x v="40"/>
    <x v="3"/>
    <x v="593"/>
    <m/>
    <x v="321"/>
    <m/>
    <x v="3"/>
    <x v="0"/>
    <x v="402"/>
    <m/>
    <x v="1"/>
    <x v="0"/>
    <m/>
    <m/>
    <x v="0"/>
    <x v="1"/>
    <m/>
    <x v="0"/>
    <x v="5"/>
    <x v="233"/>
    <x v="3"/>
    <x v="0"/>
    <x v="1"/>
    <x v="402"/>
    <x v="2591"/>
  </r>
  <r>
    <x v="1"/>
    <n v="322"/>
    <x v="231"/>
    <x v="0"/>
    <s v="LM"/>
    <s v="S"/>
    <x v="40"/>
    <x v="3"/>
    <x v="594"/>
    <m/>
    <x v="39"/>
    <m/>
    <x v="3"/>
    <x v="0"/>
    <x v="403"/>
    <d v="2012-02-26T00:00:00"/>
    <x v="1"/>
    <x v="0"/>
    <m/>
    <m/>
    <x v="0"/>
    <x v="1"/>
    <m/>
    <x v="0"/>
    <x v="5"/>
    <x v="233"/>
    <x v="3"/>
    <x v="0"/>
    <x v="1"/>
    <x v="403"/>
    <x v="2592"/>
  </r>
  <r>
    <x v="1"/>
    <n v="322"/>
    <x v="231"/>
    <x v="0"/>
    <s v="LM"/>
    <s v="S"/>
    <x v="40"/>
    <x v="3"/>
    <x v="500"/>
    <m/>
    <x v="24"/>
    <m/>
    <x v="3"/>
    <x v="0"/>
    <x v="348"/>
    <d v="2012-03-11T00:00:00"/>
    <x v="2"/>
    <x v="0"/>
    <m/>
    <m/>
    <x v="0"/>
    <x v="1"/>
    <m/>
    <x v="0"/>
    <x v="5"/>
    <x v="233"/>
    <x v="3"/>
    <x v="0"/>
    <x v="1"/>
    <x v="348"/>
    <x v="2593"/>
  </r>
  <r>
    <x v="1"/>
    <n v="322"/>
    <x v="231"/>
    <x v="0"/>
    <s v="LM"/>
    <s v="S"/>
    <x v="40"/>
    <x v="3"/>
    <x v="595"/>
    <m/>
    <x v="206"/>
    <m/>
    <x v="3"/>
    <x v="0"/>
    <x v="256"/>
    <m/>
    <x v="2"/>
    <x v="0"/>
    <m/>
    <m/>
    <x v="0"/>
    <x v="1"/>
    <m/>
    <x v="0"/>
    <x v="5"/>
    <x v="233"/>
    <x v="3"/>
    <x v="0"/>
    <x v="1"/>
    <x v="256"/>
    <x v="2594"/>
  </r>
  <r>
    <x v="1"/>
    <n v="322"/>
    <x v="231"/>
    <x v="0"/>
    <s v="LM"/>
    <s v="S"/>
    <x v="40"/>
    <x v="3"/>
    <x v="596"/>
    <m/>
    <x v="329"/>
    <m/>
    <x v="1"/>
    <x v="0"/>
    <x v="404"/>
    <d v="2012-03-24T00:00:00"/>
    <x v="2"/>
    <x v="0"/>
    <m/>
    <s v="Sección Informativa (Panorama)"/>
    <x v="0"/>
    <x v="0"/>
    <m/>
    <x v="0"/>
    <x v="5"/>
    <x v="233"/>
    <x v="1"/>
    <x v="0"/>
    <x v="0"/>
    <x v="404"/>
    <x v="2595"/>
  </r>
  <r>
    <x v="1"/>
    <n v="322"/>
    <x v="231"/>
    <x v="0"/>
    <s v="LM"/>
    <s v="S"/>
    <x v="40"/>
    <x v="3"/>
    <x v="477"/>
    <m/>
    <x v="59"/>
    <m/>
    <x v="3"/>
    <x v="0"/>
    <x v="405"/>
    <m/>
    <x v="2"/>
    <x v="0"/>
    <m/>
    <m/>
    <x v="0"/>
    <x v="1"/>
    <m/>
    <x v="0"/>
    <x v="5"/>
    <x v="233"/>
    <x v="3"/>
    <x v="0"/>
    <x v="1"/>
    <x v="405"/>
    <x v="2596"/>
  </r>
  <r>
    <x v="1"/>
    <n v="322"/>
    <x v="231"/>
    <x v="0"/>
    <s v="LM"/>
    <s v="S"/>
    <x v="40"/>
    <x v="3"/>
    <x v="3"/>
    <m/>
    <x v="3"/>
    <m/>
    <x v="2"/>
    <x v="0"/>
    <x v="311"/>
    <d v="2012-04-08T00:00:00"/>
    <x v="3"/>
    <x v="1"/>
    <s v="Compétition Longs Métrages de Fiction"/>
    <m/>
    <x v="0"/>
    <x v="0"/>
    <m/>
    <x v="0"/>
    <x v="5"/>
    <x v="233"/>
    <x v="2"/>
    <x v="0"/>
    <x v="0"/>
    <x v="311"/>
    <x v="2597"/>
  </r>
  <r>
    <x v="1"/>
    <n v="322"/>
    <x v="231"/>
    <x v="0"/>
    <s v="LM"/>
    <s v="S"/>
    <x v="40"/>
    <x v="3"/>
    <x v="597"/>
    <m/>
    <x v="115"/>
    <m/>
    <x v="36"/>
    <x v="0"/>
    <x v="364"/>
    <d v="2012-04-29T00:00:00"/>
    <x v="5"/>
    <x v="0"/>
    <m/>
    <s v="Front Runners"/>
    <x v="0"/>
    <x v="0"/>
    <m/>
    <x v="0"/>
    <x v="5"/>
    <x v="233"/>
    <x v="36"/>
    <x v="0"/>
    <x v="0"/>
    <x v="364"/>
    <x v="2598"/>
  </r>
  <r>
    <x v="1"/>
    <n v="323"/>
    <x v="1064"/>
    <x v="2"/>
    <s v="CM"/>
    <s v="S"/>
    <x v="640"/>
    <x v="20"/>
    <x v="487"/>
    <m/>
    <x v="295"/>
    <m/>
    <x v="10"/>
    <x v="0"/>
    <x v="287"/>
    <d v="2012-04-01T00:00:00"/>
    <x v="3"/>
    <x v="0"/>
    <m/>
    <s v="Portugal: Contemporary Animation Films"/>
    <x v="0"/>
    <x v="0"/>
    <m/>
    <x v="0"/>
    <x v="4"/>
    <x v="1068"/>
    <x v="10"/>
    <x v="0"/>
    <x v="0"/>
    <x v="287"/>
    <x v="2599"/>
  </r>
  <r>
    <x v="1"/>
    <n v="323"/>
    <x v="1064"/>
    <x v="2"/>
    <s v="CM"/>
    <s v="S"/>
    <x v="640"/>
    <x v="20"/>
    <x v="411"/>
    <m/>
    <x v="268"/>
    <m/>
    <x v="0"/>
    <x v="0"/>
    <x v="241"/>
    <d v="2012-05-18T00:00:00"/>
    <x v="6"/>
    <x v="0"/>
    <m/>
    <s v="Mostra dos Festivais - FIKE"/>
    <x v="0"/>
    <x v="0"/>
    <m/>
    <x v="0"/>
    <x v="4"/>
    <x v="1068"/>
    <x v="0"/>
    <x v="0"/>
    <x v="0"/>
    <x v="241"/>
    <x v="2600"/>
  </r>
  <r>
    <x v="1"/>
    <n v="323"/>
    <x v="1064"/>
    <x v="2"/>
    <s v="CM"/>
    <s v="S"/>
    <x v="640"/>
    <x v="20"/>
    <x v="480"/>
    <m/>
    <x v="291"/>
    <m/>
    <x v="2"/>
    <x v="0"/>
    <x v="307"/>
    <d v="2012-11-20T00:00:00"/>
    <x v="13"/>
    <x v="0"/>
    <m/>
    <s v="Coups de coeur - Abi Feijó/Regina Pessoa: Oeuvres Croisées"/>
    <x v="0"/>
    <x v="0"/>
    <m/>
    <x v="0"/>
    <x v="4"/>
    <x v="1068"/>
    <x v="2"/>
    <x v="0"/>
    <x v="0"/>
    <x v="307"/>
    <x v="2601"/>
  </r>
  <r>
    <x v="1"/>
    <n v="324"/>
    <x v="232"/>
    <x v="1"/>
    <s v="CM"/>
    <s v="N"/>
    <x v="197"/>
    <x v="2"/>
    <x v="316"/>
    <m/>
    <x v="11"/>
    <m/>
    <x v="3"/>
    <x v="0"/>
    <x v="199"/>
    <d v="2012-08-25T00:00:00"/>
    <x v="16"/>
    <x v="1"/>
    <s v="Documentário"/>
    <m/>
    <x v="0"/>
    <x v="0"/>
    <m/>
    <x v="0"/>
    <x v="2"/>
    <x v="234"/>
    <x v="3"/>
    <x v="0"/>
    <x v="1"/>
    <x v="199"/>
    <x v="2602"/>
  </r>
  <r>
    <x v="1"/>
    <n v="324"/>
    <x v="232"/>
    <x v="1"/>
    <s v="CM"/>
    <s v="N"/>
    <x v="197"/>
    <x v="2"/>
    <x v="70"/>
    <m/>
    <x v="38"/>
    <m/>
    <x v="3"/>
    <x v="0"/>
    <x v="349"/>
    <d v="2012-09-16T00:00:00"/>
    <x v="9"/>
    <x v="1"/>
    <m/>
    <m/>
    <x v="0"/>
    <x v="0"/>
    <m/>
    <x v="0"/>
    <x v="2"/>
    <x v="234"/>
    <x v="3"/>
    <x v="0"/>
    <x v="1"/>
    <x v="349"/>
    <x v="2603"/>
  </r>
  <r>
    <x v="1"/>
    <n v="326"/>
    <x v="1065"/>
    <x v="0"/>
    <s v="CM"/>
    <s v="N"/>
    <x v="717"/>
    <x v="2"/>
    <x v="412"/>
    <m/>
    <x v="269"/>
    <m/>
    <x v="3"/>
    <x v="0"/>
    <x v="242"/>
    <m/>
    <x v="7"/>
    <x v="0"/>
    <m/>
    <m/>
    <x v="0"/>
    <x v="0"/>
    <m/>
    <x v="0"/>
    <x v="0"/>
    <x v="1069"/>
    <x v="3"/>
    <x v="0"/>
    <x v="1"/>
    <x v="242"/>
    <x v="2604"/>
  </r>
  <r>
    <x v="1"/>
    <n v="327"/>
    <x v="1066"/>
    <x v="2"/>
    <s v="CM"/>
    <s v="S"/>
    <x v="176"/>
    <x v="2"/>
    <x v="582"/>
    <m/>
    <x v="24"/>
    <m/>
    <x v="3"/>
    <x v="0"/>
    <x v="353"/>
    <m/>
    <x v="2"/>
    <x v="0"/>
    <m/>
    <m/>
    <x v="0"/>
    <x v="1"/>
    <m/>
    <x v="0"/>
    <x v="4"/>
    <x v="1070"/>
    <x v="3"/>
    <x v="0"/>
    <x v="1"/>
    <x v="353"/>
    <x v="2605"/>
  </r>
  <r>
    <x v="1"/>
    <n v="1558"/>
    <x v="1067"/>
    <x v="0"/>
    <s v="CM"/>
    <s v="N"/>
    <x v="677"/>
    <x v="3"/>
    <x v="402"/>
    <m/>
    <x v="24"/>
    <m/>
    <x v="3"/>
    <x v="0"/>
    <x v="231"/>
    <d v="2012-12-09T00:00:00"/>
    <x v="12"/>
    <x v="1"/>
    <s v="Categoria Fundação INATEL"/>
    <m/>
    <x v="0"/>
    <x v="1"/>
    <m/>
    <x v="0"/>
    <x v="0"/>
    <x v="1071"/>
    <x v="3"/>
    <x v="0"/>
    <x v="1"/>
    <x v="231"/>
    <x v="2606"/>
  </r>
  <r>
    <x v="1"/>
    <n v="603"/>
    <x v="1068"/>
    <x v="3"/>
    <s v="CM"/>
    <s v="N"/>
    <x v="718"/>
    <x v="41"/>
    <x v="133"/>
    <m/>
    <x v="101"/>
    <m/>
    <x v="3"/>
    <x v="0"/>
    <x v="331"/>
    <d v="2012-12-09T00:00:00"/>
    <x v="12"/>
    <x v="1"/>
    <s v="Curtas Metragens"/>
    <m/>
    <x v="0"/>
    <x v="0"/>
    <m/>
    <x v="0"/>
    <x v="6"/>
    <x v="1072"/>
    <x v="3"/>
    <x v="0"/>
    <x v="1"/>
    <x v="331"/>
    <x v="2607"/>
  </r>
  <r>
    <x v="1"/>
    <n v="1688"/>
    <x v="1069"/>
    <x v="0"/>
    <s v="CM"/>
    <s v="N"/>
    <x v="719"/>
    <x v="2"/>
    <x v="459"/>
    <m/>
    <x v="287"/>
    <m/>
    <x v="3"/>
    <x v="0"/>
    <x v="267"/>
    <m/>
    <x v="13"/>
    <x v="1"/>
    <m/>
    <m/>
    <x v="0"/>
    <x v="2"/>
    <m/>
    <x v="0"/>
    <x v="0"/>
    <x v="1073"/>
    <x v="3"/>
    <x v="0"/>
    <x v="1"/>
    <x v="267"/>
    <x v="2608"/>
  </r>
  <r>
    <x v="1"/>
    <n v="328"/>
    <x v="1070"/>
    <x v="1"/>
    <s v="LM"/>
    <s v="N"/>
    <x v="720"/>
    <x v="2"/>
    <x v="162"/>
    <m/>
    <x v="124"/>
    <m/>
    <x v="3"/>
    <x v="0"/>
    <x v="322"/>
    <m/>
    <x v="15"/>
    <x v="0"/>
    <m/>
    <m/>
    <x v="0"/>
    <x v="1"/>
    <m/>
    <x v="0"/>
    <x v="1"/>
    <x v="1074"/>
    <x v="3"/>
    <x v="0"/>
    <x v="1"/>
    <x v="322"/>
    <x v="2609"/>
  </r>
  <r>
    <x v="1"/>
    <n v="329"/>
    <x v="234"/>
    <x v="0"/>
    <s v="CM"/>
    <s v="N"/>
    <x v="199"/>
    <x v="2"/>
    <x v="598"/>
    <m/>
    <x v="16"/>
    <m/>
    <x v="1"/>
    <x v="0"/>
    <x v="391"/>
    <m/>
    <x v="1"/>
    <x v="0"/>
    <m/>
    <s v="Corto Invitado"/>
    <x v="0"/>
    <x v="1"/>
    <m/>
    <x v="0"/>
    <x v="0"/>
    <x v="236"/>
    <x v="1"/>
    <x v="0"/>
    <x v="0"/>
    <x v="391"/>
    <x v="2610"/>
  </r>
  <r>
    <x v="1"/>
    <n v="329"/>
    <x v="234"/>
    <x v="0"/>
    <s v="CM"/>
    <s v="N"/>
    <x v="199"/>
    <x v="2"/>
    <x v="457"/>
    <m/>
    <x v="285"/>
    <m/>
    <x v="3"/>
    <x v="0"/>
    <x v="301"/>
    <d v="2012-06-16T00:00:00"/>
    <x v="7"/>
    <x v="1"/>
    <s v="Curtas-metragens"/>
    <m/>
    <x v="0"/>
    <x v="0"/>
    <m/>
    <x v="0"/>
    <x v="0"/>
    <x v="236"/>
    <x v="3"/>
    <x v="0"/>
    <x v="1"/>
    <x v="301"/>
    <x v="2611"/>
  </r>
  <r>
    <x v="1"/>
    <n v="332"/>
    <x v="237"/>
    <x v="1"/>
    <s v="CM"/>
    <s v="S"/>
    <x v="202"/>
    <x v="5"/>
    <x v="316"/>
    <m/>
    <x v="11"/>
    <m/>
    <x v="3"/>
    <x v="0"/>
    <x v="199"/>
    <d v="2012-08-25T00:00:00"/>
    <x v="16"/>
    <x v="1"/>
    <s v="Documentário"/>
    <m/>
    <x v="39"/>
    <x v="0"/>
    <m/>
    <x v="1"/>
    <x v="2"/>
    <x v="239"/>
    <x v="3"/>
    <x v="306"/>
    <x v="1"/>
    <x v="199"/>
    <x v="2612"/>
  </r>
  <r>
    <x v="1"/>
    <n v="333"/>
    <x v="238"/>
    <x v="0"/>
    <s v="LM"/>
    <s v="S"/>
    <x v="103"/>
    <x v="1"/>
    <x v="538"/>
    <m/>
    <x v="315"/>
    <m/>
    <x v="3"/>
    <x v="0"/>
    <x v="260"/>
    <m/>
    <x v="5"/>
    <x v="0"/>
    <m/>
    <m/>
    <x v="0"/>
    <x v="1"/>
    <m/>
    <x v="0"/>
    <x v="5"/>
    <x v="240"/>
    <x v="3"/>
    <x v="0"/>
    <x v="1"/>
    <x v="260"/>
    <x v="2613"/>
  </r>
  <r>
    <x v="1"/>
    <n v="334"/>
    <x v="1071"/>
    <x v="0"/>
    <s v="CM"/>
    <s v="N"/>
    <x v="721"/>
    <x v="2"/>
    <x v="454"/>
    <m/>
    <x v="15"/>
    <m/>
    <x v="3"/>
    <x v="0"/>
    <x v="298"/>
    <m/>
    <x v="8"/>
    <x v="1"/>
    <s v="Escolar"/>
    <m/>
    <x v="263"/>
    <x v="0"/>
    <m/>
    <x v="1"/>
    <x v="0"/>
    <x v="1075"/>
    <x v="3"/>
    <x v="307"/>
    <x v="1"/>
    <x v="298"/>
    <x v="2614"/>
  </r>
  <r>
    <x v="1"/>
    <n v="335"/>
    <x v="239"/>
    <x v="1"/>
    <s v="CM"/>
    <s v="N"/>
    <x v="203"/>
    <x v="2"/>
    <x v="424"/>
    <m/>
    <x v="24"/>
    <m/>
    <x v="3"/>
    <x v="0"/>
    <x v="255"/>
    <d v="2012-06-17T00:00:00"/>
    <x v="7"/>
    <x v="1"/>
    <s v="Curta Metragem"/>
    <m/>
    <x v="0"/>
    <x v="0"/>
    <m/>
    <x v="0"/>
    <x v="2"/>
    <x v="241"/>
    <x v="3"/>
    <x v="0"/>
    <x v="1"/>
    <x v="255"/>
    <x v="2615"/>
  </r>
  <r>
    <x v="1"/>
    <n v="335"/>
    <x v="239"/>
    <x v="1"/>
    <s v="CM"/>
    <s v="N"/>
    <x v="203"/>
    <x v="2"/>
    <x v="178"/>
    <m/>
    <x v="25"/>
    <m/>
    <x v="3"/>
    <x v="0"/>
    <x v="293"/>
    <d v="2012-07-08T00:00:00"/>
    <x v="8"/>
    <x v="0"/>
    <m/>
    <s v="Mostra Surf Wave: Sessão II"/>
    <x v="0"/>
    <x v="0"/>
    <m/>
    <x v="0"/>
    <x v="2"/>
    <x v="241"/>
    <x v="3"/>
    <x v="0"/>
    <x v="1"/>
    <x v="293"/>
    <x v="2616"/>
  </r>
  <r>
    <x v="1"/>
    <n v="336"/>
    <x v="240"/>
    <x v="1"/>
    <s v="LM"/>
    <s v="N"/>
    <x v="204"/>
    <x v="5"/>
    <x v="22"/>
    <m/>
    <x v="22"/>
    <m/>
    <x v="3"/>
    <x v="0"/>
    <x v="251"/>
    <d v="2012-11-18T00:00:00"/>
    <x v="13"/>
    <x v="1"/>
    <s v="Secção Competitiva"/>
    <m/>
    <x v="264"/>
    <x v="0"/>
    <m/>
    <x v="1"/>
    <x v="1"/>
    <x v="242"/>
    <x v="3"/>
    <x v="308"/>
    <x v="1"/>
    <x v="251"/>
    <x v="2617"/>
  </r>
  <r>
    <x v="1"/>
    <n v="1485"/>
    <x v="1072"/>
    <x v="2"/>
    <s v="CM"/>
    <s v="N"/>
    <x v="195"/>
    <x v="41"/>
    <x v="27"/>
    <m/>
    <x v="25"/>
    <m/>
    <x v="3"/>
    <x v="0"/>
    <x v="307"/>
    <d v="2012-11-18T00:00:00"/>
    <x v="13"/>
    <x v="1"/>
    <s v="Competição Nacional: Prémio António Gaio"/>
    <m/>
    <x v="0"/>
    <x v="0"/>
    <m/>
    <x v="0"/>
    <x v="4"/>
    <x v="1076"/>
    <x v="3"/>
    <x v="0"/>
    <x v="1"/>
    <x v="307"/>
    <x v="2618"/>
  </r>
  <r>
    <x v="1"/>
    <n v="337"/>
    <x v="1073"/>
    <x v="0"/>
    <s v="CM"/>
    <s v="N"/>
    <x v="722"/>
    <x v="2"/>
    <x v="437"/>
    <m/>
    <x v="49"/>
    <m/>
    <x v="3"/>
    <x v="0"/>
    <x v="273"/>
    <m/>
    <x v="15"/>
    <x v="0"/>
    <m/>
    <m/>
    <x v="0"/>
    <x v="1"/>
    <m/>
    <x v="0"/>
    <x v="0"/>
    <x v="1077"/>
    <x v="3"/>
    <x v="0"/>
    <x v="1"/>
    <x v="273"/>
    <x v="2619"/>
  </r>
  <r>
    <x v="1"/>
    <n v="340"/>
    <x v="1074"/>
    <x v="0"/>
    <s v="CM"/>
    <s v="N"/>
    <x v="723"/>
    <x v="2"/>
    <x v="599"/>
    <m/>
    <x v="24"/>
    <m/>
    <x v="3"/>
    <x v="0"/>
    <x v="258"/>
    <m/>
    <x v="1"/>
    <x v="1"/>
    <m/>
    <m/>
    <x v="0"/>
    <x v="0"/>
    <m/>
    <x v="0"/>
    <x v="0"/>
    <x v="1078"/>
    <x v="3"/>
    <x v="0"/>
    <x v="1"/>
    <x v="258"/>
    <x v="2620"/>
  </r>
  <r>
    <x v="1"/>
    <n v="341"/>
    <x v="1075"/>
    <x v="4"/>
    <s v="CM"/>
    <s v="N"/>
    <x v="724"/>
    <x v="2"/>
    <x v="449"/>
    <m/>
    <x v="22"/>
    <m/>
    <x v="3"/>
    <x v="0"/>
    <x v="290"/>
    <m/>
    <x v="7"/>
    <x v="1"/>
    <s v="Social"/>
    <m/>
    <x v="0"/>
    <x v="0"/>
    <m/>
    <x v="0"/>
    <x v="8"/>
    <x v="1079"/>
    <x v="3"/>
    <x v="0"/>
    <x v="1"/>
    <x v="290"/>
    <x v="2621"/>
  </r>
  <r>
    <x v="1"/>
    <n v="342"/>
    <x v="1076"/>
    <x v="3"/>
    <s v="CM"/>
    <s v="N"/>
    <x v="725"/>
    <x v="2"/>
    <x v="464"/>
    <m/>
    <x v="40"/>
    <m/>
    <x v="3"/>
    <x v="0"/>
    <x v="311"/>
    <d v="2012-04-01T00:00:00"/>
    <x v="3"/>
    <x v="1"/>
    <s v="Competição Nacional de Curtas Experimentais"/>
    <m/>
    <x v="0"/>
    <x v="0"/>
    <m/>
    <x v="0"/>
    <x v="6"/>
    <x v="1080"/>
    <x v="3"/>
    <x v="0"/>
    <x v="1"/>
    <x v="311"/>
    <x v="2622"/>
  </r>
  <r>
    <x v="1"/>
    <n v="344"/>
    <x v="244"/>
    <x v="0"/>
    <s v="CM"/>
    <s v="N"/>
    <x v="208"/>
    <x v="2"/>
    <x v="600"/>
    <m/>
    <x v="11"/>
    <m/>
    <x v="3"/>
    <x v="0"/>
    <x v="236"/>
    <m/>
    <x v="7"/>
    <x v="0"/>
    <m/>
    <s v="Curta Convidada"/>
    <x v="0"/>
    <x v="1"/>
    <m/>
    <x v="0"/>
    <x v="0"/>
    <x v="246"/>
    <x v="3"/>
    <x v="0"/>
    <x v="1"/>
    <x v="236"/>
    <x v="2623"/>
  </r>
  <r>
    <x v="1"/>
    <n v="345"/>
    <x v="245"/>
    <x v="2"/>
    <s v="CM"/>
    <s v="N"/>
    <x v="209"/>
    <x v="2"/>
    <x v="26"/>
    <m/>
    <x v="24"/>
    <m/>
    <x v="3"/>
    <x v="0"/>
    <x v="268"/>
    <d v="2012-03-25T00:00:00"/>
    <x v="2"/>
    <x v="1"/>
    <s v="Competição Estudantes 4"/>
    <m/>
    <x v="265"/>
    <x v="0"/>
    <m/>
    <x v="1"/>
    <x v="4"/>
    <x v="247"/>
    <x v="3"/>
    <x v="309"/>
    <x v="1"/>
    <x v="268"/>
    <x v="2624"/>
  </r>
  <r>
    <x v="1"/>
    <n v="349"/>
    <x v="249"/>
    <x v="2"/>
    <s v="CM"/>
    <s v="S"/>
    <x v="213"/>
    <x v="5"/>
    <x v="601"/>
    <m/>
    <x v="330"/>
    <m/>
    <x v="48"/>
    <x v="0"/>
    <x v="269"/>
    <d v="2012-03-15T00:00:00"/>
    <x v="2"/>
    <x v="1"/>
    <s v="Special Effects/Animation"/>
    <m/>
    <x v="266"/>
    <x v="0"/>
    <m/>
    <x v="1"/>
    <x v="4"/>
    <x v="251"/>
    <x v="48"/>
    <x v="310"/>
    <x v="0"/>
    <x v="269"/>
    <x v="2625"/>
  </r>
  <r>
    <x v="1"/>
    <n v="349"/>
    <x v="249"/>
    <x v="2"/>
    <s v="CM"/>
    <s v="S"/>
    <x v="213"/>
    <x v="5"/>
    <x v="570"/>
    <m/>
    <x v="24"/>
    <m/>
    <x v="3"/>
    <x v="0"/>
    <x v="386"/>
    <m/>
    <x v="6"/>
    <x v="0"/>
    <m/>
    <s v="Curta Convidada"/>
    <x v="0"/>
    <x v="1"/>
    <m/>
    <x v="0"/>
    <x v="4"/>
    <x v="251"/>
    <x v="3"/>
    <x v="0"/>
    <x v="1"/>
    <x v="386"/>
    <x v="2626"/>
  </r>
  <r>
    <x v="1"/>
    <n v="349"/>
    <x v="249"/>
    <x v="2"/>
    <s v="CM"/>
    <s v="S"/>
    <x v="213"/>
    <x v="5"/>
    <x v="602"/>
    <m/>
    <x v="91"/>
    <m/>
    <x v="28"/>
    <x v="0"/>
    <x v="406"/>
    <d v="2012-06-16T00:00:00"/>
    <x v="7"/>
    <x v="1"/>
    <s v="Wettbewerb"/>
    <m/>
    <x v="267"/>
    <x v="0"/>
    <m/>
    <x v="1"/>
    <x v="4"/>
    <x v="251"/>
    <x v="28"/>
    <x v="311"/>
    <x v="0"/>
    <x v="406"/>
    <x v="2627"/>
  </r>
  <r>
    <x v="1"/>
    <n v="349"/>
    <x v="249"/>
    <x v="2"/>
    <s v="CM"/>
    <s v="S"/>
    <x v="213"/>
    <x v="5"/>
    <x v="603"/>
    <m/>
    <x v="11"/>
    <m/>
    <x v="3"/>
    <x v="0"/>
    <x v="280"/>
    <m/>
    <x v="7"/>
    <x v="0"/>
    <m/>
    <s v="Curta Convidada"/>
    <x v="0"/>
    <x v="1"/>
    <m/>
    <x v="0"/>
    <x v="4"/>
    <x v="251"/>
    <x v="3"/>
    <x v="0"/>
    <x v="1"/>
    <x v="280"/>
    <x v="2628"/>
  </r>
  <r>
    <x v="1"/>
    <n v="349"/>
    <x v="249"/>
    <x v="2"/>
    <s v="CM"/>
    <s v="S"/>
    <x v="213"/>
    <x v="5"/>
    <x v="458"/>
    <m/>
    <x v="286"/>
    <m/>
    <x v="3"/>
    <x v="0"/>
    <x v="303"/>
    <d v="2012-09-29T00:00:00"/>
    <x v="9"/>
    <x v="1"/>
    <m/>
    <m/>
    <x v="268"/>
    <x v="0"/>
    <m/>
    <x v="1"/>
    <x v="4"/>
    <x v="251"/>
    <x v="3"/>
    <x v="312"/>
    <x v="1"/>
    <x v="303"/>
    <x v="2629"/>
  </r>
  <r>
    <x v="1"/>
    <n v="349"/>
    <x v="249"/>
    <x v="2"/>
    <s v="CM"/>
    <s v="S"/>
    <x v="213"/>
    <x v="5"/>
    <x v="439"/>
    <m/>
    <x v="281"/>
    <m/>
    <x v="3"/>
    <x v="0"/>
    <x v="277"/>
    <d v="2012-11-03T00:00:00"/>
    <x v="0"/>
    <x v="0"/>
    <m/>
    <m/>
    <x v="0"/>
    <x v="0"/>
    <m/>
    <x v="0"/>
    <x v="4"/>
    <x v="251"/>
    <x v="3"/>
    <x v="0"/>
    <x v="1"/>
    <x v="277"/>
    <x v="2630"/>
  </r>
  <r>
    <x v="1"/>
    <n v="349"/>
    <x v="249"/>
    <x v="2"/>
    <s v="CM"/>
    <s v="S"/>
    <x v="213"/>
    <x v="5"/>
    <x v="37"/>
    <m/>
    <x v="35"/>
    <m/>
    <x v="2"/>
    <x v="0"/>
    <x v="304"/>
    <d v="2012-12-02T00:00:00"/>
    <x v="11"/>
    <x v="1"/>
    <s v="Animation 1"/>
    <m/>
    <x v="0"/>
    <x v="0"/>
    <m/>
    <x v="0"/>
    <x v="4"/>
    <x v="251"/>
    <x v="2"/>
    <x v="0"/>
    <x v="0"/>
    <x v="304"/>
    <x v="2631"/>
  </r>
  <r>
    <x v="1"/>
    <n v="350"/>
    <x v="250"/>
    <x v="0"/>
    <s v="LM"/>
    <s v="S"/>
    <x v="214"/>
    <x v="5"/>
    <x v="604"/>
    <m/>
    <x v="331"/>
    <m/>
    <x v="9"/>
    <x v="0"/>
    <x v="399"/>
    <m/>
    <x v="15"/>
    <x v="1"/>
    <s v="Feature Films"/>
    <m/>
    <x v="269"/>
    <x v="0"/>
    <m/>
    <x v="1"/>
    <x v="5"/>
    <x v="252"/>
    <x v="9"/>
    <x v="313"/>
    <x v="0"/>
    <x v="399"/>
    <x v="2632"/>
  </r>
  <r>
    <x v="1"/>
    <n v="350"/>
    <x v="250"/>
    <x v="0"/>
    <s v="LM"/>
    <s v="S"/>
    <x v="214"/>
    <x v="5"/>
    <x v="605"/>
    <m/>
    <x v="332"/>
    <m/>
    <x v="9"/>
    <x v="0"/>
    <x v="357"/>
    <m/>
    <x v="15"/>
    <x v="1"/>
    <m/>
    <m/>
    <x v="270"/>
    <x v="2"/>
    <m/>
    <x v="1"/>
    <x v="5"/>
    <x v="252"/>
    <x v="9"/>
    <x v="314"/>
    <x v="0"/>
    <x v="357"/>
    <x v="2633"/>
  </r>
  <r>
    <x v="1"/>
    <n v="352"/>
    <x v="1077"/>
    <x v="0"/>
    <s v="CM"/>
    <s v="N"/>
    <x v="726"/>
    <x v="41"/>
    <x v="316"/>
    <m/>
    <x v="11"/>
    <m/>
    <x v="3"/>
    <x v="0"/>
    <x v="199"/>
    <d v="2012-08-25T00:00:00"/>
    <x v="16"/>
    <x v="1"/>
    <s v="Ficção"/>
    <m/>
    <x v="5"/>
    <x v="0"/>
    <m/>
    <x v="1"/>
    <x v="0"/>
    <x v="1081"/>
    <x v="3"/>
    <x v="315"/>
    <x v="1"/>
    <x v="199"/>
    <x v="2634"/>
  </r>
  <r>
    <x v="1"/>
    <n v="352"/>
    <x v="1077"/>
    <x v="0"/>
    <s v="CM"/>
    <s v="N"/>
    <x v="726"/>
    <x v="41"/>
    <x v="434"/>
    <m/>
    <x v="279"/>
    <m/>
    <x v="3"/>
    <x v="0"/>
    <x v="266"/>
    <d v="2012-09-30T00:00:00"/>
    <x v="9"/>
    <x v="1"/>
    <s v="Competição Internacional"/>
    <m/>
    <x v="77"/>
    <x v="0"/>
    <m/>
    <x v="1"/>
    <x v="0"/>
    <x v="1081"/>
    <x v="3"/>
    <x v="316"/>
    <x v="1"/>
    <x v="266"/>
    <x v="2635"/>
  </r>
  <r>
    <x v="1"/>
    <n v="352"/>
    <x v="1077"/>
    <x v="0"/>
    <s v="CM"/>
    <s v="N"/>
    <x v="726"/>
    <x v="41"/>
    <x v="576"/>
    <m/>
    <x v="323"/>
    <m/>
    <x v="3"/>
    <x v="0"/>
    <x v="285"/>
    <d v="2012-10-20T00:00:00"/>
    <x v="14"/>
    <x v="1"/>
    <m/>
    <m/>
    <x v="271"/>
    <x v="0"/>
    <m/>
    <x v="1"/>
    <x v="0"/>
    <x v="1081"/>
    <x v="3"/>
    <x v="317"/>
    <x v="1"/>
    <x v="285"/>
    <x v="2636"/>
  </r>
  <r>
    <x v="1"/>
    <n v="352"/>
    <x v="1077"/>
    <x v="0"/>
    <s v="CM"/>
    <s v="N"/>
    <x v="726"/>
    <x v="41"/>
    <x v="22"/>
    <m/>
    <x v="22"/>
    <m/>
    <x v="3"/>
    <x v="0"/>
    <x v="251"/>
    <d v="2012-11-18T00:00:00"/>
    <x v="13"/>
    <x v="1"/>
    <s v="Ensaios Visuais"/>
    <m/>
    <x v="0"/>
    <x v="0"/>
    <m/>
    <x v="0"/>
    <x v="0"/>
    <x v="1081"/>
    <x v="3"/>
    <x v="0"/>
    <x v="1"/>
    <x v="251"/>
    <x v="2637"/>
  </r>
  <r>
    <x v="1"/>
    <n v="354"/>
    <x v="1078"/>
    <x v="2"/>
    <s v="CM"/>
    <s v="N"/>
    <x v="727"/>
    <x v="3"/>
    <x v="62"/>
    <m/>
    <x v="23"/>
    <m/>
    <x v="3"/>
    <x v="0"/>
    <x v="302"/>
    <d v="2012-03-04T00:00:00"/>
    <x v="19"/>
    <x v="1"/>
    <s v="Prémio de Cinema Português - Escolas de Cinema"/>
    <m/>
    <x v="0"/>
    <x v="0"/>
    <m/>
    <x v="0"/>
    <x v="4"/>
    <x v="1082"/>
    <x v="3"/>
    <x v="0"/>
    <x v="1"/>
    <x v="302"/>
    <x v="2638"/>
  </r>
  <r>
    <x v="1"/>
    <n v="354"/>
    <x v="1078"/>
    <x v="2"/>
    <s v="CM"/>
    <s v="N"/>
    <x v="727"/>
    <x v="3"/>
    <x v="457"/>
    <m/>
    <x v="285"/>
    <m/>
    <x v="3"/>
    <x v="0"/>
    <x v="301"/>
    <d v="2012-06-16T00:00:00"/>
    <x v="7"/>
    <x v="1"/>
    <s v="U-Can: Escola Artística Soares dos Reis"/>
    <m/>
    <x v="0"/>
    <x v="0"/>
    <m/>
    <x v="0"/>
    <x v="4"/>
    <x v="1082"/>
    <x v="3"/>
    <x v="0"/>
    <x v="1"/>
    <x v="301"/>
    <x v="2639"/>
  </r>
  <r>
    <x v="1"/>
    <n v="354"/>
    <x v="1078"/>
    <x v="2"/>
    <s v="CM"/>
    <s v="N"/>
    <x v="727"/>
    <x v="3"/>
    <x v="480"/>
    <m/>
    <x v="291"/>
    <m/>
    <x v="2"/>
    <x v="0"/>
    <x v="307"/>
    <d v="2012-11-20T00:00:00"/>
    <x v="13"/>
    <x v="1"/>
    <s v="Compétition Oficielle Courts-métrages - Programme nº 1"/>
    <m/>
    <x v="0"/>
    <x v="0"/>
    <m/>
    <x v="0"/>
    <x v="4"/>
    <x v="1082"/>
    <x v="2"/>
    <x v="0"/>
    <x v="0"/>
    <x v="307"/>
    <x v="2640"/>
  </r>
  <r>
    <x v="1"/>
    <n v="354"/>
    <x v="1078"/>
    <x v="2"/>
    <s v="CM"/>
    <s v="N"/>
    <x v="727"/>
    <x v="3"/>
    <x v="27"/>
    <m/>
    <x v="25"/>
    <m/>
    <x v="3"/>
    <x v="0"/>
    <x v="307"/>
    <d v="2012-11-18T00:00:00"/>
    <x v="13"/>
    <x v="1"/>
    <s v="Competição Nacional: Jovem Cineasta Português (+18)"/>
    <m/>
    <x v="7"/>
    <x v="0"/>
    <m/>
    <x v="1"/>
    <x v="4"/>
    <x v="1082"/>
    <x v="3"/>
    <x v="318"/>
    <x v="1"/>
    <x v="307"/>
    <x v="2641"/>
  </r>
  <r>
    <x v="1"/>
    <n v="357"/>
    <x v="255"/>
    <x v="1"/>
    <s v="CM"/>
    <s v="N"/>
    <x v="217"/>
    <x v="2"/>
    <x v="434"/>
    <m/>
    <x v="279"/>
    <m/>
    <x v="3"/>
    <x v="0"/>
    <x v="266"/>
    <d v="2012-09-30T00:00:00"/>
    <x v="9"/>
    <x v="1"/>
    <s v="Competição Regional"/>
    <m/>
    <x v="272"/>
    <x v="0"/>
    <m/>
    <x v="1"/>
    <x v="2"/>
    <x v="257"/>
    <x v="3"/>
    <x v="319"/>
    <x v="1"/>
    <x v="266"/>
    <x v="2642"/>
  </r>
  <r>
    <x v="1"/>
    <n v="358"/>
    <x v="1079"/>
    <x v="0"/>
    <s v="CM"/>
    <s v="N"/>
    <x v="282"/>
    <x v="4"/>
    <x v="427"/>
    <m/>
    <x v="275"/>
    <m/>
    <x v="65"/>
    <x v="0"/>
    <x v="259"/>
    <d v="2012-03-11T00:00:00"/>
    <x v="2"/>
    <x v="0"/>
    <m/>
    <s v="Portugal1"/>
    <x v="0"/>
    <x v="0"/>
    <m/>
    <x v="0"/>
    <x v="0"/>
    <x v="1083"/>
    <x v="65"/>
    <x v="0"/>
    <x v="0"/>
    <x v="259"/>
    <x v="2643"/>
  </r>
  <r>
    <x v="1"/>
    <n v="358"/>
    <x v="1079"/>
    <x v="0"/>
    <s v="CM"/>
    <s v="N"/>
    <x v="282"/>
    <x v="4"/>
    <x v="411"/>
    <m/>
    <x v="268"/>
    <m/>
    <x v="0"/>
    <x v="0"/>
    <x v="241"/>
    <d v="2012-05-18T00:00:00"/>
    <x v="6"/>
    <x v="0"/>
    <m/>
    <s v="Mostra dos Festivais - FIKE"/>
    <x v="0"/>
    <x v="0"/>
    <m/>
    <x v="0"/>
    <x v="0"/>
    <x v="1083"/>
    <x v="0"/>
    <x v="0"/>
    <x v="0"/>
    <x v="241"/>
    <x v="2644"/>
  </r>
  <r>
    <x v="1"/>
    <n v="1470"/>
    <x v="1080"/>
    <x v="0"/>
    <s v="LM"/>
    <s v="N"/>
    <x v="239"/>
    <x v="42"/>
    <x v="543"/>
    <m/>
    <x v="15"/>
    <m/>
    <x v="3"/>
    <x v="0"/>
    <x v="369"/>
    <d v="2012-12-18T00:00:00"/>
    <x v="11"/>
    <x v="0"/>
    <m/>
    <m/>
    <x v="0"/>
    <x v="1"/>
    <m/>
    <x v="0"/>
    <x v="5"/>
    <x v="1084"/>
    <x v="3"/>
    <x v="0"/>
    <x v="1"/>
    <x v="369"/>
    <x v="2645"/>
  </r>
  <r>
    <x v="1"/>
    <n v="359"/>
    <x v="256"/>
    <x v="1"/>
    <s v="CM"/>
    <s v="N"/>
    <x v="218"/>
    <x v="2"/>
    <x v="67"/>
    <m/>
    <x v="23"/>
    <m/>
    <x v="3"/>
    <x v="0"/>
    <x v="264"/>
    <d v="2012-06-17T00:00:00"/>
    <x v="7"/>
    <x v="1"/>
    <s v="Curtas Documentários"/>
    <m/>
    <x v="0"/>
    <x v="0"/>
    <m/>
    <x v="0"/>
    <x v="2"/>
    <x v="258"/>
    <x v="3"/>
    <x v="0"/>
    <x v="1"/>
    <x v="264"/>
    <x v="2646"/>
  </r>
  <r>
    <x v="1"/>
    <n v="359"/>
    <x v="256"/>
    <x v="1"/>
    <s v="CM"/>
    <s v="N"/>
    <x v="218"/>
    <x v="2"/>
    <x v="22"/>
    <m/>
    <x v="22"/>
    <m/>
    <x v="3"/>
    <x v="0"/>
    <x v="251"/>
    <d v="2012-11-18T00:00:00"/>
    <x v="13"/>
    <x v="1"/>
    <s v="Ensaios Visuais"/>
    <m/>
    <x v="0"/>
    <x v="0"/>
    <m/>
    <x v="0"/>
    <x v="2"/>
    <x v="258"/>
    <x v="3"/>
    <x v="0"/>
    <x v="1"/>
    <x v="251"/>
    <x v="2647"/>
  </r>
  <r>
    <x v="1"/>
    <n v="361"/>
    <x v="1081"/>
    <x v="0"/>
    <s v="LM"/>
    <s v="N"/>
    <x v="728"/>
    <x v="2"/>
    <x v="606"/>
    <m/>
    <x v="333"/>
    <m/>
    <x v="11"/>
    <x v="0"/>
    <x v="280"/>
    <d v="2012-07-07T00:00:00"/>
    <x v="17"/>
    <x v="0"/>
    <m/>
    <s v="Horizons"/>
    <x v="0"/>
    <x v="0"/>
    <m/>
    <x v="0"/>
    <x v="5"/>
    <x v="1085"/>
    <x v="11"/>
    <x v="0"/>
    <x v="0"/>
    <x v="280"/>
    <x v="2648"/>
  </r>
  <r>
    <x v="1"/>
    <n v="362"/>
    <x v="1082"/>
    <x v="1"/>
    <s v="CM"/>
    <s v="N"/>
    <x v="729"/>
    <x v="41"/>
    <x v="68"/>
    <m/>
    <x v="53"/>
    <m/>
    <x v="3"/>
    <x v="0"/>
    <x v="253"/>
    <d v="2012-07-15T00:00:00"/>
    <x v="8"/>
    <x v="1"/>
    <s v="Competição Nacional"/>
    <m/>
    <x v="0"/>
    <x v="0"/>
    <m/>
    <x v="0"/>
    <x v="2"/>
    <x v="1086"/>
    <x v="3"/>
    <x v="0"/>
    <x v="1"/>
    <x v="253"/>
    <x v="2649"/>
  </r>
  <r>
    <x v="1"/>
    <n v="362"/>
    <x v="1082"/>
    <x v="1"/>
    <s v="CM"/>
    <s v="N"/>
    <x v="729"/>
    <x v="41"/>
    <x v="88"/>
    <m/>
    <x v="67"/>
    <m/>
    <x v="3"/>
    <x v="0"/>
    <x v="262"/>
    <d v="2012-10-13T00:00:00"/>
    <x v="14"/>
    <x v="1"/>
    <s v="Competição Lusófona - Curtas Metragens"/>
    <m/>
    <x v="0"/>
    <x v="0"/>
    <m/>
    <x v="0"/>
    <x v="2"/>
    <x v="1086"/>
    <x v="3"/>
    <x v="0"/>
    <x v="1"/>
    <x v="262"/>
    <x v="2650"/>
  </r>
  <r>
    <x v="1"/>
    <n v="362"/>
    <x v="1082"/>
    <x v="1"/>
    <s v="CM"/>
    <s v="N"/>
    <x v="729"/>
    <x v="41"/>
    <x v="607"/>
    <m/>
    <x v="23"/>
    <m/>
    <x v="3"/>
    <x v="0"/>
    <x v="379"/>
    <d v="2012-11-17T00:00:00"/>
    <x v="13"/>
    <x v="0"/>
    <m/>
    <m/>
    <x v="0"/>
    <x v="1"/>
    <m/>
    <x v="0"/>
    <x v="2"/>
    <x v="1086"/>
    <x v="3"/>
    <x v="0"/>
    <x v="1"/>
    <x v="379"/>
    <x v="2651"/>
  </r>
  <r>
    <x v="1"/>
    <n v="364"/>
    <x v="1083"/>
    <x v="0"/>
    <s v="CM"/>
    <s v="N"/>
    <x v="730"/>
    <x v="2"/>
    <x v="412"/>
    <m/>
    <x v="269"/>
    <m/>
    <x v="3"/>
    <x v="0"/>
    <x v="242"/>
    <m/>
    <x v="7"/>
    <x v="1"/>
    <m/>
    <m/>
    <x v="0"/>
    <x v="0"/>
    <m/>
    <x v="0"/>
    <x v="0"/>
    <x v="1087"/>
    <x v="3"/>
    <x v="0"/>
    <x v="1"/>
    <x v="242"/>
    <x v="2652"/>
  </r>
  <r>
    <x v="1"/>
    <n v="365"/>
    <x v="1084"/>
    <x v="2"/>
    <s v="CM"/>
    <s v="N"/>
    <x v="731"/>
    <x v="2"/>
    <x v="449"/>
    <m/>
    <x v="22"/>
    <m/>
    <x v="3"/>
    <x v="0"/>
    <x v="290"/>
    <m/>
    <x v="7"/>
    <x v="1"/>
    <s v="Livre"/>
    <m/>
    <x v="0"/>
    <x v="0"/>
    <m/>
    <x v="0"/>
    <x v="4"/>
    <x v="1088"/>
    <x v="3"/>
    <x v="0"/>
    <x v="1"/>
    <x v="290"/>
    <x v="2653"/>
  </r>
  <r>
    <x v="1"/>
    <n v="366"/>
    <x v="259"/>
    <x v="1"/>
    <s v="CM"/>
    <s v=""/>
    <x v="47"/>
    <x v="2"/>
    <x v="407"/>
    <m/>
    <x v="154"/>
    <m/>
    <x v="0"/>
    <x v="0"/>
    <x v="237"/>
    <d v="2012-07-08T00:00:00"/>
    <x v="17"/>
    <x v="0"/>
    <m/>
    <m/>
    <x v="0"/>
    <x v="1"/>
    <m/>
    <x v="0"/>
    <x v="2"/>
    <x v="261"/>
    <x v="0"/>
    <x v="0"/>
    <x v="0"/>
    <x v="237"/>
    <x v="2654"/>
  </r>
  <r>
    <x v="1"/>
    <n v="1521"/>
    <x v="1085"/>
    <x v="0"/>
    <s v="CM"/>
    <s v="N"/>
    <x v="732"/>
    <x v="5"/>
    <x v="409"/>
    <m/>
    <x v="58"/>
    <m/>
    <x v="17"/>
    <x v="0"/>
    <x v="239"/>
    <d v="2012-12-08T00:00:00"/>
    <x v="11"/>
    <x v="0"/>
    <m/>
    <s v="No Place like: 4 Houses, 4 Films"/>
    <x v="0"/>
    <x v="1"/>
    <m/>
    <x v="0"/>
    <x v="0"/>
    <x v="1089"/>
    <x v="17"/>
    <x v="0"/>
    <x v="0"/>
    <x v="239"/>
    <x v="2655"/>
  </r>
  <r>
    <x v="1"/>
    <n v="1286"/>
    <x v="1086"/>
    <x v="1"/>
    <s v="CM"/>
    <s v="S"/>
    <x v="733"/>
    <x v="2"/>
    <x v="58"/>
    <m/>
    <x v="47"/>
    <m/>
    <x v="3"/>
    <x v="0"/>
    <x v="118"/>
    <d v="2012-09-09T00:00:00"/>
    <x v="9"/>
    <x v="0"/>
    <m/>
    <m/>
    <x v="0"/>
    <x v="1"/>
    <m/>
    <x v="0"/>
    <x v="2"/>
    <x v="1090"/>
    <x v="3"/>
    <x v="0"/>
    <x v="1"/>
    <x v="118"/>
    <x v="2656"/>
  </r>
  <r>
    <x v="1"/>
    <n v="1286"/>
    <x v="1086"/>
    <x v="1"/>
    <s v="CM"/>
    <s v="S"/>
    <x v="733"/>
    <x v="2"/>
    <x v="22"/>
    <m/>
    <x v="22"/>
    <m/>
    <x v="3"/>
    <x v="0"/>
    <x v="251"/>
    <d v="2012-11-18T00:00:00"/>
    <x v="13"/>
    <x v="1"/>
    <s v="Secção Competitiva"/>
    <m/>
    <x v="0"/>
    <x v="0"/>
    <m/>
    <x v="0"/>
    <x v="2"/>
    <x v="1090"/>
    <x v="3"/>
    <x v="0"/>
    <x v="1"/>
    <x v="251"/>
    <x v="2657"/>
  </r>
  <r>
    <x v="1"/>
    <n v="1286"/>
    <x v="1086"/>
    <x v="1"/>
    <s v="CM"/>
    <s v="S"/>
    <x v="733"/>
    <x v="2"/>
    <x v="37"/>
    <m/>
    <x v="35"/>
    <m/>
    <x v="2"/>
    <x v="0"/>
    <x v="304"/>
    <d v="2012-12-02T00:00:00"/>
    <x v="11"/>
    <x v="1"/>
    <s v="Compétition Internationale"/>
    <m/>
    <x v="0"/>
    <x v="1"/>
    <m/>
    <x v="0"/>
    <x v="2"/>
    <x v="1090"/>
    <x v="2"/>
    <x v="0"/>
    <x v="0"/>
    <x v="304"/>
    <x v="2658"/>
  </r>
  <r>
    <x v="1"/>
    <n v="1306"/>
    <x v="1087"/>
    <x v="5"/>
    <s v="CM"/>
    <s v="N"/>
    <x v="734"/>
    <x v="2"/>
    <x v="70"/>
    <m/>
    <x v="38"/>
    <m/>
    <x v="3"/>
    <x v="0"/>
    <x v="349"/>
    <d v="2012-09-16T00:00:00"/>
    <x v="9"/>
    <x v="1"/>
    <m/>
    <m/>
    <x v="123"/>
    <x v="0"/>
    <m/>
    <x v="1"/>
    <x v="15"/>
    <x v="1091"/>
    <x v="3"/>
    <x v="320"/>
    <x v="1"/>
    <x v="349"/>
    <x v="2659"/>
  </r>
  <r>
    <x v="1"/>
    <n v="367"/>
    <x v="1088"/>
    <x v="0"/>
    <s v="CM"/>
    <s v="N"/>
    <x v="735"/>
    <x v="2"/>
    <x v="62"/>
    <m/>
    <x v="23"/>
    <m/>
    <x v="3"/>
    <x v="0"/>
    <x v="302"/>
    <d v="2012-03-04T00:00:00"/>
    <x v="19"/>
    <x v="1"/>
    <s v="Prémio de Cinema Português - Escolas de Cinema"/>
    <m/>
    <x v="0"/>
    <x v="0"/>
    <m/>
    <x v="0"/>
    <x v="0"/>
    <x v="1092"/>
    <x v="3"/>
    <x v="0"/>
    <x v="1"/>
    <x v="302"/>
    <x v="2660"/>
  </r>
  <r>
    <x v="1"/>
    <n v="367"/>
    <x v="1088"/>
    <x v="0"/>
    <s v="CM"/>
    <s v="N"/>
    <x v="735"/>
    <x v="2"/>
    <x v="457"/>
    <m/>
    <x v="285"/>
    <m/>
    <x v="3"/>
    <x v="0"/>
    <x v="301"/>
    <d v="2012-06-16T00:00:00"/>
    <x v="7"/>
    <x v="1"/>
    <s v="U-Can: Escola Artística Soares dos Reis"/>
    <m/>
    <x v="0"/>
    <x v="0"/>
    <m/>
    <x v="0"/>
    <x v="0"/>
    <x v="1092"/>
    <x v="3"/>
    <x v="0"/>
    <x v="1"/>
    <x v="301"/>
    <x v="2661"/>
  </r>
  <r>
    <x v="1"/>
    <n v="368"/>
    <x v="1089"/>
    <x v="2"/>
    <s v="CM"/>
    <s v="N"/>
    <x v="197"/>
    <x v="2"/>
    <x v="26"/>
    <m/>
    <x v="24"/>
    <m/>
    <x v="3"/>
    <x v="0"/>
    <x v="268"/>
    <d v="2012-03-25T00:00:00"/>
    <x v="2"/>
    <x v="1"/>
    <s v="Curtíssimas"/>
    <m/>
    <x v="0"/>
    <x v="0"/>
    <m/>
    <x v="0"/>
    <x v="4"/>
    <x v="1093"/>
    <x v="3"/>
    <x v="0"/>
    <x v="1"/>
    <x v="268"/>
    <x v="2662"/>
  </r>
  <r>
    <x v="1"/>
    <n v="368"/>
    <x v="1089"/>
    <x v="2"/>
    <s v="CM"/>
    <s v="N"/>
    <x v="197"/>
    <x v="2"/>
    <x v="67"/>
    <m/>
    <x v="23"/>
    <m/>
    <x v="3"/>
    <x v="0"/>
    <x v="264"/>
    <d v="2012-06-17T00:00:00"/>
    <x v="7"/>
    <x v="1"/>
    <s v="Curtas Animação"/>
    <m/>
    <x v="0"/>
    <x v="0"/>
    <m/>
    <x v="0"/>
    <x v="4"/>
    <x v="1093"/>
    <x v="3"/>
    <x v="0"/>
    <x v="1"/>
    <x v="264"/>
    <x v="2663"/>
  </r>
  <r>
    <x v="1"/>
    <n v="368"/>
    <x v="1089"/>
    <x v="2"/>
    <s v="CM"/>
    <s v="N"/>
    <x v="197"/>
    <x v="2"/>
    <x v="316"/>
    <m/>
    <x v="11"/>
    <m/>
    <x v="3"/>
    <x v="0"/>
    <x v="199"/>
    <d v="2012-08-25T00:00:00"/>
    <x v="16"/>
    <x v="1"/>
    <s v="Animação"/>
    <m/>
    <x v="0"/>
    <x v="0"/>
    <m/>
    <x v="0"/>
    <x v="4"/>
    <x v="1093"/>
    <x v="3"/>
    <x v="0"/>
    <x v="1"/>
    <x v="199"/>
    <x v="2664"/>
  </r>
  <r>
    <x v="1"/>
    <n v="368"/>
    <x v="1089"/>
    <x v="2"/>
    <s v="CM"/>
    <s v="N"/>
    <x v="197"/>
    <x v="2"/>
    <x v="22"/>
    <m/>
    <x v="22"/>
    <m/>
    <x v="3"/>
    <x v="0"/>
    <x v="251"/>
    <d v="2012-11-18T00:00:00"/>
    <x v="13"/>
    <x v="1"/>
    <s v="Ensaios Visuais"/>
    <m/>
    <x v="0"/>
    <x v="0"/>
    <m/>
    <x v="0"/>
    <x v="4"/>
    <x v="1093"/>
    <x v="3"/>
    <x v="0"/>
    <x v="1"/>
    <x v="251"/>
    <x v="2665"/>
  </r>
  <r>
    <x v="1"/>
    <n v="1330"/>
    <x v="1090"/>
    <x v="5"/>
    <s v="CM"/>
    <s v="N"/>
    <x v="736"/>
    <x v="2"/>
    <x v="316"/>
    <m/>
    <x v="11"/>
    <m/>
    <x v="3"/>
    <x v="0"/>
    <x v="199"/>
    <d v="2012-08-25T00:00:00"/>
    <x v="16"/>
    <x v="1"/>
    <s v="Videoclips"/>
    <m/>
    <x v="0"/>
    <x v="0"/>
    <m/>
    <x v="0"/>
    <x v="15"/>
    <x v="1094"/>
    <x v="3"/>
    <x v="0"/>
    <x v="1"/>
    <x v="199"/>
    <x v="2666"/>
  </r>
  <r>
    <x v="1"/>
    <n v="370"/>
    <x v="261"/>
    <x v="2"/>
    <s v="CM"/>
    <s v="N"/>
    <x v="222"/>
    <x v="2"/>
    <x v="62"/>
    <m/>
    <x v="23"/>
    <m/>
    <x v="3"/>
    <x v="0"/>
    <x v="302"/>
    <d v="2012-03-04T00:00:00"/>
    <x v="19"/>
    <x v="1"/>
    <s v="Prémio de Cinema Português - Escolas de Cinema"/>
    <m/>
    <x v="0"/>
    <x v="0"/>
    <m/>
    <x v="0"/>
    <x v="4"/>
    <x v="263"/>
    <x v="3"/>
    <x v="0"/>
    <x v="1"/>
    <x v="302"/>
    <x v="2667"/>
  </r>
  <r>
    <x v="1"/>
    <n v="370"/>
    <x v="261"/>
    <x v="2"/>
    <s v="CM"/>
    <s v="N"/>
    <x v="222"/>
    <x v="2"/>
    <x v="26"/>
    <m/>
    <x v="24"/>
    <m/>
    <x v="3"/>
    <x v="0"/>
    <x v="268"/>
    <d v="2012-03-25T00:00:00"/>
    <x v="2"/>
    <x v="1"/>
    <s v="Competição Estudantes 1"/>
    <m/>
    <x v="0"/>
    <x v="0"/>
    <m/>
    <x v="0"/>
    <x v="4"/>
    <x v="263"/>
    <x v="3"/>
    <x v="0"/>
    <x v="1"/>
    <x v="268"/>
    <x v="2668"/>
  </r>
  <r>
    <x v="1"/>
    <n v="837"/>
    <x v="1091"/>
    <x v="1"/>
    <s v="CM"/>
    <s v="N"/>
    <x v="733"/>
    <x v="10"/>
    <x v="408"/>
    <m/>
    <x v="266"/>
    <m/>
    <x v="2"/>
    <x v="0"/>
    <x v="238"/>
    <d v="2012-08-25T00:00:00"/>
    <x v="16"/>
    <x v="0"/>
    <m/>
    <s v="Route du Doc: Portugal"/>
    <x v="0"/>
    <x v="1"/>
    <m/>
    <x v="0"/>
    <x v="2"/>
    <x v="1095"/>
    <x v="2"/>
    <x v="0"/>
    <x v="0"/>
    <x v="238"/>
    <x v="2669"/>
  </r>
  <r>
    <x v="1"/>
    <n v="373"/>
    <x v="1092"/>
    <x v="2"/>
    <s v="CM"/>
    <s v="S"/>
    <x v="737"/>
    <x v="2"/>
    <x v="411"/>
    <m/>
    <x v="268"/>
    <m/>
    <x v="0"/>
    <x v="0"/>
    <x v="241"/>
    <d v="2012-05-18T00:00:00"/>
    <x v="6"/>
    <x v="0"/>
    <m/>
    <s v="Mostra dos Festivais - FIKE"/>
    <x v="0"/>
    <x v="0"/>
    <m/>
    <x v="0"/>
    <x v="4"/>
    <x v="1096"/>
    <x v="0"/>
    <x v="0"/>
    <x v="0"/>
    <x v="241"/>
    <x v="2670"/>
  </r>
  <r>
    <x v="1"/>
    <n v="374"/>
    <x v="264"/>
    <x v="4"/>
    <s v=""/>
    <s v=""/>
    <x v="225"/>
    <x v="2"/>
    <x v="469"/>
    <m/>
    <x v="24"/>
    <m/>
    <x v="3"/>
    <x v="0"/>
    <x v="243"/>
    <d v="2012-06-17T00:00:00"/>
    <x v="7"/>
    <x v="0"/>
    <m/>
    <m/>
    <x v="0"/>
    <x v="1"/>
    <m/>
    <x v="0"/>
    <x v="7"/>
    <x v="266"/>
    <x v="3"/>
    <x v="0"/>
    <x v="1"/>
    <x v="243"/>
    <x v="2671"/>
  </r>
  <r>
    <x v="1"/>
    <n v="375"/>
    <x v="265"/>
    <x v="1"/>
    <s v="CM"/>
    <s v=""/>
    <x v="226"/>
    <x v="2"/>
    <x v="608"/>
    <m/>
    <x v="185"/>
    <m/>
    <x v="0"/>
    <x v="0"/>
    <x v="264"/>
    <d v="2012-06-16T00:00:00"/>
    <x v="7"/>
    <x v="1"/>
    <s v="Mostra Competitiva"/>
    <m/>
    <x v="0"/>
    <x v="0"/>
    <m/>
    <x v="0"/>
    <x v="2"/>
    <x v="267"/>
    <x v="0"/>
    <x v="0"/>
    <x v="0"/>
    <x v="264"/>
    <x v="2672"/>
  </r>
  <r>
    <x v="1"/>
    <n v="1553"/>
    <x v="1093"/>
    <x v="0"/>
    <s v="CM"/>
    <s v="N"/>
    <x v="738"/>
    <x v="41"/>
    <x v="588"/>
    <m/>
    <x v="23"/>
    <m/>
    <x v="3"/>
    <x v="0"/>
    <x v="395"/>
    <m/>
    <x v="12"/>
    <x v="1"/>
    <m/>
    <m/>
    <x v="0"/>
    <x v="1"/>
    <m/>
    <x v="0"/>
    <x v="0"/>
    <x v="1097"/>
    <x v="3"/>
    <x v="0"/>
    <x v="1"/>
    <x v="395"/>
    <x v="2673"/>
  </r>
  <r>
    <x v="1"/>
    <n v="1434"/>
    <x v="1094"/>
    <x v="1"/>
    <s v="CM"/>
    <s v="N"/>
    <x v="739"/>
    <x v="41"/>
    <x v="25"/>
    <m/>
    <x v="24"/>
    <m/>
    <x v="3"/>
    <x v="0"/>
    <x v="294"/>
    <d v="2012-10-28T00:00:00"/>
    <x v="14"/>
    <x v="0"/>
    <m/>
    <s v="Verdes Anos"/>
    <x v="0"/>
    <x v="0"/>
    <m/>
    <x v="0"/>
    <x v="2"/>
    <x v="1098"/>
    <x v="3"/>
    <x v="0"/>
    <x v="1"/>
    <x v="294"/>
    <x v="2674"/>
  </r>
  <r>
    <x v="1"/>
    <n v="1373"/>
    <x v="1095"/>
    <x v="0"/>
    <s v="LM"/>
    <s v="N"/>
    <x v="740"/>
    <x v="2"/>
    <x v="498"/>
    <m/>
    <x v="303"/>
    <m/>
    <x v="17"/>
    <x v="0"/>
    <x v="306"/>
    <d v="2012-07-01T00:00:00"/>
    <x v="17"/>
    <x v="0"/>
    <m/>
    <s v="Director's Showcase"/>
    <x v="0"/>
    <x v="0"/>
    <m/>
    <x v="0"/>
    <x v="5"/>
    <x v="1099"/>
    <x v="17"/>
    <x v="0"/>
    <x v="0"/>
    <x v="306"/>
    <x v="2675"/>
  </r>
  <r>
    <x v="1"/>
    <n v="1373"/>
    <x v="1095"/>
    <x v="0"/>
    <s v="LM"/>
    <s v="N"/>
    <x v="740"/>
    <x v="2"/>
    <x v="179"/>
    <m/>
    <x v="133"/>
    <m/>
    <x v="0"/>
    <x v="0"/>
    <x v="233"/>
    <d v="2012-11-01T00:00:00"/>
    <x v="0"/>
    <x v="0"/>
    <m/>
    <s v="Perspectiva Internacional"/>
    <x v="0"/>
    <x v="0"/>
    <m/>
    <x v="0"/>
    <x v="5"/>
    <x v="1099"/>
    <x v="0"/>
    <x v="0"/>
    <x v="0"/>
    <x v="233"/>
    <x v="2676"/>
  </r>
  <r>
    <x v="1"/>
    <n v="379"/>
    <x v="1096"/>
    <x v="0"/>
    <s v="CM"/>
    <s v="N"/>
    <x v="741"/>
    <x v="2"/>
    <x v="412"/>
    <m/>
    <x v="269"/>
    <m/>
    <x v="3"/>
    <x v="0"/>
    <x v="242"/>
    <m/>
    <x v="7"/>
    <x v="1"/>
    <m/>
    <m/>
    <x v="0"/>
    <x v="0"/>
    <m/>
    <x v="0"/>
    <x v="0"/>
    <x v="1100"/>
    <x v="3"/>
    <x v="0"/>
    <x v="1"/>
    <x v="242"/>
    <x v="2677"/>
  </r>
  <r>
    <x v="1"/>
    <n v="380"/>
    <x v="269"/>
    <x v="3"/>
    <s v="CM"/>
    <s v="N"/>
    <x v="230"/>
    <x v="2"/>
    <x v="70"/>
    <m/>
    <x v="38"/>
    <m/>
    <x v="3"/>
    <x v="0"/>
    <x v="349"/>
    <d v="2012-09-16T00:00:00"/>
    <x v="9"/>
    <x v="1"/>
    <m/>
    <m/>
    <x v="0"/>
    <x v="0"/>
    <m/>
    <x v="0"/>
    <x v="6"/>
    <x v="271"/>
    <x v="3"/>
    <x v="0"/>
    <x v="1"/>
    <x v="349"/>
    <x v="2678"/>
  </r>
  <r>
    <x v="1"/>
    <n v="381"/>
    <x v="270"/>
    <x v="0"/>
    <s v="CM"/>
    <s v="N"/>
    <x v="215"/>
    <x v="2"/>
    <x v="70"/>
    <m/>
    <x v="38"/>
    <m/>
    <x v="3"/>
    <x v="0"/>
    <x v="349"/>
    <d v="2012-09-16T00:00:00"/>
    <x v="9"/>
    <x v="1"/>
    <m/>
    <m/>
    <x v="0"/>
    <x v="0"/>
    <m/>
    <x v="0"/>
    <x v="0"/>
    <x v="272"/>
    <x v="3"/>
    <x v="0"/>
    <x v="1"/>
    <x v="349"/>
    <x v="2679"/>
  </r>
  <r>
    <x v="1"/>
    <n v="1356"/>
    <x v="1097"/>
    <x v="1"/>
    <s v="CM"/>
    <s v="N"/>
    <x v="742"/>
    <x v="2"/>
    <x v="609"/>
    <m/>
    <x v="23"/>
    <m/>
    <x v="3"/>
    <x v="0"/>
    <x v="338"/>
    <m/>
    <x v="14"/>
    <x v="1"/>
    <m/>
    <m/>
    <x v="0"/>
    <x v="1"/>
    <m/>
    <x v="0"/>
    <x v="2"/>
    <x v="1101"/>
    <x v="3"/>
    <x v="0"/>
    <x v="1"/>
    <x v="338"/>
    <x v="2680"/>
  </r>
  <r>
    <x v="1"/>
    <n v="1402"/>
    <x v="1098"/>
    <x v="1"/>
    <s v="LM"/>
    <s v=""/>
    <x v="579"/>
    <x v="41"/>
    <x v="25"/>
    <m/>
    <x v="24"/>
    <m/>
    <x v="3"/>
    <x v="0"/>
    <x v="294"/>
    <d v="2012-10-28T00:00:00"/>
    <x v="14"/>
    <x v="1"/>
    <s v="Competição Portuguesa - Longas"/>
    <m/>
    <x v="0"/>
    <x v="0"/>
    <m/>
    <x v="0"/>
    <x v="1"/>
    <x v="1102"/>
    <x v="3"/>
    <x v="0"/>
    <x v="1"/>
    <x v="294"/>
    <x v="2681"/>
  </r>
  <r>
    <x v="1"/>
    <n v="1402"/>
    <x v="1098"/>
    <x v="1"/>
    <s v="LM"/>
    <s v=""/>
    <x v="579"/>
    <x v="41"/>
    <x v="42"/>
    <m/>
    <x v="39"/>
    <m/>
    <x v="3"/>
    <x v="0"/>
    <x v="327"/>
    <m/>
    <x v="12"/>
    <x v="0"/>
    <m/>
    <m/>
    <x v="0"/>
    <x v="1"/>
    <m/>
    <x v="0"/>
    <x v="1"/>
    <x v="1102"/>
    <x v="3"/>
    <x v="0"/>
    <x v="1"/>
    <x v="327"/>
    <x v="2682"/>
  </r>
  <r>
    <x v="1"/>
    <n v="383"/>
    <x v="1099"/>
    <x v="3"/>
    <s v="CM"/>
    <s v="N"/>
    <x v="743"/>
    <x v="3"/>
    <x v="558"/>
    <m/>
    <x v="24"/>
    <m/>
    <x v="3"/>
    <x v="0"/>
    <x v="375"/>
    <m/>
    <x v="15"/>
    <x v="1"/>
    <s v="Animação Digital"/>
    <m/>
    <x v="5"/>
    <x v="2"/>
    <m/>
    <x v="1"/>
    <x v="6"/>
    <x v="1103"/>
    <x v="3"/>
    <x v="321"/>
    <x v="1"/>
    <x v="375"/>
    <x v="2683"/>
  </r>
  <r>
    <x v="1"/>
    <n v="383"/>
    <x v="1099"/>
    <x v="3"/>
    <s v="CM"/>
    <s v="N"/>
    <x v="743"/>
    <x v="3"/>
    <x v="26"/>
    <m/>
    <x v="24"/>
    <m/>
    <x v="3"/>
    <x v="0"/>
    <x v="268"/>
    <d v="2012-03-25T00:00:00"/>
    <x v="2"/>
    <x v="1"/>
    <s v="Competição Estudantes 5"/>
    <m/>
    <x v="0"/>
    <x v="0"/>
    <m/>
    <x v="0"/>
    <x v="6"/>
    <x v="1103"/>
    <x v="3"/>
    <x v="0"/>
    <x v="1"/>
    <x v="268"/>
    <x v="2684"/>
  </r>
  <r>
    <x v="1"/>
    <n v="383"/>
    <x v="1099"/>
    <x v="3"/>
    <s v="CM"/>
    <s v="N"/>
    <x v="743"/>
    <x v="3"/>
    <x v="431"/>
    <m/>
    <x v="277"/>
    <m/>
    <x v="14"/>
    <x v="0"/>
    <x v="243"/>
    <d v="2012-06-02T00:00:00"/>
    <x v="7"/>
    <x v="0"/>
    <m/>
    <m/>
    <x v="0"/>
    <x v="0"/>
    <m/>
    <x v="0"/>
    <x v="6"/>
    <x v="1103"/>
    <x v="14"/>
    <x v="0"/>
    <x v="0"/>
    <x v="243"/>
    <x v="2685"/>
  </r>
  <r>
    <x v="1"/>
    <n v="383"/>
    <x v="1099"/>
    <x v="3"/>
    <s v="CM"/>
    <s v="N"/>
    <x v="743"/>
    <x v="3"/>
    <x v="449"/>
    <m/>
    <x v="22"/>
    <m/>
    <x v="3"/>
    <x v="0"/>
    <x v="290"/>
    <m/>
    <x v="7"/>
    <x v="1"/>
    <s v="Livre"/>
    <m/>
    <x v="273"/>
    <x v="0"/>
    <m/>
    <x v="1"/>
    <x v="6"/>
    <x v="1103"/>
    <x v="3"/>
    <x v="322"/>
    <x v="1"/>
    <x v="290"/>
    <x v="2686"/>
  </r>
  <r>
    <x v="1"/>
    <n v="383"/>
    <x v="1099"/>
    <x v="3"/>
    <s v="CM"/>
    <s v="N"/>
    <x v="743"/>
    <x v="3"/>
    <x v="610"/>
    <m/>
    <x v="23"/>
    <m/>
    <x v="3"/>
    <x v="0"/>
    <x v="347"/>
    <m/>
    <x v="7"/>
    <x v="0"/>
    <m/>
    <s v="Curta Convidada"/>
    <x v="0"/>
    <x v="1"/>
    <m/>
    <x v="0"/>
    <x v="6"/>
    <x v="1103"/>
    <x v="3"/>
    <x v="0"/>
    <x v="1"/>
    <x v="347"/>
    <x v="2687"/>
  </r>
  <r>
    <x v="1"/>
    <n v="383"/>
    <x v="1099"/>
    <x v="3"/>
    <s v="CM"/>
    <s v="N"/>
    <x v="743"/>
    <x v="3"/>
    <x v="68"/>
    <m/>
    <x v="53"/>
    <m/>
    <x v="3"/>
    <x v="0"/>
    <x v="253"/>
    <d v="2012-07-15T00:00:00"/>
    <x v="8"/>
    <x v="1"/>
    <s v="Take One!"/>
    <m/>
    <x v="0"/>
    <x v="0"/>
    <m/>
    <x v="0"/>
    <x v="6"/>
    <x v="1103"/>
    <x v="3"/>
    <x v="0"/>
    <x v="1"/>
    <x v="253"/>
    <x v="2688"/>
  </r>
  <r>
    <x v="1"/>
    <n v="383"/>
    <x v="1099"/>
    <x v="3"/>
    <s v="CM"/>
    <s v="N"/>
    <x v="743"/>
    <x v="3"/>
    <x v="316"/>
    <m/>
    <x v="11"/>
    <m/>
    <x v="3"/>
    <x v="0"/>
    <x v="199"/>
    <d v="2012-08-25T00:00:00"/>
    <x v="16"/>
    <x v="1"/>
    <s v="Animação"/>
    <m/>
    <x v="7"/>
    <x v="0"/>
    <m/>
    <x v="1"/>
    <x v="6"/>
    <x v="1103"/>
    <x v="3"/>
    <x v="323"/>
    <x v="1"/>
    <x v="199"/>
    <x v="2689"/>
  </r>
  <r>
    <x v="1"/>
    <n v="383"/>
    <x v="1099"/>
    <x v="3"/>
    <s v="CM"/>
    <s v="N"/>
    <x v="743"/>
    <x v="3"/>
    <x v="22"/>
    <m/>
    <x v="22"/>
    <m/>
    <x v="3"/>
    <x v="0"/>
    <x v="251"/>
    <d v="2012-11-18T00:00:00"/>
    <x v="13"/>
    <x v="1"/>
    <s v="Ensaios Visuais"/>
    <m/>
    <x v="0"/>
    <x v="0"/>
    <m/>
    <x v="0"/>
    <x v="6"/>
    <x v="1103"/>
    <x v="3"/>
    <x v="0"/>
    <x v="1"/>
    <x v="251"/>
    <x v="2690"/>
  </r>
  <r>
    <x v="1"/>
    <n v="383"/>
    <x v="1099"/>
    <x v="3"/>
    <s v="CM"/>
    <s v="N"/>
    <x v="743"/>
    <x v="3"/>
    <x v="27"/>
    <m/>
    <x v="25"/>
    <m/>
    <x v="3"/>
    <x v="0"/>
    <x v="307"/>
    <d v="2012-11-18T00:00:00"/>
    <x v="13"/>
    <x v="1"/>
    <s v="Competição Nacional: Jovem Cineasta Português (+18 anos) "/>
    <m/>
    <x v="0"/>
    <x v="0"/>
    <m/>
    <x v="0"/>
    <x v="6"/>
    <x v="1103"/>
    <x v="3"/>
    <x v="0"/>
    <x v="1"/>
    <x v="307"/>
    <x v="2691"/>
  </r>
  <r>
    <x v="1"/>
    <n v="1456"/>
    <x v="1100"/>
    <x v="0"/>
    <s v="LM"/>
    <s v=""/>
    <x v="744"/>
    <x v="45"/>
    <x v="611"/>
    <m/>
    <x v="136"/>
    <m/>
    <x v="7"/>
    <x v="0"/>
    <x v="254"/>
    <d v="2012-12-09T00:00:00"/>
    <x v="11"/>
    <x v="0"/>
    <m/>
    <m/>
    <x v="0"/>
    <x v="1"/>
    <m/>
    <x v="0"/>
    <x v="5"/>
    <x v="1104"/>
    <x v="7"/>
    <x v="0"/>
    <x v="0"/>
    <x v="254"/>
    <x v="2692"/>
  </r>
  <r>
    <x v="1"/>
    <n v="384"/>
    <x v="1101"/>
    <x v="0"/>
    <s v="CM"/>
    <s v="N"/>
    <x v="745"/>
    <x v="2"/>
    <x v="412"/>
    <m/>
    <x v="269"/>
    <m/>
    <x v="3"/>
    <x v="0"/>
    <x v="242"/>
    <m/>
    <x v="7"/>
    <x v="1"/>
    <m/>
    <m/>
    <x v="0"/>
    <x v="0"/>
    <m/>
    <x v="0"/>
    <x v="0"/>
    <x v="1105"/>
    <x v="3"/>
    <x v="0"/>
    <x v="1"/>
    <x v="242"/>
    <x v="2693"/>
  </r>
  <r>
    <x v="1"/>
    <n v="386"/>
    <x v="1102"/>
    <x v="0"/>
    <s v="CM"/>
    <s v="N"/>
    <x v="536"/>
    <x v="2"/>
    <x v="456"/>
    <m/>
    <x v="24"/>
    <m/>
    <x v="3"/>
    <x v="0"/>
    <x v="390"/>
    <m/>
    <x v="15"/>
    <x v="0"/>
    <m/>
    <m/>
    <x v="0"/>
    <x v="1"/>
    <m/>
    <x v="0"/>
    <x v="0"/>
    <x v="1106"/>
    <x v="3"/>
    <x v="0"/>
    <x v="1"/>
    <x v="390"/>
    <x v="2694"/>
  </r>
  <r>
    <x v="1"/>
    <n v="386"/>
    <x v="1102"/>
    <x v="0"/>
    <s v="CM"/>
    <s v="N"/>
    <x v="536"/>
    <x v="2"/>
    <x v="612"/>
    <m/>
    <x v="24"/>
    <m/>
    <x v="3"/>
    <x v="0"/>
    <x v="235"/>
    <m/>
    <x v="15"/>
    <x v="0"/>
    <m/>
    <m/>
    <x v="0"/>
    <x v="1"/>
    <m/>
    <x v="0"/>
    <x v="0"/>
    <x v="1106"/>
    <x v="3"/>
    <x v="0"/>
    <x v="1"/>
    <x v="235"/>
    <x v="2695"/>
  </r>
  <r>
    <x v="1"/>
    <n v="386"/>
    <x v="1102"/>
    <x v="0"/>
    <s v="CM"/>
    <s v="N"/>
    <x v="536"/>
    <x v="2"/>
    <x v="456"/>
    <m/>
    <x v="24"/>
    <m/>
    <x v="3"/>
    <x v="0"/>
    <x v="300"/>
    <m/>
    <x v="1"/>
    <x v="0"/>
    <m/>
    <s v="Especial Curtas Nomeadas para Melhor Curta Prémios Shortcutz Lisboa 2011"/>
    <x v="0"/>
    <x v="1"/>
    <m/>
    <x v="0"/>
    <x v="0"/>
    <x v="1106"/>
    <x v="3"/>
    <x v="0"/>
    <x v="1"/>
    <x v="300"/>
    <x v="2696"/>
  </r>
  <r>
    <x v="1"/>
    <n v="386"/>
    <x v="1102"/>
    <x v="0"/>
    <s v="CM"/>
    <s v="N"/>
    <x v="536"/>
    <x v="2"/>
    <x v="473"/>
    <m/>
    <x v="24"/>
    <m/>
    <x v="3"/>
    <x v="0"/>
    <x v="317"/>
    <m/>
    <x v="2"/>
    <x v="1"/>
    <m/>
    <m/>
    <x v="274"/>
    <x v="2"/>
    <m/>
    <x v="1"/>
    <x v="0"/>
    <x v="1106"/>
    <x v="3"/>
    <x v="324"/>
    <x v="1"/>
    <x v="317"/>
    <x v="2697"/>
  </r>
  <r>
    <x v="1"/>
    <n v="386"/>
    <x v="1102"/>
    <x v="0"/>
    <s v="CM"/>
    <s v="N"/>
    <x v="536"/>
    <x v="2"/>
    <x v="613"/>
    <m/>
    <x v="24"/>
    <m/>
    <x v="3"/>
    <x v="0"/>
    <x v="407"/>
    <m/>
    <x v="6"/>
    <x v="0"/>
    <m/>
    <s v="Curta Convidada"/>
    <x v="0"/>
    <x v="1"/>
    <m/>
    <x v="0"/>
    <x v="0"/>
    <x v="1106"/>
    <x v="3"/>
    <x v="0"/>
    <x v="1"/>
    <x v="407"/>
    <x v="2698"/>
  </r>
  <r>
    <x v="1"/>
    <n v="389"/>
    <x v="275"/>
    <x v="1"/>
    <s v="LM"/>
    <s v="N"/>
    <x v="235"/>
    <x v="3"/>
    <x v="478"/>
    <m/>
    <x v="256"/>
    <m/>
    <x v="9"/>
    <x v="0"/>
    <x v="319"/>
    <d v="2012-04-26T00:00:00"/>
    <x v="5"/>
    <x v="0"/>
    <m/>
    <s v="Women in Film"/>
    <x v="0"/>
    <x v="0"/>
    <m/>
    <x v="0"/>
    <x v="1"/>
    <x v="277"/>
    <x v="9"/>
    <x v="0"/>
    <x v="0"/>
    <x v="319"/>
    <x v="2699"/>
  </r>
  <r>
    <x v="1"/>
    <n v="389"/>
    <x v="275"/>
    <x v="1"/>
    <s v="LM"/>
    <s v="N"/>
    <x v="235"/>
    <x v="3"/>
    <x v="162"/>
    <m/>
    <x v="124"/>
    <m/>
    <x v="3"/>
    <x v="0"/>
    <x v="303"/>
    <m/>
    <x v="9"/>
    <x v="0"/>
    <m/>
    <m/>
    <x v="0"/>
    <x v="1"/>
    <m/>
    <x v="0"/>
    <x v="1"/>
    <x v="277"/>
    <x v="3"/>
    <x v="0"/>
    <x v="1"/>
    <x v="303"/>
    <x v="2700"/>
  </r>
  <r>
    <x v="1"/>
    <n v="389"/>
    <x v="275"/>
    <x v="1"/>
    <s v="LM"/>
    <s v="N"/>
    <x v="235"/>
    <x v="3"/>
    <x v="614"/>
    <m/>
    <x v="59"/>
    <m/>
    <x v="3"/>
    <x v="0"/>
    <x v="408"/>
    <d v="2012-12-16T00:00:00"/>
    <x v="12"/>
    <x v="0"/>
    <m/>
    <m/>
    <x v="0"/>
    <x v="1"/>
    <m/>
    <x v="0"/>
    <x v="1"/>
    <x v="277"/>
    <x v="3"/>
    <x v="0"/>
    <x v="1"/>
    <x v="408"/>
    <x v="2701"/>
  </r>
  <r>
    <x v="1"/>
    <n v="390"/>
    <x v="1103"/>
    <x v="0"/>
    <s v="CM"/>
    <s v="N"/>
    <x v="746"/>
    <x v="2"/>
    <x v="464"/>
    <m/>
    <x v="40"/>
    <m/>
    <x v="3"/>
    <x v="0"/>
    <x v="311"/>
    <d v="2012-04-01T00:00:00"/>
    <x v="3"/>
    <x v="1"/>
    <s v="Competição Vídeos Musicais"/>
    <m/>
    <x v="0"/>
    <x v="0"/>
    <m/>
    <x v="0"/>
    <x v="0"/>
    <x v="1107"/>
    <x v="3"/>
    <x v="0"/>
    <x v="1"/>
    <x v="311"/>
    <x v="2702"/>
  </r>
  <r>
    <x v="1"/>
    <n v="392"/>
    <x v="277"/>
    <x v="1"/>
    <s v="CM"/>
    <s v="N"/>
    <x v="237"/>
    <x v="2"/>
    <x v="178"/>
    <m/>
    <x v="25"/>
    <m/>
    <x v="3"/>
    <x v="0"/>
    <x v="293"/>
    <d v="2012-07-08T00:00:00"/>
    <x v="8"/>
    <x v="1"/>
    <s v="Documentário"/>
    <m/>
    <x v="0"/>
    <x v="0"/>
    <m/>
    <x v="0"/>
    <x v="2"/>
    <x v="279"/>
    <x v="3"/>
    <x v="0"/>
    <x v="1"/>
    <x v="293"/>
    <x v="2703"/>
  </r>
  <r>
    <x v="1"/>
    <n v="395"/>
    <x v="279"/>
    <x v="0"/>
    <s v="LM"/>
    <s v="S"/>
    <x v="239"/>
    <x v="5"/>
    <x v="533"/>
    <m/>
    <x v="314"/>
    <m/>
    <x v="9"/>
    <x v="0"/>
    <x v="365"/>
    <d v="2012-05-26T00:00:00"/>
    <x v="6"/>
    <x v="0"/>
    <m/>
    <m/>
    <x v="0"/>
    <x v="1"/>
    <m/>
    <x v="0"/>
    <x v="5"/>
    <x v="281"/>
    <x v="9"/>
    <x v="0"/>
    <x v="0"/>
    <x v="365"/>
    <x v="2704"/>
  </r>
  <r>
    <x v="1"/>
    <n v="395"/>
    <x v="279"/>
    <x v="0"/>
    <s v="LM"/>
    <s v="S"/>
    <x v="239"/>
    <x v="5"/>
    <x v="534"/>
    <m/>
    <x v="65"/>
    <m/>
    <x v="9"/>
    <x v="0"/>
    <x v="236"/>
    <d v="2012-06-28T00:00:00"/>
    <x v="7"/>
    <x v="0"/>
    <m/>
    <m/>
    <x v="0"/>
    <x v="1"/>
    <m/>
    <x v="0"/>
    <x v="5"/>
    <x v="281"/>
    <x v="9"/>
    <x v="0"/>
    <x v="0"/>
    <x v="236"/>
    <x v="2705"/>
  </r>
  <r>
    <x v="1"/>
    <n v="395"/>
    <x v="279"/>
    <x v="0"/>
    <s v="LM"/>
    <s v="S"/>
    <x v="239"/>
    <x v="5"/>
    <x v="543"/>
    <m/>
    <x v="15"/>
    <m/>
    <x v="3"/>
    <x v="0"/>
    <x v="369"/>
    <d v="2012-12-18T00:00:00"/>
    <x v="11"/>
    <x v="0"/>
    <m/>
    <m/>
    <x v="0"/>
    <x v="1"/>
    <m/>
    <x v="0"/>
    <x v="5"/>
    <x v="281"/>
    <x v="3"/>
    <x v="0"/>
    <x v="1"/>
    <x v="369"/>
    <x v="2706"/>
  </r>
  <r>
    <x v="1"/>
    <n v="395"/>
    <x v="279"/>
    <x v="0"/>
    <s v="LM"/>
    <s v="S"/>
    <x v="239"/>
    <x v="5"/>
    <x v="538"/>
    <m/>
    <x v="315"/>
    <m/>
    <x v="3"/>
    <x v="0"/>
    <x v="296"/>
    <m/>
    <x v="12"/>
    <x v="0"/>
    <m/>
    <m/>
    <x v="0"/>
    <x v="1"/>
    <m/>
    <x v="0"/>
    <x v="5"/>
    <x v="281"/>
    <x v="3"/>
    <x v="0"/>
    <x v="1"/>
    <x v="296"/>
    <x v="2707"/>
  </r>
  <r>
    <x v="1"/>
    <n v="396"/>
    <x v="280"/>
    <x v="0"/>
    <s v="CM"/>
    <s v="S"/>
    <x v="240"/>
    <x v="2"/>
    <x v="411"/>
    <m/>
    <x v="268"/>
    <m/>
    <x v="0"/>
    <x v="0"/>
    <x v="241"/>
    <d v="2012-05-18T00:00:00"/>
    <x v="6"/>
    <x v="0"/>
    <m/>
    <s v="Mostra dos Festivais - FIKE"/>
    <x v="0"/>
    <x v="0"/>
    <m/>
    <x v="0"/>
    <x v="0"/>
    <x v="282"/>
    <x v="0"/>
    <x v="0"/>
    <x v="0"/>
    <x v="241"/>
    <x v="2708"/>
  </r>
  <r>
    <x v="1"/>
    <n v="396"/>
    <x v="280"/>
    <x v="0"/>
    <s v="CM"/>
    <s v="S"/>
    <x v="240"/>
    <x v="2"/>
    <x v="407"/>
    <m/>
    <x v="154"/>
    <m/>
    <x v="0"/>
    <x v="0"/>
    <x v="237"/>
    <d v="2012-07-08T00:00:00"/>
    <x v="17"/>
    <x v="0"/>
    <m/>
    <m/>
    <x v="0"/>
    <x v="1"/>
    <m/>
    <x v="0"/>
    <x v="0"/>
    <x v="282"/>
    <x v="0"/>
    <x v="0"/>
    <x v="0"/>
    <x v="237"/>
    <x v="2709"/>
  </r>
  <r>
    <x v="1"/>
    <n v="1457"/>
    <x v="1104"/>
    <x v="0"/>
    <s v="LM"/>
    <s v=""/>
    <x v="744"/>
    <x v="12"/>
    <x v="611"/>
    <m/>
    <x v="136"/>
    <m/>
    <x v="7"/>
    <x v="0"/>
    <x v="254"/>
    <d v="2012-12-09T00:00:00"/>
    <x v="11"/>
    <x v="0"/>
    <m/>
    <m/>
    <x v="0"/>
    <x v="1"/>
    <m/>
    <x v="0"/>
    <x v="5"/>
    <x v="1108"/>
    <x v="7"/>
    <x v="0"/>
    <x v="0"/>
    <x v="254"/>
    <x v="2710"/>
  </r>
  <r>
    <x v="1"/>
    <n v="398"/>
    <x v="1105"/>
    <x v="1"/>
    <s v="CM"/>
    <s v="N"/>
    <x v="258"/>
    <x v="2"/>
    <x v="615"/>
    <m/>
    <x v="334"/>
    <m/>
    <x v="1"/>
    <x v="0"/>
    <x v="394"/>
    <d v="2012-03-31T00:00:00"/>
    <x v="2"/>
    <x v="0"/>
    <m/>
    <s v="Cortos de Castilla y Léon"/>
    <x v="0"/>
    <x v="0"/>
    <m/>
    <x v="0"/>
    <x v="2"/>
    <x v="1109"/>
    <x v="1"/>
    <x v="0"/>
    <x v="0"/>
    <x v="394"/>
    <x v="2711"/>
  </r>
  <r>
    <x v="1"/>
    <n v="399"/>
    <x v="1106"/>
    <x v="0"/>
    <s v="CM"/>
    <s v="N"/>
    <x v="747"/>
    <x v="2"/>
    <x v="62"/>
    <m/>
    <x v="23"/>
    <m/>
    <x v="3"/>
    <x v="0"/>
    <x v="302"/>
    <d v="2012-03-04T00:00:00"/>
    <x v="19"/>
    <x v="1"/>
    <s v="Prémio de Cinema Português - Escolas de Cinema"/>
    <m/>
    <x v="0"/>
    <x v="0"/>
    <m/>
    <x v="0"/>
    <x v="0"/>
    <x v="1110"/>
    <x v="3"/>
    <x v="0"/>
    <x v="1"/>
    <x v="302"/>
    <x v="2712"/>
  </r>
  <r>
    <x v="1"/>
    <n v="399"/>
    <x v="1106"/>
    <x v="0"/>
    <s v="CM"/>
    <s v="N"/>
    <x v="747"/>
    <x v="2"/>
    <x v="457"/>
    <m/>
    <x v="285"/>
    <m/>
    <x v="3"/>
    <x v="0"/>
    <x v="301"/>
    <d v="2012-06-16T00:00:00"/>
    <x v="7"/>
    <x v="1"/>
    <s v="U-Can: Escola Artística Soares dos Reis"/>
    <m/>
    <x v="0"/>
    <x v="0"/>
    <m/>
    <x v="0"/>
    <x v="0"/>
    <x v="1110"/>
    <x v="3"/>
    <x v="0"/>
    <x v="1"/>
    <x v="301"/>
    <x v="2713"/>
  </r>
  <r>
    <x v="1"/>
    <n v="1547"/>
    <x v="1107"/>
    <x v="0"/>
    <s v="CM"/>
    <s v="N"/>
    <x v="748"/>
    <x v="41"/>
    <x v="37"/>
    <m/>
    <x v="35"/>
    <m/>
    <x v="2"/>
    <x v="0"/>
    <x v="304"/>
    <d v="2012-12-02T00:00:00"/>
    <x v="11"/>
    <x v="0"/>
    <m/>
    <s v="Panorama Fenêtre Ouverte"/>
    <x v="0"/>
    <x v="0"/>
    <m/>
    <x v="0"/>
    <x v="0"/>
    <x v="1111"/>
    <x v="2"/>
    <x v="0"/>
    <x v="0"/>
    <x v="304"/>
    <x v="2714"/>
  </r>
  <r>
    <x v="1"/>
    <n v="401"/>
    <x v="283"/>
    <x v="0"/>
    <s v="CM"/>
    <s v="N"/>
    <x v="243"/>
    <x v="2"/>
    <x v="616"/>
    <m/>
    <x v="23"/>
    <m/>
    <x v="3"/>
    <x v="0"/>
    <x v="353"/>
    <m/>
    <x v="2"/>
    <x v="1"/>
    <m/>
    <m/>
    <x v="275"/>
    <x v="1"/>
    <m/>
    <x v="1"/>
    <x v="0"/>
    <x v="285"/>
    <x v="3"/>
    <x v="325"/>
    <x v="1"/>
    <x v="353"/>
    <x v="2715"/>
  </r>
  <r>
    <x v="1"/>
    <n v="401"/>
    <x v="283"/>
    <x v="0"/>
    <s v="CM"/>
    <s v="N"/>
    <x v="243"/>
    <x v="2"/>
    <x v="617"/>
    <m/>
    <x v="37"/>
    <m/>
    <x v="3"/>
    <x v="0"/>
    <x v="355"/>
    <m/>
    <x v="5"/>
    <x v="0"/>
    <m/>
    <m/>
    <x v="0"/>
    <x v="1"/>
    <m/>
    <x v="0"/>
    <x v="0"/>
    <x v="285"/>
    <x v="3"/>
    <x v="0"/>
    <x v="1"/>
    <x v="355"/>
    <x v="2716"/>
  </r>
  <r>
    <x v="1"/>
    <n v="401"/>
    <x v="283"/>
    <x v="0"/>
    <s v="CM"/>
    <s v="N"/>
    <x v="243"/>
    <x v="2"/>
    <x v="178"/>
    <m/>
    <x v="25"/>
    <m/>
    <x v="3"/>
    <x v="0"/>
    <x v="293"/>
    <d v="2012-07-08T00:00:00"/>
    <x v="8"/>
    <x v="0"/>
    <m/>
    <s v="Panorama Light&amp;Sound - Shortcutz"/>
    <x v="0"/>
    <x v="0"/>
    <m/>
    <x v="0"/>
    <x v="0"/>
    <x v="285"/>
    <x v="3"/>
    <x v="0"/>
    <x v="1"/>
    <x v="293"/>
    <x v="2717"/>
  </r>
  <r>
    <x v="1"/>
    <n v="401"/>
    <x v="283"/>
    <x v="0"/>
    <s v="CM"/>
    <s v="N"/>
    <x v="243"/>
    <x v="2"/>
    <x v="618"/>
    <m/>
    <x v="23"/>
    <m/>
    <x v="3"/>
    <x v="0"/>
    <x v="338"/>
    <m/>
    <x v="14"/>
    <x v="0"/>
    <m/>
    <m/>
    <x v="0"/>
    <x v="1"/>
    <m/>
    <x v="0"/>
    <x v="0"/>
    <x v="285"/>
    <x v="3"/>
    <x v="0"/>
    <x v="1"/>
    <x v="338"/>
    <x v="2718"/>
  </r>
  <r>
    <x v="1"/>
    <n v="402"/>
    <x v="284"/>
    <x v="0"/>
    <s v="CM"/>
    <s v="S"/>
    <x v="244"/>
    <x v="1"/>
    <x v="455"/>
    <m/>
    <x v="24"/>
    <m/>
    <x v="3"/>
    <x v="0"/>
    <x v="299"/>
    <m/>
    <x v="1"/>
    <x v="0"/>
    <m/>
    <m/>
    <x v="0"/>
    <x v="1"/>
    <m/>
    <x v="0"/>
    <x v="0"/>
    <x v="286"/>
    <x v="3"/>
    <x v="0"/>
    <x v="1"/>
    <x v="299"/>
    <x v="2719"/>
  </r>
  <r>
    <x v="1"/>
    <n v="1437"/>
    <x v="1108"/>
    <x v="1"/>
    <s v="CM"/>
    <s v="N"/>
    <x v="749"/>
    <x v="41"/>
    <x v="25"/>
    <m/>
    <x v="24"/>
    <m/>
    <x v="3"/>
    <x v="0"/>
    <x v="294"/>
    <d v="2012-10-28T00:00:00"/>
    <x v="14"/>
    <x v="0"/>
    <m/>
    <s v="Verdes Anos"/>
    <x v="0"/>
    <x v="0"/>
    <m/>
    <x v="0"/>
    <x v="2"/>
    <x v="1112"/>
    <x v="3"/>
    <x v="0"/>
    <x v="1"/>
    <x v="294"/>
    <x v="2720"/>
  </r>
  <r>
    <x v="1"/>
    <n v="1491"/>
    <x v="1109"/>
    <x v="2"/>
    <s v="CM"/>
    <s v="S"/>
    <x v="750"/>
    <x v="1"/>
    <x v="27"/>
    <m/>
    <x v="25"/>
    <m/>
    <x v="3"/>
    <x v="0"/>
    <x v="307"/>
    <d v="2012-11-18T00:00:00"/>
    <x v="13"/>
    <x v="0"/>
    <m/>
    <s v="Ilustração e Animação"/>
    <x v="0"/>
    <x v="0"/>
    <m/>
    <x v="0"/>
    <x v="4"/>
    <x v="1113"/>
    <x v="3"/>
    <x v="0"/>
    <x v="1"/>
    <x v="307"/>
    <x v="2721"/>
  </r>
  <r>
    <x v="1"/>
    <n v="1460"/>
    <x v="1110"/>
    <x v="1"/>
    <s v="LM"/>
    <s v=""/>
    <x v="239"/>
    <x v="27"/>
    <x v="619"/>
    <m/>
    <x v="335"/>
    <m/>
    <x v="3"/>
    <x v="0"/>
    <x v="251"/>
    <m/>
    <x v="13"/>
    <x v="0"/>
    <m/>
    <m/>
    <x v="0"/>
    <x v="1"/>
    <m/>
    <x v="0"/>
    <x v="1"/>
    <x v="1114"/>
    <x v="3"/>
    <x v="0"/>
    <x v="1"/>
    <x v="251"/>
    <x v="2722"/>
  </r>
  <r>
    <x v="1"/>
    <n v="404"/>
    <x v="286"/>
    <x v="0"/>
    <s v="CM"/>
    <s v="S"/>
    <x v="246"/>
    <x v="1"/>
    <x v="70"/>
    <m/>
    <x v="38"/>
    <m/>
    <x v="3"/>
    <x v="0"/>
    <x v="349"/>
    <d v="2012-09-16T00:00:00"/>
    <x v="9"/>
    <x v="1"/>
    <m/>
    <m/>
    <x v="58"/>
    <x v="0"/>
    <m/>
    <x v="1"/>
    <x v="0"/>
    <x v="288"/>
    <x v="3"/>
    <x v="326"/>
    <x v="1"/>
    <x v="349"/>
    <x v="2723"/>
  </r>
  <r>
    <x v="1"/>
    <n v="406"/>
    <x v="1111"/>
    <x v="2"/>
    <s v="CM"/>
    <s v="N"/>
    <x v="517"/>
    <x v="41"/>
    <x v="146"/>
    <m/>
    <x v="24"/>
    <m/>
    <x v="3"/>
    <x v="0"/>
    <x v="281"/>
    <d v="2012-05-06T00:00:00"/>
    <x v="4"/>
    <x v="1"/>
    <s v="Competição Nacional Curtas 2 "/>
    <s v="Observatório Curtas 1"/>
    <x v="0"/>
    <x v="0"/>
    <m/>
    <x v="0"/>
    <x v="4"/>
    <x v="1115"/>
    <x v="3"/>
    <x v="0"/>
    <x v="1"/>
    <x v="281"/>
    <x v="2724"/>
  </r>
  <r>
    <x v="1"/>
    <n v="406"/>
    <x v="1111"/>
    <x v="2"/>
    <s v="CM"/>
    <s v="N"/>
    <x v="517"/>
    <x v="41"/>
    <x v="22"/>
    <m/>
    <x v="22"/>
    <m/>
    <x v="3"/>
    <x v="0"/>
    <x v="251"/>
    <d v="2012-11-18T00:00:00"/>
    <x v="13"/>
    <x v="1"/>
    <s v="Secção Competitiva"/>
    <m/>
    <x v="0"/>
    <x v="0"/>
    <m/>
    <x v="0"/>
    <x v="4"/>
    <x v="1115"/>
    <x v="3"/>
    <x v="0"/>
    <x v="1"/>
    <x v="251"/>
    <x v="2725"/>
  </r>
  <r>
    <x v="1"/>
    <n v="407"/>
    <x v="1112"/>
    <x v="0"/>
    <s v="CM"/>
    <s v="N"/>
    <x v="352"/>
    <x v="41"/>
    <x v="68"/>
    <m/>
    <x v="53"/>
    <m/>
    <x v="3"/>
    <x v="0"/>
    <x v="253"/>
    <d v="2012-07-15T00:00:00"/>
    <x v="8"/>
    <x v="1"/>
    <s v="Take One!"/>
    <m/>
    <x v="6"/>
    <x v="0"/>
    <m/>
    <x v="1"/>
    <x v="0"/>
    <x v="1116"/>
    <x v="3"/>
    <x v="327"/>
    <x v="1"/>
    <x v="253"/>
    <x v="2726"/>
  </r>
  <r>
    <x v="1"/>
    <n v="407"/>
    <x v="1112"/>
    <x v="0"/>
    <s v="CM"/>
    <s v="N"/>
    <x v="352"/>
    <x v="41"/>
    <x v="22"/>
    <m/>
    <x v="22"/>
    <m/>
    <x v="3"/>
    <x v="0"/>
    <x v="251"/>
    <d v="2012-11-18T00:00:00"/>
    <x v="13"/>
    <x v="1"/>
    <s v="Ensaios Visuais"/>
    <m/>
    <x v="6"/>
    <x v="0"/>
    <m/>
    <x v="1"/>
    <x v="0"/>
    <x v="1116"/>
    <x v="3"/>
    <x v="328"/>
    <x v="1"/>
    <x v="251"/>
    <x v="2727"/>
  </r>
  <r>
    <x v="1"/>
    <n v="1489"/>
    <x v="1113"/>
    <x v="0"/>
    <s v="CM"/>
    <s v="N"/>
    <x v="265"/>
    <x v="3"/>
    <x v="22"/>
    <m/>
    <x v="22"/>
    <m/>
    <x v="3"/>
    <x v="0"/>
    <x v="251"/>
    <d v="2012-11-18T00:00:00"/>
    <x v="13"/>
    <x v="1"/>
    <s v="Secção Competitiva"/>
    <m/>
    <x v="0"/>
    <x v="0"/>
    <m/>
    <x v="0"/>
    <x v="0"/>
    <x v="1117"/>
    <x v="3"/>
    <x v="0"/>
    <x v="1"/>
    <x v="251"/>
    <x v="2728"/>
  </r>
  <r>
    <x v="1"/>
    <n v="1489"/>
    <x v="1113"/>
    <x v="0"/>
    <s v="CM"/>
    <s v="N"/>
    <x v="265"/>
    <x v="3"/>
    <x v="620"/>
    <m/>
    <x v="139"/>
    <m/>
    <x v="10"/>
    <x v="0"/>
    <x v="282"/>
    <m/>
    <x v="13"/>
    <x v="1"/>
    <s v="Foreign Section"/>
    <m/>
    <x v="0"/>
    <x v="0"/>
    <m/>
    <x v="0"/>
    <x v="0"/>
    <x v="1117"/>
    <x v="10"/>
    <x v="0"/>
    <x v="0"/>
    <x v="282"/>
    <x v="2729"/>
  </r>
  <r>
    <x v="1"/>
    <n v="410"/>
    <x v="289"/>
    <x v="2"/>
    <s v="Série"/>
    <s v="S"/>
    <x v="73"/>
    <x v="5"/>
    <x v="621"/>
    <m/>
    <x v="212"/>
    <m/>
    <x v="9"/>
    <x v="0"/>
    <x v="271"/>
    <d v="2012-02-05T00:00:00"/>
    <x v="18"/>
    <x v="0"/>
    <m/>
    <s v="Touch my Heart: Gentle Films on the Big Screen"/>
    <x v="0"/>
    <x v="0"/>
    <m/>
    <x v="0"/>
    <x v="9"/>
    <x v="291"/>
    <x v="9"/>
    <x v="0"/>
    <x v="0"/>
    <x v="271"/>
    <x v="2730"/>
  </r>
  <r>
    <x v="1"/>
    <n v="410"/>
    <x v="289"/>
    <x v="2"/>
    <s v="Série"/>
    <s v="S"/>
    <x v="73"/>
    <x v="5"/>
    <x v="426"/>
    <m/>
    <x v="274"/>
    <m/>
    <x v="9"/>
    <x v="0"/>
    <x v="258"/>
    <d v="2012-02-21T00:00:00"/>
    <x v="1"/>
    <x v="0"/>
    <m/>
    <s v="Your Shorts are showin'"/>
    <x v="0"/>
    <x v="0"/>
    <m/>
    <x v="0"/>
    <x v="9"/>
    <x v="291"/>
    <x v="9"/>
    <x v="0"/>
    <x v="0"/>
    <x v="258"/>
    <x v="2731"/>
  </r>
  <r>
    <x v="1"/>
    <n v="410"/>
    <x v="289"/>
    <x v="2"/>
    <s v="Série"/>
    <s v="S"/>
    <x v="73"/>
    <x v="5"/>
    <x v="358"/>
    <m/>
    <x v="240"/>
    <m/>
    <x v="58"/>
    <x v="0"/>
    <x v="409"/>
    <d v="2012-02-26T00:00:00"/>
    <x v="1"/>
    <x v="1"/>
    <s v="Compétition Internationale courts Métrages enfants "/>
    <m/>
    <x v="276"/>
    <x v="0"/>
    <m/>
    <x v="1"/>
    <x v="9"/>
    <x v="291"/>
    <x v="58"/>
    <x v="329"/>
    <x v="0"/>
    <x v="409"/>
    <x v="2732"/>
  </r>
  <r>
    <x v="1"/>
    <n v="410"/>
    <x v="289"/>
    <x v="2"/>
    <s v="Série"/>
    <s v="S"/>
    <x v="73"/>
    <x v="5"/>
    <x v="62"/>
    <m/>
    <x v="23"/>
    <m/>
    <x v="3"/>
    <x v="0"/>
    <x v="302"/>
    <d v="2012-03-04T00:00:00"/>
    <x v="19"/>
    <x v="0"/>
    <m/>
    <s v="Panorama do Cinema Português - Casa da Animação"/>
    <x v="0"/>
    <x v="0"/>
    <m/>
    <x v="0"/>
    <x v="9"/>
    <x v="291"/>
    <x v="3"/>
    <x v="0"/>
    <x v="1"/>
    <x v="302"/>
    <x v="2733"/>
  </r>
  <r>
    <x v="1"/>
    <n v="410"/>
    <x v="289"/>
    <x v="2"/>
    <s v="Série"/>
    <s v="S"/>
    <x v="73"/>
    <x v="5"/>
    <x v="622"/>
    <m/>
    <x v="65"/>
    <m/>
    <x v="9"/>
    <x v="0"/>
    <x v="344"/>
    <d v="2012-03-25T00:00:00"/>
    <x v="2"/>
    <x v="1"/>
    <m/>
    <m/>
    <x v="0"/>
    <x v="0"/>
    <m/>
    <x v="0"/>
    <x v="9"/>
    <x v="291"/>
    <x v="9"/>
    <x v="0"/>
    <x v="0"/>
    <x v="344"/>
    <x v="2734"/>
  </r>
  <r>
    <x v="1"/>
    <n v="410"/>
    <x v="289"/>
    <x v="2"/>
    <s v="Série"/>
    <s v="S"/>
    <x v="73"/>
    <x v="5"/>
    <x v="26"/>
    <m/>
    <x v="24"/>
    <m/>
    <x v="3"/>
    <x v="0"/>
    <x v="268"/>
    <d v="2012-03-25T00:00:00"/>
    <x v="2"/>
    <x v="1"/>
    <s v="Competição Internacional 5"/>
    <m/>
    <x v="277"/>
    <x v="0"/>
    <m/>
    <x v="1"/>
    <x v="9"/>
    <x v="291"/>
    <x v="3"/>
    <x v="330"/>
    <x v="1"/>
    <x v="268"/>
    <x v="2735"/>
  </r>
  <r>
    <x v="1"/>
    <n v="410"/>
    <x v="289"/>
    <x v="2"/>
    <s v="Série"/>
    <s v="S"/>
    <x v="73"/>
    <x v="5"/>
    <x v="488"/>
    <m/>
    <x v="296"/>
    <m/>
    <x v="1"/>
    <x v="0"/>
    <x v="329"/>
    <d v="2012-04-14T00:00:00"/>
    <x v="5"/>
    <x v="1"/>
    <s v="Competición de Cortometrajes educativos"/>
    <m/>
    <x v="0"/>
    <x v="0"/>
    <m/>
    <x v="0"/>
    <x v="9"/>
    <x v="291"/>
    <x v="1"/>
    <x v="0"/>
    <x v="0"/>
    <x v="329"/>
    <x v="2736"/>
  </r>
  <r>
    <x v="1"/>
    <n v="410"/>
    <x v="289"/>
    <x v="2"/>
    <s v="Série"/>
    <s v="S"/>
    <x v="73"/>
    <x v="5"/>
    <x v="623"/>
    <m/>
    <x v="336"/>
    <m/>
    <x v="2"/>
    <x v="0"/>
    <x v="363"/>
    <d v="2012-04-17T00:00:00"/>
    <x v="5"/>
    <x v="1"/>
    <m/>
    <m/>
    <x v="0"/>
    <x v="0"/>
    <m/>
    <x v="0"/>
    <x v="9"/>
    <x v="291"/>
    <x v="2"/>
    <x v="0"/>
    <x v="0"/>
    <x v="363"/>
    <x v="2737"/>
  </r>
  <r>
    <x v="1"/>
    <n v="410"/>
    <x v="289"/>
    <x v="2"/>
    <s v="Série"/>
    <s v="S"/>
    <x v="73"/>
    <x v="5"/>
    <x v="590"/>
    <m/>
    <x v="328"/>
    <m/>
    <x v="11"/>
    <x v="0"/>
    <x v="281"/>
    <d v="2012-05-01T00:00:00"/>
    <x v="4"/>
    <x v="1"/>
    <s v="TV Film and Series"/>
    <m/>
    <x v="278"/>
    <x v="0"/>
    <m/>
    <x v="1"/>
    <x v="9"/>
    <x v="291"/>
    <x v="11"/>
    <x v="331"/>
    <x v="0"/>
    <x v="281"/>
    <x v="2738"/>
  </r>
  <r>
    <x v="1"/>
    <n v="410"/>
    <x v="289"/>
    <x v="2"/>
    <s v="Série"/>
    <s v="S"/>
    <x v="73"/>
    <x v="5"/>
    <x v="624"/>
    <m/>
    <x v="337"/>
    <m/>
    <x v="5"/>
    <x v="0"/>
    <x v="360"/>
    <d v="2012-05-13T00:00:00"/>
    <x v="6"/>
    <x v="1"/>
    <s v="Tricks for Kids - Kurzfilm-Wettbewerb: Programm 1 ab 4 Jahre"/>
    <m/>
    <x v="0"/>
    <x v="0"/>
    <m/>
    <x v="0"/>
    <x v="9"/>
    <x v="291"/>
    <x v="5"/>
    <x v="0"/>
    <x v="0"/>
    <x v="360"/>
    <x v="2739"/>
  </r>
  <r>
    <x v="1"/>
    <n v="410"/>
    <x v="289"/>
    <x v="2"/>
    <s v="Série"/>
    <s v="S"/>
    <x v="73"/>
    <x v="5"/>
    <x v="27"/>
    <m/>
    <x v="25"/>
    <m/>
    <x v="3"/>
    <x v="0"/>
    <x v="307"/>
    <d v="2012-11-18T00:00:00"/>
    <x v="13"/>
    <x v="0"/>
    <m/>
    <s v="Ilustração e Animação"/>
    <x v="0"/>
    <x v="0"/>
    <m/>
    <x v="0"/>
    <x v="9"/>
    <x v="291"/>
    <x v="3"/>
    <x v="0"/>
    <x v="1"/>
    <x v="307"/>
    <x v="2740"/>
  </r>
  <r>
    <x v="1"/>
    <n v="410"/>
    <x v="289"/>
    <x v="2"/>
    <s v="Série"/>
    <s v="S"/>
    <x v="73"/>
    <x v="5"/>
    <x v="625"/>
    <m/>
    <x v="174"/>
    <m/>
    <x v="1"/>
    <x v="0"/>
    <x v="282"/>
    <d v="2012-11-25T00:00:00"/>
    <x v="13"/>
    <x v="0"/>
    <m/>
    <s v="Cine + menuts"/>
    <x v="0"/>
    <x v="0"/>
    <m/>
    <x v="0"/>
    <x v="9"/>
    <x v="291"/>
    <x v="1"/>
    <x v="0"/>
    <x v="0"/>
    <x v="282"/>
    <x v="2741"/>
  </r>
  <r>
    <x v="1"/>
    <n v="411"/>
    <x v="290"/>
    <x v="2"/>
    <s v="CM"/>
    <s v="S"/>
    <x v="248"/>
    <x v="12"/>
    <x v="27"/>
    <m/>
    <x v="25"/>
    <m/>
    <x v="3"/>
    <x v="0"/>
    <x v="307"/>
    <d v="2012-11-18T00:00:00"/>
    <x v="13"/>
    <x v="0"/>
    <m/>
    <s v="Ilustração e Animação"/>
    <x v="0"/>
    <x v="0"/>
    <m/>
    <x v="0"/>
    <x v="4"/>
    <x v="292"/>
    <x v="3"/>
    <x v="0"/>
    <x v="1"/>
    <x v="307"/>
    <x v="2742"/>
  </r>
  <r>
    <x v="1"/>
    <n v="412"/>
    <x v="1114"/>
    <x v="0"/>
    <s v="CM"/>
    <s v="N"/>
    <x v="751"/>
    <x v="2"/>
    <x v="626"/>
    <m/>
    <x v="338"/>
    <m/>
    <x v="3"/>
    <x v="0"/>
    <x v="404"/>
    <m/>
    <x v="2"/>
    <x v="1"/>
    <m/>
    <m/>
    <x v="279"/>
    <x v="0"/>
    <m/>
    <x v="1"/>
    <x v="0"/>
    <x v="1118"/>
    <x v="3"/>
    <x v="332"/>
    <x v="1"/>
    <x v="404"/>
    <x v="2743"/>
  </r>
  <r>
    <x v="1"/>
    <n v="1684"/>
    <x v="1115"/>
    <x v="1"/>
    <s v="CM"/>
    <s v="N"/>
    <x v="752"/>
    <x v="41"/>
    <x v="459"/>
    <m/>
    <x v="287"/>
    <m/>
    <x v="3"/>
    <x v="0"/>
    <x v="267"/>
    <m/>
    <x v="13"/>
    <x v="1"/>
    <m/>
    <m/>
    <x v="0"/>
    <x v="2"/>
    <m/>
    <x v="0"/>
    <x v="2"/>
    <x v="1119"/>
    <x v="3"/>
    <x v="0"/>
    <x v="1"/>
    <x v="267"/>
    <x v="2744"/>
  </r>
  <r>
    <x v="1"/>
    <n v="415"/>
    <x v="292"/>
    <x v="1"/>
    <s v="CM"/>
    <s v="N"/>
    <x v="250"/>
    <x v="3"/>
    <x v="353"/>
    <m/>
    <x v="237"/>
    <m/>
    <x v="17"/>
    <x v="0"/>
    <x v="377"/>
    <d v="2012-09-23T00:00:00"/>
    <x v="9"/>
    <x v="1"/>
    <s v="Brief Encounters Competition - INT 6: Take me Out"/>
    <m/>
    <x v="0"/>
    <x v="0"/>
    <m/>
    <x v="0"/>
    <x v="2"/>
    <x v="294"/>
    <x v="17"/>
    <x v="0"/>
    <x v="0"/>
    <x v="377"/>
    <x v="2745"/>
  </r>
  <r>
    <x v="1"/>
    <n v="1532"/>
    <x v="1116"/>
    <x v="0"/>
    <s v="LM"/>
    <s v="N"/>
    <x v="105"/>
    <x v="44"/>
    <x v="627"/>
    <m/>
    <x v="24"/>
    <m/>
    <x v="3"/>
    <x v="0"/>
    <x v="284"/>
    <m/>
    <x v="13"/>
    <x v="0"/>
    <s v="Categoria: Carreira"/>
    <m/>
    <x v="280"/>
    <x v="2"/>
    <m/>
    <x v="1"/>
    <x v="5"/>
    <x v="1120"/>
    <x v="3"/>
    <x v="333"/>
    <x v="1"/>
    <x v="284"/>
    <x v="2746"/>
  </r>
  <r>
    <x v="1"/>
    <n v="1335"/>
    <x v="1117"/>
    <x v="2"/>
    <s v="CM"/>
    <s v="N"/>
    <x v="753"/>
    <x v="3"/>
    <x v="220"/>
    <m/>
    <x v="154"/>
    <m/>
    <x v="0"/>
    <x v="0"/>
    <x v="333"/>
    <d v="2012-07-29T00:00:00"/>
    <x v="8"/>
    <x v="0"/>
    <m/>
    <s v="Futuro Animador: Crianças e Adolescentes"/>
    <x v="0"/>
    <x v="0"/>
    <m/>
    <x v="0"/>
    <x v="4"/>
    <x v="1121"/>
    <x v="0"/>
    <x v="0"/>
    <x v="0"/>
    <x v="333"/>
    <x v="2747"/>
  </r>
  <r>
    <x v="1"/>
    <n v="1335"/>
    <x v="1117"/>
    <x v="2"/>
    <s v="CM"/>
    <s v="N"/>
    <x v="753"/>
    <x v="3"/>
    <x v="532"/>
    <m/>
    <x v="134"/>
    <m/>
    <x v="41"/>
    <x v="0"/>
    <x v="295"/>
    <d v="2012-10-28T00:00:00"/>
    <x v="14"/>
    <x v="1"/>
    <s v="Films made by children: Fun and Playful"/>
    <m/>
    <x v="0"/>
    <x v="0"/>
    <m/>
    <x v="0"/>
    <x v="4"/>
    <x v="1121"/>
    <x v="41"/>
    <x v="0"/>
    <x v="0"/>
    <x v="295"/>
    <x v="2748"/>
  </r>
  <r>
    <x v="1"/>
    <n v="1870"/>
    <x v="1118"/>
    <x v="1"/>
    <s v="CM"/>
    <s v="N"/>
    <x v="754"/>
    <x v="3"/>
    <x v="628"/>
    <m/>
    <x v="24"/>
    <m/>
    <x v="3"/>
    <x v="0"/>
    <x v="410"/>
    <m/>
    <x v="14"/>
    <x v="0"/>
    <m/>
    <m/>
    <x v="0"/>
    <x v="1"/>
    <m/>
    <x v="0"/>
    <x v="2"/>
    <x v="1122"/>
    <x v="3"/>
    <x v="0"/>
    <x v="1"/>
    <x v="410"/>
    <x v="2749"/>
  </r>
  <r>
    <x v="1"/>
    <n v="416"/>
    <x v="1119"/>
    <x v="0"/>
    <s v="LM"/>
    <s v="S"/>
    <x v="26"/>
    <x v="15"/>
    <x v="547"/>
    <m/>
    <x v="22"/>
    <m/>
    <x v="3"/>
    <x v="0"/>
    <x v="313"/>
    <d v="2012-05-30T00:00:00"/>
    <x v="4"/>
    <x v="0"/>
    <m/>
    <m/>
    <x v="0"/>
    <x v="1"/>
    <m/>
    <x v="0"/>
    <x v="5"/>
    <x v="1123"/>
    <x v="3"/>
    <x v="0"/>
    <x v="1"/>
    <x v="313"/>
    <x v="2750"/>
  </r>
  <r>
    <x v="1"/>
    <n v="417"/>
    <x v="293"/>
    <x v="1"/>
    <s v="CM"/>
    <s v="N"/>
    <x v="20"/>
    <x v="23"/>
    <x v="519"/>
    <m/>
    <x v="24"/>
    <m/>
    <x v="3"/>
    <x v="0"/>
    <x v="319"/>
    <d v="2012-04-21T00:00:00"/>
    <x v="5"/>
    <x v="0"/>
    <m/>
    <m/>
    <x v="0"/>
    <x v="1"/>
    <m/>
    <x v="0"/>
    <x v="2"/>
    <x v="295"/>
    <x v="3"/>
    <x v="0"/>
    <x v="1"/>
    <x v="319"/>
    <x v="2751"/>
  </r>
  <r>
    <x v="1"/>
    <n v="418"/>
    <x v="294"/>
    <x v="0"/>
    <s v="CM"/>
    <s v="N"/>
    <x v="251"/>
    <x v="3"/>
    <x v="431"/>
    <m/>
    <x v="277"/>
    <m/>
    <x v="14"/>
    <x v="0"/>
    <x v="243"/>
    <d v="2012-06-02T00:00:00"/>
    <x v="7"/>
    <x v="0"/>
    <m/>
    <m/>
    <x v="0"/>
    <x v="0"/>
    <m/>
    <x v="0"/>
    <x v="0"/>
    <x v="296"/>
    <x v="14"/>
    <x v="0"/>
    <x v="0"/>
    <x v="243"/>
    <x v="2752"/>
  </r>
  <r>
    <x v="1"/>
    <n v="418"/>
    <x v="294"/>
    <x v="0"/>
    <s v="CM"/>
    <s v="N"/>
    <x v="251"/>
    <x v="3"/>
    <x v="497"/>
    <m/>
    <x v="302"/>
    <m/>
    <x v="9"/>
    <x v="0"/>
    <x v="345"/>
    <d v="2012-06-25T00:00:00"/>
    <x v="7"/>
    <x v="1"/>
    <s v="Unintended Consequences"/>
    <m/>
    <x v="0"/>
    <x v="0"/>
    <m/>
    <x v="0"/>
    <x v="0"/>
    <x v="296"/>
    <x v="9"/>
    <x v="0"/>
    <x v="0"/>
    <x v="345"/>
    <x v="2753"/>
  </r>
  <r>
    <x v="1"/>
    <n v="418"/>
    <x v="294"/>
    <x v="0"/>
    <s v="CM"/>
    <s v="N"/>
    <x v="251"/>
    <x v="3"/>
    <x v="629"/>
    <m/>
    <x v="143"/>
    <m/>
    <x v="43"/>
    <x v="0"/>
    <x v="411"/>
    <d v="2012-10-28T00:00:00"/>
    <x v="14"/>
    <x v="1"/>
    <s v="International Competition: Short Films"/>
    <m/>
    <x v="0"/>
    <x v="0"/>
    <m/>
    <x v="0"/>
    <x v="0"/>
    <x v="296"/>
    <x v="43"/>
    <x v="0"/>
    <x v="0"/>
    <x v="411"/>
    <x v="2754"/>
  </r>
  <r>
    <x v="1"/>
    <n v="418"/>
    <x v="294"/>
    <x v="0"/>
    <s v="CM"/>
    <s v="N"/>
    <x v="251"/>
    <x v="3"/>
    <x v="448"/>
    <m/>
    <x v="59"/>
    <m/>
    <x v="3"/>
    <x v="0"/>
    <x v="289"/>
    <d v="2012-12-02T00:00:00"/>
    <x v="11"/>
    <x v="1"/>
    <s v="Competição Nacional"/>
    <m/>
    <x v="0"/>
    <x v="0"/>
    <m/>
    <x v="0"/>
    <x v="0"/>
    <x v="296"/>
    <x v="3"/>
    <x v="0"/>
    <x v="1"/>
    <x v="289"/>
    <x v="2755"/>
  </r>
  <r>
    <x v="1"/>
    <n v="419"/>
    <x v="295"/>
    <x v="1"/>
    <s v="CM"/>
    <s v="N"/>
    <x v="755"/>
    <x v="41"/>
    <x v="424"/>
    <m/>
    <x v="24"/>
    <m/>
    <x v="3"/>
    <x v="0"/>
    <x v="255"/>
    <d v="2012-06-17T00:00:00"/>
    <x v="7"/>
    <x v="1"/>
    <s v="Curta Metragem"/>
    <m/>
    <x v="7"/>
    <x v="0"/>
    <m/>
    <x v="1"/>
    <x v="2"/>
    <x v="1124"/>
    <x v="3"/>
    <x v="163"/>
    <x v="1"/>
    <x v="255"/>
    <x v="2756"/>
  </r>
  <r>
    <x v="1"/>
    <n v="419"/>
    <x v="295"/>
    <x v="1"/>
    <s v="CM"/>
    <s v="N"/>
    <x v="755"/>
    <x v="41"/>
    <x v="581"/>
    <m/>
    <x v="213"/>
    <m/>
    <x v="8"/>
    <x v="0"/>
    <x v="379"/>
    <d v="2012-11-25T00:00:00"/>
    <x v="13"/>
    <x v="0"/>
    <m/>
    <s v="Kids &amp; Docs"/>
    <x v="0"/>
    <x v="0"/>
    <m/>
    <x v="0"/>
    <x v="2"/>
    <x v="1124"/>
    <x v="8"/>
    <x v="0"/>
    <x v="0"/>
    <x v="379"/>
    <x v="2757"/>
  </r>
  <r>
    <x v="1"/>
    <n v="1607"/>
    <x v="1120"/>
    <x v="0"/>
    <s v="CM"/>
    <s v="N"/>
    <x v="756"/>
    <x v="41"/>
    <x v="630"/>
    <m/>
    <x v="339"/>
    <m/>
    <x v="3"/>
    <x v="0"/>
    <x v="341"/>
    <d v="2012-11-03T00:00:00"/>
    <x v="13"/>
    <x v="1"/>
    <s v="Geral"/>
    <m/>
    <x v="0"/>
    <x v="1"/>
    <m/>
    <x v="0"/>
    <x v="0"/>
    <x v="1125"/>
    <x v="3"/>
    <x v="0"/>
    <x v="1"/>
    <x v="341"/>
    <x v="2758"/>
  </r>
  <r>
    <x v="1"/>
    <n v="1607"/>
    <x v="1120"/>
    <x v="0"/>
    <s v="CM"/>
    <s v="N"/>
    <x v="756"/>
    <x v="41"/>
    <x v="22"/>
    <m/>
    <x v="22"/>
    <m/>
    <x v="3"/>
    <x v="0"/>
    <x v="251"/>
    <d v="2012-11-18T00:00:00"/>
    <x v="13"/>
    <x v="1"/>
    <s v="Ensaios Visuais"/>
    <m/>
    <x v="0"/>
    <x v="0"/>
    <m/>
    <x v="0"/>
    <x v="0"/>
    <x v="1125"/>
    <x v="3"/>
    <x v="0"/>
    <x v="1"/>
    <x v="251"/>
    <x v="2759"/>
  </r>
  <r>
    <x v="1"/>
    <n v="426"/>
    <x v="1121"/>
    <x v="0"/>
    <s v="CM"/>
    <s v="N"/>
    <x v="120"/>
    <x v="2"/>
    <x v="553"/>
    <m/>
    <x v="17"/>
    <m/>
    <x v="2"/>
    <x v="0"/>
    <x v="352"/>
    <d v="2012-02-12T00:00:00"/>
    <x v="18"/>
    <x v="0"/>
    <m/>
    <s v="Cartes Blanches Festivals: INDIELISBOA"/>
    <x v="0"/>
    <x v="0"/>
    <m/>
    <x v="0"/>
    <x v="0"/>
    <x v="1126"/>
    <x v="2"/>
    <x v="0"/>
    <x v="0"/>
    <x v="352"/>
    <x v="2760"/>
  </r>
  <r>
    <x v="1"/>
    <n v="429"/>
    <x v="1122"/>
    <x v="0"/>
    <s v="LM"/>
    <s v="N"/>
    <x v="757"/>
    <x v="2"/>
    <x v="450"/>
    <m/>
    <x v="24"/>
    <m/>
    <x v="3"/>
    <x v="0"/>
    <x v="412"/>
    <m/>
    <x v="2"/>
    <x v="0"/>
    <m/>
    <m/>
    <x v="0"/>
    <x v="1"/>
    <m/>
    <x v="0"/>
    <x v="5"/>
    <x v="1127"/>
    <x v="3"/>
    <x v="0"/>
    <x v="1"/>
    <x v="412"/>
    <x v="2761"/>
  </r>
  <r>
    <x v="1"/>
    <n v="429"/>
    <x v="1122"/>
    <x v="0"/>
    <s v="LM"/>
    <s v="N"/>
    <x v="757"/>
    <x v="2"/>
    <x v="63"/>
    <m/>
    <x v="24"/>
    <m/>
    <x v="3"/>
    <x v="0"/>
    <x v="274"/>
    <d v="2012-05-16T00:00:00"/>
    <x v="6"/>
    <x v="1"/>
    <s v="Competição Longas Metragens"/>
    <m/>
    <x v="281"/>
    <x v="0"/>
    <m/>
    <x v="1"/>
    <x v="5"/>
    <x v="1127"/>
    <x v="3"/>
    <x v="334"/>
    <x v="1"/>
    <x v="274"/>
    <x v="2762"/>
  </r>
  <r>
    <x v="1"/>
    <n v="429"/>
    <x v="1122"/>
    <x v="0"/>
    <s v="LM"/>
    <s v="N"/>
    <x v="757"/>
    <x v="2"/>
    <x v="70"/>
    <m/>
    <x v="38"/>
    <m/>
    <x v="3"/>
    <x v="0"/>
    <x v="349"/>
    <d v="2012-09-16T00:00:00"/>
    <x v="9"/>
    <x v="1"/>
    <m/>
    <m/>
    <x v="0"/>
    <x v="0"/>
    <m/>
    <x v="0"/>
    <x v="5"/>
    <x v="1127"/>
    <x v="3"/>
    <x v="0"/>
    <x v="1"/>
    <x v="349"/>
    <x v="2763"/>
  </r>
  <r>
    <x v="1"/>
    <n v="429"/>
    <x v="1122"/>
    <x v="0"/>
    <s v="LM"/>
    <s v="N"/>
    <x v="757"/>
    <x v="2"/>
    <x v="450"/>
    <m/>
    <x v="24"/>
    <m/>
    <x v="3"/>
    <x v="0"/>
    <x v="257"/>
    <m/>
    <x v="9"/>
    <x v="0"/>
    <m/>
    <m/>
    <x v="0"/>
    <x v="1"/>
    <m/>
    <x v="0"/>
    <x v="5"/>
    <x v="1127"/>
    <x v="3"/>
    <x v="0"/>
    <x v="1"/>
    <x v="257"/>
    <x v="2764"/>
  </r>
  <r>
    <x v="1"/>
    <n v="430"/>
    <x v="1123"/>
    <x v="0"/>
    <s v="CM"/>
    <s v=""/>
    <x v="758"/>
    <x v="2"/>
    <x v="554"/>
    <m/>
    <x v="24"/>
    <m/>
    <x v="3"/>
    <x v="0"/>
    <x v="232"/>
    <m/>
    <x v="5"/>
    <x v="1"/>
    <m/>
    <m/>
    <x v="0"/>
    <x v="1"/>
    <m/>
    <x v="0"/>
    <x v="0"/>
    <x v="1128"/>
    <x v="3"/>
    <x v="0"/>
    <x v="1"/>
    <x v="232"/>
    <x v="2765"/>
  </r>
  <r>
    <x v="1"/>
    <n v="431"/>
    <x v="303"/>
    <x v="1"/>
    <s v="LM"/>
    <s v="N"/>
    <x v="259"/>
    <x v="3"/>
    <x v="521"/>
    <m/>
    <x v="65"/>
    <m/>
    <x v="9"/>
    <x v="0"/>
    <x v="361"/>
    <d v="2012-01-15T00:00:00"/>
    <x v="15"/>
    <x v="0"/>
    <m/>
    <m/>
    <x v="0"/>
    <x v="1"/>
    <m/>
    <x v="0"/>
    <x v="1"/>
    <x v="305"/>
    <x v="9"/>
    <x v="0"/>
    <x v="0"/>
    <x v="361"/>
    <x v="2766"/>
  </r>
  <r>
    <x v="1"/>
    <n v="431"/>
    <x v="303"/>
    <x v="1"/>
    <s v="LM"/>
    <s v="N"/>
    <x v="259"/>
    <x v="3"/>
    <x v="573"/>
    <m/>
    <x v="134"/>
    <m/>
    <x v="41"/>
    <x v="0"/>
    <x v="256"/>
    <d v="2012-03-29T00:00:00"/>
    <x v="2"/>
    <x v="0"/>
    <m/>
    <s v="Actual Documentary"/>
    <x v="0"/>
    <x v="0"/>
    <m/>
    <x v="0"/>
    <x v="1"/>
    <x v="305"/>
    <x v="41"/>
    <x v="0"/>
    <x v="0"/>
    <x v="256"/>
    <x v="2767"/>
  </r>
  <r>
    <x v="1"/>
    <n v="431"/>
    <x v="303"/>
    <x v="1"/>
    <s v="LM"/>
    <s v="N"/>
    <x v="259"/>
    <x v="3"/>
    <x v="631"/>
    <m/>
    <x v="133"/>
    <m/>
    <x v="0"/>
    <x v="0"/>
    <x v="323"/>
    <d v="2012-04-01T00:00:00"/>
    <x v="3"/>
    <x v="1"/>
    <s v="Competição Internacional"/>
    <m/>
    <x v="0"/>
    <x v="0"/>
    <m/>
    <x v="0"/>
    <x v="1"/>
    <x v="305"/>
    <x v="0"/>
    <x v="0"/>
    <x v="0"/>
    <x v="323"/>
    <x v="2768"/>
  </r>
  <r>
    <x v="1"/>
    <n v="431"/>
    <x v="303"/>
    <x v="1"/>
    <s v="LM"/>
    <s v="N"/>
    <x v="259"/>
    <x v="3"/>
    <x v="91"/>
    <m/>
    <x v="70"/>
    <m/>
    <x v="18"/>
    <x v="0"/>
    <x v="362"/>
    <d v="2012-04-26T00:00:00"/>
    <x v="5"/>
    <x v="1"/>
    <s v="International Competition"/>
    <m/>
    <x v="0"/>
    <x v="0"/>
    <m/>
    <x v="0"/>
    <x v="1"/>
    <x v="305"/>
    <x v="18"/>
    <x v="0"/>
    <x v="0"/>
    <x v="362"/>
    <x v="2769"/>
  </r>
  <r>
    <x v="1"/>
    <n v="431"/>
    <x v="303"/>
    <x v="1"/>
    <s v="LM"/>
    <s v="N"/>
    <x v="259"/>
    <x v="3"/>
    <x v="522"/>
    <m/>
    <x v="165"/>
    <m/>
    <x v="4"/>
    <x v="0"/>
    <x v="363"/>
    <d v="2012-04-22T00:00:00"/>
    <x v="5"/>
    <x v="0"/>
    <m/>
    <m/>
    <x v="0"/>
    <x v="0"/>
    <m/>
    <x v="0"/>
    <x v="1"/>
    <x v="305"/>
    <x v="4"/>
    <x v="0"/>
    <x v="0"/>
    <x v="363"/>
    <x v="2770"/>
  </r>
  <r>
    <x v="1"/>
    <n v="431"/>
    <x v="303"/>
    <x v="1"/>
    <s v="LM"/>
    <s v="N"/>
    <x v="259"/>
    <x v="3"/>
    <x v="432"/>
    <m/>
    <x v="39"/>
    <m/>
    <x v="3"/>
    <x v="0"/>
    <x v="265"/>
    <d v="2012-04-21T00:00:00"/>
    <x v="5"/>
    <x v="0"/>
    <m/>
    <s v="Sessão Especial"/>
    <x v="0"/>
    <x v="0"/>
    <m/>
    <x v="0"/>
    <x v="1"/>
    <x v="305"/>
    <x v="3"/>
    <x v="0"/>
    <x v="1"/>
    <x v="265"/>
    <x v="2771"/>
  </r>
  <r>
    <x v="1"/>
    <n v="431"/>
    <x v="303"/>
    <x v="1"/>
    <s v="LM"/>
    <s v="N"/>
    <x v="259"/>
    <x v="3"/>
    <x v="632"/>
    <m/>
    <x v="15"/>
    <m/>
    <x v="3"/>
    <x v="0"/>
    <x v="321"/>
    <d v="2012-05-08T00:00:00"/>
    <x v="4"/>
    <x v="0"/>
    <m/>
    <m/>
    <x v="0"/>
    <x v="1"/>
    <m/>
    <x v="0"/>
    <x v="1"/>
    <x v="305"/>
    <x v="3"/>
    <x v="0"/>
    <x v="1"/>
    <x v="321"/>
    <x v="2772"/>
  </r>
  <r>
    <x v="1"/>
    <n v="431"/>
    <x v="303"/>
    <x v="1"/>
    <s v="LM"/>
    <s v="N"/>
    <x v="259"/>
    <x v="3"/>
    <x v="574"/>
    <m/>
    <x v="322"/>
    <m/>
    <x v="9"/>
    <x v="0"/>
    <x v="358"/>
    <d v="2012-05-03T00:00:00"/>
    <x v="4"/>
    <x v="1"/>
    <s v="Golden Gate Awards Documentary Feature Competition"/>
    <m/>
    <x v="282"/>
    <x v="0"/>
    <m/>
    <x v="1"/>
    <x v="1"/>
    <x v="305"/>
    <x v="9"/>
    <x v="335"/>
    <x v="0"/>
    <x v="358"/>
    <x v="2773"/>
  </r>
  <r>
    <x v="1"/>
    <n v="431"/>
    <x v="303"/>
    <x v="1"/>
    <s v="LM"/>
    <s v="N"/>
    <x v="259"/>
    <x v="3"/>
    <x v="377"/>
    <m/>
    <x v="16"/>
    <m/>
    <x v="1"/>
    <x v="0"/>
    <x v="324"/>
    <d v="2012-05-13T00:00:00"/>
    <x v="6"/>
    <x v="1"/>
    <s v="Competición Internacional  - Largometraje de creación"/>
    <m/>
    <x v="283"/>
    <x v="0"/>
    <m/>
    <x v="1"/>
    <x v="1"/>
    <x v="305"/>
    <x v="1"/>
    <x v="336"/>
    <x v="0"/>
    <x v="324"/>
    <x v="2774"/>
  </r>
  <r>
    <x v="1"/>
    <n v="431"/>
    <x v="303"/>
    <x v="1"/>
    <s v="LM"/>
    <s v="N"/>
    <x v="259"/>
    <x v="3"/>
    <x v="538"/>
    <m/>
    <x v="315"/>
    <m/>
    <x v="3"/>
    <x v="0"/>
    <x v="413"/>
    <m/>
    <x v="6"/>
    <x v="0"/>
    <m/>
    <m/>
    <x v="0"/>
    <x v="1"/>
    <m/>
    <x v="0"/>
    <x v="1"/>
    <x v="305"/>
    <x v="3"/>
    <x v="0"/>
    <x v="1"/>
    <x v="413"/>
    <x v="2775"/>
  </r>
  <r>
    <x v="1"/>
    <n v="431"/>
    <x v="303"/>
    <x v="1"/>
    <s v="LM"/>
    <s v="N"/>
    <x v="259"/>
    <x v="3"/>
    <x v="540"/>
    <m/>
    <x v="174"/>
    <m/>
    <x v="1"/>
    <x v="0"/>
    <x v="368"/>
    <d v="2012-06-12T00:00:00"/>
    <x v="7"/>
    <x v="0"/>
    <m/>
    <m/>
    <x v="0"/>
    <x v="1"/>
    <m/>
    <x v="0"/>
    <x v="1"/>
    <x v="305"/>
    <x v="1"/>
    <x v="0"/>
    <x v="0"/>
    <x v="368"/>
    <x v="2776"/>
  </r>
  <r>
    <x v="1"/>
    <n v="431"/>
    <x v="303"/>
    <x v="1"/>
    <s v="LM"/>
    <s v="N"/>
    <x v="259"/>
    <x v="3"/>
    <x v="564"/>
    <m/>
    <x v="319"/>
    <m/>
    <x v="1"/>
    <x v="0"/>
    <x v="309"/>
    <d v="2012-06-28T00:00:00"/>
    <x v="7"/>
    <x v="0"/>
    <m/>
    <m/>
    <x v="0"/>
    <x v="1"/>
    <m/>
    <x v="0"/>
    <x v="1"/>
    <x v="305"/>
    <x v="1"/>
    <x v="0"/>
    <x v="0"/>
    <x v="309"/>
    <x v="2777"/>
  </r>
  <r>
    <x v="1"/>
    <n v="431"/>
    <x v="303"/>
    <x v="1"/>
    <s v="LM"/>
    <s v="N"/>
    <x v="259"/>
    <x v="3"/>
    <x v="498"/>
    <m/>
    <x v="303"/>
    <m/>
    <x v="17"/>
    <x v="0"/>
    <x v="306"/>
    <d v="2012-07-01T00:00:00"/>
    <x v="17"/>
    <x v="0"/>
    <m/>
    <s v="New Perspectives"/>
    <x v="0"/>
    <x v="0"/>
    <m/>
    <x v="0"/>
    <x v="1"/>
    <x v="305"/>
    <x v="17"/>
    <x v="0"/>
    <x v="0"/>
    <x v="306"/>
    <x v="2778"/>
  </r>
  <r>
    <x v="1"/>
    <n v="431"/>
    <x v="303"/>
    <x v="1"/>
    <s v="LM"/>
    <s v="N"/>
    <x v="259"/>
    <x v="3"/>
    <x v="158"/>
    <m/>
    <x v="121"/>
    <m/>
    <x v="3"/>
    <x v="0"/>
    <x v="257"/>
    <d v="2012-09-30T00:00:00"/>
    <x v="9"/>
    <x v="0"/>
    <m/>
    <s v="Case Studies: COALAB"/>
    <x v="0"/>
    <x v="0"/>
    <m/>
    <x v="0"/>
    <x v="1"/>
    <x v="305"/>
    <x v="3"/>
    <x v="0"/>
    <x v="1"/>
    <x v="257"/>
    <x v="2779"/>
  </r>
  <r>
    <x v="1"/>
    <n v="431"/>
    <x v="303"/>
    <x v="1"/>
    <s v="LM"/>
    <s v="N"/>
    <x v="259"/>
    <x v="3"/>
    <x v="444"/>
    <m/>
    <x v="283"/>
    <m/>
    <x v="3"/>
    <x v="0"/>
    <x v="285"/>
    <d v="2012-10-17T00:00:00"/>
    <x v="14"/>
    <x v="0"/>
    <m/>
    <m/>
    <x v="0"/>
    <x v="1"/>
    <m/>
    <x v="0"/>
    <x v="1"/>
    <x v="305"/>
    <x v="3"/>
    <x v="0"/>
    <x v="1"/>
    <x v="285"/>
    <x v="2780"/>
  </r>
  <r>
    <x v="1"/>
    <n v="431"/>
    <x v="303"/>
    <x v="1"/>
    <s v="LM"/>
    <s v="N"/>
    <x v="259"/>
    <x v="3"/>
    <x v="13"/>
    <m/>
    <x v="13"/>
    <m/>
    <x v="3"/>
    <x v="0"/>
    <x v="341"/>
    <m/>
    <x v="13"/>
    <x v="0"/>
    <m/>
    <m/>
    <x v="0"/>
    <x v="1"/>
    <m/>
    <x v="0"/>
    <x v="1"/>
    <x v="305"/>
    <x v="3"/>
    <x v="0"/>
    <x v="1"/>
    <x v="341"/>
    <x v="2781"/>
  </r>
  <r>
    <x v="1"/>
    <n v="432"/>
    <x v="304"/>
    <x v="0"/>
    <s v="LM"/>
    <s v="S"/>
    <x v="165"/>
    <x v="2"/>
    <x v="500"/>
    <m/>
    <x v="24"/>
    <m/>
    <x v="3"/>
    <x v="0"/>
    <x v="348"/>
    <d v="2012-03-11T00:00:00"/>
    <x v="2"/>
    <x v="0"/>
    <m/>
    <m/>
    <x v="0"/>
    <x v="1"/>
    <m/>
    <x v="0"/>
    <x v="5"/>
    <x v="306"/>
    <x v="3"/>
    <x v="0"/>
    <x v="1"/>
    <x v="348"/>
    <x v="2782"/>
  </r>
  <r>
    <x v="1"/>
    <n v="433"/>
    <x v="305"/>
    <x v="2"/>
    <s v="CM"/>
    <s v="S"/>
    <x v="260"/>
    <x v="5"/>
    <x v="26"/>
    <m/>
    <x v="24"/>
    <m/>
    <x v="3"/>
    <x v="0"/>
    <x v="268"/>
    <d v="2012-03-25T00:00:00"/>
    <x v="2"/>
    <x v="1"/>
    <s v="Competição Internacional 2"/>
    <m/>
    <x v="0"/>
    <x v="0"/>
    <m/>
    <x v="0"/>
    <x v="4"/>
    <x v="307"/>
    <x v="3"/>
    <x v="0"/>
    <x v="1"/>
    <x v="268"/>
    <x v="2783"/>
  </r>
  <r>
    <x v="1"/>
    <n v="434"/>
    <x v="1124"/>
    <x v="4"/>
    <s v="CM"/>
    <s v="N"/>
    <x v="759"/>
    <x v="2"/>
    <x v="412"/>
    <m/>
    <x v="269"/>
    <m/>
    <x v="3"/>
    <x v="0"/>
    <x v="242"/>
    <m/>
    <x v="7"/>
    <x v="1"/>
    <m/>
    <m/>
    <x v="0"/>
    <x v="0"/>
    <m/>
    <x v="0"/>
    <x v="8"/>
    <x v="1129"/>
    <x v="3"/>
    <x v="0"/>
    <x v="1"/>
    <x v="242"/>
    <x v="2784"/>
  </r>
  <r>
    <x v="1"/>
    <n v="435"/>
    <x v="306"/>
    <x v="1"/>
    <s v="LM"/>
    <s v="S"/>
    <x v="261"/>
    <x v="5"/>
    <x v="432"/>
    <m/>
    <x v="39"/>
    <m/>
    <x v="3"/>
    <x v="0"/>
    <x v="265"/>
    <d v="2012-04-21T00:00:00"/>
    <x v="5"/>
    <x v="1"/>
    <s v="Competição Nacional"/>
    <m/>
    <x v="284"/>
    <x v="0"/>
    <m/>
    <x v="1"/>
    <x v="1"/>
    <x v="308"/>
    <x v="3"/>
    <x v="337"/>
    <x v="1"/>
    <x v="265"/>
    <x v="2785"/>
  </r>
  <r>
    <x v="1"/>
    <n v="435"/>
    <x v="306"/>
    <x v="1"/>
    <s v="LM"/>
    <s v="S"/>
    <x v="261"/>
    <x v="5"/>
    <x v="587"/>
    <m/>
    <x v="213"/>
    <m/>
    <x v="8"/>
    <x v="0"/>
    <x v="233"/>
    <d v="2012-10-28T00:00:00"/>
    <x v="14"/>
    <x v="0"/>
    <m/>
    <s v="African Diaspora"/>
    <x v="0"/>
    <x v="0"/>
    <m/>
    <x v="0"/>
    <x v="1"/>
    <x v="308"/>
    <x v="8"/>
    <x v="0"/>
    <x v="0"/>
    <x v="233"/>
    <x v="2786"/>
  </r>
  <r>
    <x v="1"/>
    <n v="436"/>
    <x v="1125"/>
    <x v="4"/>
    <s v="CM"/>
    <s v="N"/>
    <x v="760"/>
    <x v="2"/>
    <x v="428"/>
    <m/>
    <x v="24"/>
    <m/>
    <x v="3"/>
    <x v="0"/>
    <x v="260"/>
    <d v="2012-04-19T00:00:00"/>
    <x v="5"/>
    <x v="0"/>
    <m/>
    <m/>
    <x v="0"/>
    <x v="1"/>
    <m/>
    <x v="0"/>
    <x v="8"/>
    <x v="1130"/>
    <x v="3"/>
    <x v="0"/>
    <x v="1"/>
    <x v="260"/>
    <x v="2787"/>
  </r>
  <r>
    <x v="1"/>
    <n v="438"/>
    <x v="1126"/>
    <x v="1"/>
    <s v="CM"/>
    <s v="N"/>
    <x v="761"/>
    <x v="2"/>
    <x v="432"/>
    <m/>
    <x v="39"/>
    <m/>
    <x v="3"/>
    <x v="0"/>
    <x v="265"/>
    <d v="2012-04-21T00:00:00"/>
    <x v="5"/>
    <x v="0"/>
    <m/>
    <s v="Fora da Competição"/>
    <x v="0"/>
    <x v="0"/>
    <m/>
    <x v="0"/>
    <x v="2"/>
    <x v="1131"/>
    <x v="3"/>
    <x v="0"/>
    <x v="1"/>
    <x v="265"/>
    <x v="2788"/>
  </r>
  <r>
    <x v="1"/>
    <n v="1599"/>
    <x v="1127"/>
    <x v="3"/>
    <s v="CM"/>
    <s v="N"/>
    <x v="762"/>
    <x v="41"/>
    <x v="630"/>
    <m/>
    <x v="339"/>
    <m/>
    <x v="3"/>
    <x v="0"/>
    <x v="341"/>
    <d v="2012-11-03T00:00:00"/>
    <x v="13"/>
    <x v="1"/>
    <s v="Geral"/>
    <m/>
    <x v="0"/>
    <x v="1"/>
    <m/>
    <x v="0"/>
    <x v="6"/>
    <x v="1132"/>
    <x v="3"/>
    <x v="0"/>
    <x v="1"/>
    <x v="341"/>
    <x v="2789"/>
  </r>
  <r>
    <x v="1"/>
    <n v="1599"/>
    <x v="1127"/>
    <x v="3"/>
    <s v="CM"/>
    <s v="N"/>
    <x v="762"/>
    <x v="41"/>
    <x v="22"/>
    <m/>
    <x v="22"/>
    <m/>
    <x v="3"/>
    <x v="0"/>
    <x v="251"/>
    <d v="2012-11-18T00:00:00"/>
    <x v="13"/>
    <x v="1"/>
    <s v="Ensaios Visuais"/>
    <m/>
    <x v="0"/>
    <x v="0"/>
    <m/>
    <x v="0"/>
    <x v="6"/>
    <x v="1132"/>
    <x v="3"/>
    <x v="0"/>
    <x v="1"/>
    <x v="251"/>
    <x v="2790"/>
  </r>
  <r>
    <x v="1"/>
    <n v="440"/>
    <x v="1128"/>
    <x v="0"/>
    <s v="LM"/>
    <s v="S"/>
    <x v="763"/>
    <x v="1"/>
    <x v="525"/>
    <m/>
    <x v="11"/>
    <m/>
    <x v="3"/>
    <x v="0"/>
    <x v="245"/>
    <d v="2012-03-27T00:00:00"/>
    <x v="19"/>
    <x v="0"/>
    <m/>
    <m/>
    <x v="0"/>
    <x v="1"/>
    <m/>
    <x v="0"/>
    <x v="5"/>
    <x v="1133"/>
    <x v="3"/>
    <x v="0"/>
    <x v="1"/>
    <x v="245"/>
    <x v="2791"/>
  </r>
  <r>
    <x v="1"/>
    <n v="440"/>
    <x v="1128"/>
    <x v="0"/>
    <s v="LM"/>
    <s v="S"/>
    <x v="763"/>
    <x v="1"/>
    <x v="13"/>
    <m/>
    <x v="13"/>
    <m/>
    <x v="3"/>
    <x v="0"/>
    <x v="414"/>
    <m/>
    <x v="1"/>
    <x v="0"/>
    <m/>
    <m/>
    <x v="0"/>
    <x v="1"/>
    <m/>
    <x v="0"/>
    <x v="5"/>
    <x v="1133"/>
    <x v="3"/>
    <x v="0"/>
    <x v="1"/>
    <x v="414"/>
    <x v="2792"/>
  </r>
  <r>
    <x v="1"/>
    <n v="440"/>
    <x v="1128"/>
    <x v="0"/>
    <s v="LM"/>
    <s v="S"/>
    <x v="763"/>
    <x v="1"/>
    <x v="633"/>
    <m/>
    <x v="24"/>
    <m/>
    <x v="3"/>
    <x v="0"/>
    <x v="371"/>
    <m/>
    <x v="1"/>
    <x v="0"/>
    <m/>
    <m/>
    <x v="0"/>
    <x v="1"/>
    <m/>
    <x v="0"/>
    <x v="5"/>
    <x v="1133"/>
    <x v="3"/>
    <x v="0"/>
    <x v="1"/>
    <x v="371"/>
    <x v="2793"/>
  </r>
  <r>
    <x v="1"/>
    <n v="1438"/>
    <x v="1129"/>
    <x v="1"/>
    <s v="CM"/>
    <s v="N"/>
    <x v="764"/>
    <x v="41"/>
    <x v="25"/>
    <m/>
    <x v="24"/>
    <m/>
    <x v="3"/>
    <x v="0"/>
    <x v="294"/>
    <d v="2012-10-28T00:00:00"/>
    <x v="14"/>
    <x v="0"/>
    <m/>
    <s v="Verdes Anos"/>
    <x v="0"/>
    <x v="0"/>
    <m/>
    <x v="0"/>
    <x v="2"/>
    <x v="1134"/>
    <x v="3"/>
    <x v="0"/>
    <x v="1"/>
    <x v="294"/>
    <x v="2794"/>
  </r>
  <r>
    <x v="1"/>
    <n v="1724"/>
    <x v="1130"/>
    <x v="2"/>
    <s v="CM"/>
    <s v="N"/>
    <x v="765"/>
    <x v="41"/>
    <x v="634"/>
    <m/>
    <x v="340"/>
    <m/>
    <x v="3"/>
    <x v="0"/>
    <x v="415"/>
    <d v="2012-09-09T00:00:00"/>
    <x v="9"/>
    <x v="1"/>
    <s v="Animação"/>
    <m/>
    <x v="285"/>
    <x v="0"/>
    <m/>
    <x v="1"/>
    <x v="4"/>
    <x v="1135"/>
    <x v="3"/>
    <x v="338"/>
    <x v="1"/>
    <x v="415"/>
    <x v="2795"/>
  </r>
  <r>
    <x v="1"/>
    <n v="509"/>
    <x v="1131"/>
    <x v="0"/>
    <s v="CM"/>
    <s v="N"/>
    <x v="766"/>
    <x v="3"/>
    <x v="22"/>
    <m/>
    <x v="22"/>
    <m/>
    <x v="3"/>
    <x v="0"/>
    <x v="251"/>
    <d v="2012-11-18T00:00:00"/>
    <x v="13"/>
    <x v="1"/>
    <s v="Secção Competitiva"/>
    <m/>
    <x v="0"/>
    <x v="0"/>
    <m/>
    <x v="0"/>
    <x v="0"/>
    <x v="1136"/>
    <x v="3"/>
    <x v="0"/>
    <x v="1"/>
    <x v="251"/>
    <x v="2796"/>
  </r>
  <r>
    <x v="1"/>
    <n v="442"/>
    <x v="1132"/>
    <x v="0"/>
    <s v="LM"/>
    <s v="S"/>
    <x v="158"/>
    <x v="2"/>
    <x v="635"/>
    <m/>
    <x v="11"/>
    <m/>
    <x v="3"/>
    <x v="0"/>
    <x v="320"/>
    <d v="2012-04-24T00:00:00"/>
    <x v="5"/>
    <x v="0"/>
    <m/>
    <m/>
    <x v="0"/>
    <x v="1"/>
    <m/>
    <x v="0"/>
    <x v="5"/>
    <x v="1137"/>
    <x v="3"/>
    <x v="0"/>
    <x v="1"/>
    <x v="320"/>
    <x v="2797"/>
  </r>
  <r>
    <x v="1"/>
    <n v="442"/>
    <x v="1132"/>
    <x v="0"/>
    <s v="LM"/>
    <s v="S"/>
    <x v="158"/>
    <x v="2"/>
    <x v="369"/>
    <m/>
    <x v="175"/>
    <m/>
    <x v="3"/>
    <x v="0"/>
    <x v="313"/>
    <m/>
    <x v="5"/>
    <x v="0"/>
    <m/>
    <m/>
    <x v="0"/>
    <x v="1"/>
    <m/>
    <x v="0"/>
    <x v="5"/>
    <x v="1137"/>
    <x v="3"/>
    <x v="0"/>
    <x v="1"/>
    <x v="313"/>
    <x v="2798"/>
  </r>
  <r>
    <x v="1"/>
    <n v="442"/>
    <x v="1132"/>
    <x v="0"/>
    <s v="LM"/>
    <s v="S"/>
    <x v="158"/>
    <x v="2"/>
    <x v="636"/>
    <m/>
    <x v="39"/>
    <m/>
    <x v="3"/>
    <x v="0"/>
    <x v="416"/>
    <m/>
    <x v="6"/>
    <x v="0"/>
    <m/>
    <m/>
    <x v="0"/>
    <x v="1"/>
    <m/>
    <x v="0"/>
    <x v="5"/>
    <x v="1137"/>
    <x v="3"/>
    <x v="0"/>
    <x v="1"/>
    <x v="416"/>
    <x v="2799"/>
  </r>
  <r>
    <x v="1"/>
    <n v="442"/>
    <x v="1132"/>
    <x v="0"/>
    <s v="LM"/>
    <s v="S"/>
    <x v="158"/>
    <x v="2"/>
    <x v="22"/>
    <m/>
    <x v="22"/>
    <m/>
    <x v="3"/>
    <x v="0"/>
    <x v="251"/>
    <d v="2012-11-18T00:00:00"/>
    <x v="13"/>
    <x v="1"/>
    <s v="Secção Competitiva"/>
    <m/>
    <x v="0"/>
    <x v="0"/>
    <m/>
    <x v="0"/>
    <x v="5"/>
    <x v="1137"/>
    <x v="3"/>
    <x v="0"/>
    <x v="1"/>
    <x v="251"/>
    <x v="2800"/>
  </r>
  <r>
    <x v="1"/>
    <n v="442"/>
    <x v="1132"/>
    <x v="0"/>
    <s v="LM"/>
    <s v="S"/>
    <x v="158"/>
    <x v="2"/>
    <x v="571"/>
    <m/>
    <x v="321"/>
    <m/>
    <x v="3"/>
    <x v="0"/>
    <x v="387"/>
    <d v="2012-11-25T00:00:00"/>
    <x v="13"/>
    <x v="0"/>
    <m/>
    <m/>
    <x v="0"/>
    <x v="1"/>
    <m/>
    <x v="0"/>
    <x v="5"/>
    <x v="1137"/>
    <x v="3"/>
    <x v="0"/>
    <x v="1"/>
    <x v="387"/>
    <x v="2801"/>
  </r>
  <r>
    <x v="1"/>
    <n v="443"/>
    <x v="1133"/>
    <x v="0"/>
    <s v="LM"/>
    <s v=""/>
    <x v="767"/>
    <x v="2"/>
    <x v="146"/>
    <m/>
    <x v="24"/>
    <m/>
    <x v="3"/>
    <x v="0"/>
    <x v="281"/>
    <d v="2012-05-06T00:00:00"/>
    <x v="4"/>
    <x v="1"/>
    <s v="Competição Nacional Longas Metragens"/>
    <s v="Cinema Emergente Longas Metragens"/>
    <x v="0"/>
    <x v="0"/>
    <m/>
    <x v="0"/>
    <x v="5"/>
    <x v="1138"/>
    <x v="3"/>
    <x v="0"/>
    <x v="1"/>
    <x v="281"/>
    <x v="2802"/>
  </r>
  <r>
    <x v="1"/>
    <n v="443"/>
    <x v="1133"/>
    <x v="0"/>
    <s v="LM"/>
    <s v=""/>
    <x v="767"/>
    <x v="2"/>
    <x v="179"/>
    <m/>
    <x v="133"/>
    <m/>
    <x v="0"/>
    <x v="0"/>
    <x v="233"/>
    <d v="2012-11-01T00:00:00"/>
    <x v="0"/>
    <x v="0"/>
    <m/>
    <s v="Perspectiva Internacional"/>
    <x v="0"/>
    <x v="0"/>
    <m/>
    <x v="0"/>
    <x v="5"/>
    <x v="1138"/>
    <x v="0"/>
    <x v="0"/>
    <x v="0"/>
    <x v="233"/>
    <x v="2803"/>
  </r>
  <r>
    <x v="1"/>
    <n v="443"/>
    <x v="1133"/>
    <x v="0"/>
    <s v="LM"/>
    <s v=""/>
    <x v="767"/>
    <x v="2"/>
    <x v="22"/>
    <m/>
    <x v="22"/>
    <m/>
    <x v="3"/>
    <x v="0"/>
    <x v="251"/>
    <d v="2012-11-18T00:00:00"/>
    <x v="13"/>
    <x v="1"/>
    <s v="Secção Competitiva"/>
    <m/>
    <x v="0"/>
    <x v="0"/>
    <m/>
    <x v="0"/>
    <x v="5"/>
    <x v="1138"/>
    <x v="3"/>
    <x v="0"/>
    <x v="1"/>
    <x v="251"/>
    <x v="2804"/>
  </r>
  <r>
    <x v="1"/>
    <n v="444"/>
    <x v="310"/>
    <x v="0"/>
    <s v="CM"/>
    <s v="N"/>
    <x v="265"/>
    <x v="3"/>
    <x v="637"/>
    <m/>
    <x v="24"/>
    <m/>
    <x v="3"/>
    <x v="0"/>
    <x v="237"/>
    <m/>
    <x v="7"/>
    <x v="1"/>
    <m/>
    <m/>
    <x v="0"/>
    <x v="1"/>
    <m/>
    <x v="0"/>
    <x v="0"/>
    <x v="312"/>
    <x v="3"/>
    <x v="0"/>
    <x v="1"/>
    <x v="237"/>
    <x v="2805"/>
  </r>
  <r>
    <x v="1"/>
    <n v="444"/>
    <x v="310"/>
    <x v="0"/>
    <s v="CM"/>
    <s v="N"/>
    <x v="265"/>
    <x v="3"/>
    <x v="445"/>
    <m/>
    <x v="284"/>
    <m/>
    <x v="3"/>
    <x v="0"/>
    <x v="286"/>
    <d v="2012-09-08T00:00:00"/>
    <x v="9"/>
    <x v="1"/>
    <m/>
    <m/>
    <x v="0"/>
    <x v="0"/>
    <m/>
    <x v="0"/>
    <x v="0"/>
    <x v="312"/>
    <x v="3"/>
    <x v="0"/>
    <x v="1"/>
    <x v="286"/>
    <x v="2806"/>
  </r>
  <r>
    <x v="1"/>
    <n v="445"/>
    <x v="311"/>
    <x v="1"/>
    <s v="CM"/>
    <s v="S"/>
    <x v="55"/>
    <x v="5"/>
    <x v="519"/>
    <m/>
    <x v="24"/>
    <m/>
    <x v="3"/>
    <x v="0"/>
    <x v="319"/>
    <d v="2012-04-21T00:00:00"/>
    <x v="5"/>
    <x v="0"/>
    <m/>
    <m/>
    <x v="0"/>
    <x v="1"/>
    <m/>
    <x v="0"/>
    <x v="2"/>
    <x v="313"/>
    <x v="3"/>
    <x v="0"/>
    <x v="1"/>
    <x v="319"/>
    <x v="2807"/>
  </r>
  <r>
    <x v="1"/>
    <n v="449"/>
    <x v="315"/>
    <x v="0"/>
    <s v="LM"/>
    <s v="S"/>
    <x v="240"/>
    <x v="5"/>
    <x v="547"/>
    <m/>
    <x v="22"/>
    <m/>
    <x v="3"/>
    <x v="0"/>
    <x v="313"/>
    <d v="2012-05-30T00:00:00"/>
    <x v="4"/>
    <x v="0"/>
    <m/>
    <m/>
    <x v="0"/>
    <x v="1"/>
    <m/>
    <x v="0"/>
    <x v="5"/>
    <x v="317"/>
    <x v="3"/>
    <x v="0"/>
    <x v="1"/>
    <x v="313"/>
    <x v="2808"/>
  </r>
  <r>
    <x v="1"/>
    <n v="449"/>
    <x v="315"/>
    <x v="0"/>
    <s v="LM"/>
    <s v="S"/>
    <x v="240"/>
    <x v="5"/>
    <x v="555"/>
    <m/>
    <x v="317"/>
    <m/>
    <x v="8"/>
    <x v="0"/>
    <x v="358"/>
    <d v="2012-04-29T00:00:00"/>
    <x v="5"/>
    <x v="0"/>
    <m/>
    <m/>
    <x v="0"/>
    <x v="0"/>
    <m/>
    <x v="0"/>
    <x v="5"/>
    <x v="317"/>
    <x v="8"/>
    <x v="0"/>
    <x v="0"/>
    <x v="358"/>
    <x v="2809"/>
  </r>
  <r>
    <x v="1"/>
    <n v="449"/>
    <x v="315"/>
    <x v="0"/>
    <s v="LM"/>
    <s v="S"/>
    <x v="240"/>
    <x v="5"/>
    <x v="438"/>
    <m/>
    <x v="127"/>
    <m/>
    <x v="38"/>
    <x v="0"/>
    <x v="275"/>
    <d v="2012-06-14T00:00:00"/>
    <x v="22"/>
    <x v="0"/>
    <m/>
    <m/>
    <x v="0"/>
    <x v="1"/>
    <m/>
    <x v="0"/>
    <x v="5"/>
    <x v="317"/>
    <x v="38"/>
    <x v="0"/>
    <x v="0"/>
    <x v="275"/>
    <x v="2810"/>
  </r>
  <r>
    <x v="1"/>
    <n v="450"/>
    <x v="1134"/>
    <x v="1"/>
    <s v="CM"/>
    <s v="N"/>
    <x v="768"/>
    <x v="2"/>
    <x v="432"/>
    <m/>
    <x v="39"/>
    <m/>
    <x v="3"/>
    <x v="0"/>
    <x v="265"/>
    <d v="2012-04-21T00:00:00"/>
    <x v="5"/>
    <x v="1"/>
    <s v="Competição Nacional"/>
    <m/>
    <x v="0"/>
    <x v="0"/>
    <m/>
    <x v="0"/>
    <x v="2"/>
    <x v="1139"/>
    <x v="3"/>
    <x v="0"/>
    <x v="1"/>
    <x v="265"/>
    <x v="2811"/>
  </r>
  <r>
    <x v="1"/>
    <n v="451"/>
    <x v="316"/>
    <x v="0"/>
    <s v="CM"/>
    <s v="N"/>
    <x v="268"/>
    <x v="2"/>
    <x v="638"/>
    <m/>
    <x v="24"/>
    <m/>
    <x v="3"/>
    <x v="0"/>
    <x v="332"/>
    <m/>
    <x v="2"/>
    <x v="1"/>
    <m/>
    <m/>
    <x v="0"/>
    <x v="1"/>
    <m/>
    <x v="0"/>
    <x v="0"/>
    <x v="318"/>
    <x v="3"/>
    <x v="0"/>
    <x v="1"/>
    <x v="332"/>
    <x v="2812"/>
  </r>
  <r>
    <x v="1"/>
    <n v="451"/>
    <x v="316"/>
    <x v="0"/>
    <s v="CM"/>
    <s v="N"/>
    <x v="268"/>
    <x v="2"/>
    <x v="524"/>
    <m/>
    <x v="23"/>
    <m/>
    <x v="3"/>
    <x v="0"/>
    <x v="274"/>
    <m/>
    <x v="6"/>
    <x v="1"/>
    <m/>
    <m/>
    <x v="0"/>
    <x v="1"/>
    <m/>
    <x v="0"/>
    <x v="0"/>
    <x v="318"/>
    <x v="3"/>
    <x v="0"/>
    <x v="1"/>
    <x v="274"/>
    <x v="2813"/>
  </r>
  <r>
    <x v="1"/>
    <n v="451"/>
    <x v="316"/>
    <x v="0"/>
    <s v="CM"/>
    <s v="N"/>
    <x v="268"/>
    <x v="2"/>
    <x v="457"/>
    <m/>
    <x v="285"/>
    <m/>
    <x v="3"/>
    <x v="0"/>
    <x v="301"/>
    <d v="2012-06-16T00:00:00"/>
    <x v="7"/>
    <x v="1"/>
    <s v="Curtas-metragens"/>
    <m/>
    <x v="0"/>
    <x v="0"/>
    <m/>
    <x v="0"/>
    <x v="0"/>
    <x v="318"/>
    <x v="3"/>
    <x v="0"/>
    <x v="1"/>
    <x v="301"/>
    <x v="2814"/>
  </r>
  <r>
    <x v="1"/>
    <n v="452"/>
    <x v="317"/>
    <x v="0"/>
    <s v="CM"/>
    <s v="N"/>
    <x v="269"/>
    <x v="2"/>
    <x v="62"/>
    <m/>
    <x v="23"/>
    <m/>
    <x v="3"/>
    <x v="0"/>
    <x v="302"/>
    <d v="2012-03-04T00:00:00"/>
    <x v="19"/>
    <x v="0"/>
    <m/>
    <s v="Especial Festival Black &amp; White"/>
    <x v="0"/>
    <x v="0"/>
    <m/>
    <x v="0"/>
    <x v="0"/>
    <x v="319"/>
    <x v="3"/>
    <x v="0"/>
    <x v="1"/>
    <x v="302"/>
    <x v="2815"/>
  </r>
  <r>
    <x v="1"/>
    <n v="452"/>
    <x v="317"/>
    <x v="0"/>
    <s v="CM"/>
    <s v="N"/>
    <x v="269"/>
    <x v="2"/>
    <x v="446"/>
    <m/>
    <x v="65"/>
    <m/>
    <x v="9"/>
    <x v="0"/>
    <x v="287"/>
    <m/>
    <x v="2"/>
    <x v="0"/>
    <m/>
    <m/>
    <x v="0"/>
    <x v="1"/>
    <m/>
    <x v="0"/>
    <x v="0"/>
    <x v="319"/>
    <x v="9"/>
    <x v="0"/>
    <x v="0"/>
    <x v="287"/>
    <x v="2816"/>
  </r>
  <r>
    <x v="1"/>
    <n v="1411"/>
    <x v="1135"/>
    <x v="1"/>
    <s v="CM"/>
    <s v=""/>
    <x v="769"/>
    <x v="3"/>
    <x v="25"/>
    <m/>
    <x v="24"/>
    <m/>
    <x v="3"/>
    <x v="0"/>
    <x v="294"/>
    <d v="2012-10-28T00:00:00"/>
    <x v="14"/>
    <x v="1"/>
    <s v="Competição Portuguesa - Curtas"/>
    <m/>
    <x v="0"/>
    <x v="0"/>
    <m/>
    <x v="0"/>
    <x v="2"/>
    <x v="1140"/>
    <x v="3"/>
    <x v="0"/>
    <x v="1"/>
    <x v="294"/>
    <x v="2817"/>
  </r>
  <r>
    <x v="1"/>
    <n v="453"/>
    <x v="318"/>
    <x v="1"/>
    <s v="LM"/>
    <s v="S"/>
    <x v="270"/>
    <x v="15"/>
    <x v="639"/>
    <m/>
    <x v="17"/>
    <m/>
    <x v="2"/>
    <x v="0"/>
    <x v="322"/>
    <d v="2012-01-30T00:00:00"/>
    <x v="15"/>
    <x v="0"/>
    <m/>
    <m/>
    <x v="0"/>
    <x v="1"/>
    <m/>
    <x v="0"/>
    <x v="1"/>
    <x v="320"/>
    <x v="2"/>
    <x v="0"/>
    <x v="0"/>
    <x v="322"/>
    <x v="2818"/>
  </r>
  <r>
    <x v="1"/>
    <n v="453"/>
    <x v="318"/>
    <x v="1"/>
    <s v="LM"/>
    <s v="S"/>
    <x v="270"/>
    <x v="15"/>
    <x v="640"/>
    <m/>
    <x v="341"/>
    <m/>
    <x v="2"/>
    <x v="0"/>
    <x v="267"/>
    <d v="2012-11-18T00:00:00"/>
    <x v="13"/>
    <x v="0"/>
    <m/>
    <s v="Voir Ailleurs"/>
    <x v="0"/>
    <x v="0"/>
    <m/>
    <x v="0"/>
    <x v="1"/>
    <x v="320"/>
    <x v="2"/>
    <x v="0"/>
    <x v="0"/>
    <x v="267"/>
    <x v="2819"/>
  </r>
  <r>
    <x v="1"/>
    <n v="453"/>
    <x v="318"/>
    <x v="1"/>
    <s v="LM"/>
    <s v="S"/>
    <x v="270"/>
    <x v="15"/>
    <x v="443"/>
    <m/>
    <x v="240"/>
    <m/>
    <x v="58"/>
    <x v="0"/>
    <x v="284"/>
    <d v="2012-11-28T00:00:00"/>
    <x v="13"/>
    <x v="0"/>
    <m/>
    <m/>
    <x v="0"/>
    <x v="1"/>
    <m/>
    <x v="0"/>
    <x v="1"/>
    <x v="320"/>
    <x v="58"/>
    <x v="0"/>
    <x v="0"/>
    <x v="284"/>
    <x v="2820"/>
  </r>
  <r>
    <x v="1"/>
    <n v="454"/>
    <x v="1136"/>
    <x v="1"/>
    <s v="CM"/>
    <s v=""/>
    <x v="313"/>
    <x v="2"/>
    <x v="146"/>
    <m/>
    <x v="24"/>
    <m/>
    <x v="3"/>
    <x v="0"/>
    <x v="281"/>
    <d v="2012-05-06T00:00:00"/>
    <x v="4"/>
    <x v="1"/>
    <s v="Competição Nacional Curtas 3"/>
    <s v="Cinema Emergente Curtas 4"/>
    <x v="96"/>
    <x v="0"/>
    <m/>
    <x v="1"/>
    <x v="2"/>
    <x v="1141"/>
    <x v="3"/>
    <x v="339"/>
    <x v="1"/>
    <x v="281"/>
    <x v="2821"/>
  </r>
  <r>
    <x v="1"/>
    <n v="2151"/>
    <x v="1137"/>
    <x v="0"/>
    <s v="CM"/>
    <s v="N"/>
    <x v="770"/>
    <x v="41"/>
    <x v="634"/>
    <m/>
    <x v="340"/>
    <m/>
    <x v="3"/>
    <x v="0"/>
    <x v="415"/>
    <d v="2012-09-09T00:00:00"/>
    <x v="9"/>
    <x v="1"/>
    <s v="Ficção"/>
    <m/>
    <x v="286"/>
    <x v="0"/>
    <m/>
    <x v="1"/>
    <x v="0"/>
    <x v="1142"/>
    <x v="3"/>
    <x v="340"/>
    <x v="1"/>
    <x v="415"/>
    <x v="2822"/>
  </r>
  <r>
    <x v="1"/>
    <n v="1988"/>
    <x v="1138"/>
    <x v="3"/>
    <s v="CM"/>
    <s v="N"/>
    <x v="604"/>
    <x v="41"/>
    <x v="46"/>
    <m/>
    <x v="24"/>
    <m/>
    <x v="3"/>
    <x v="0"/>
    <x v="231"/>
    <d v="2012-12-11T00:00:00"/>
    <x v="12"/>
    <x v="1"/>
    <s v="Prémio de Cinema para Filmes sobre Arte"/>
    <m/>
    <x v="0"/>
    <x v="0"/>
    <m/>
    <x v="0"/>
    <x v="6"/>
    <x v="1143"/>
    <x v="3"/>
    <x v="0"/>
    <x v="1"/>
    <x v="231"/>
    <x v="2823"/>
  </r>
  <r>
    <x v="1"/>
    <n v="456"/>
    <x v="320"/>
    <x v="3"/>
    <s v="CM"/>
    <s v="N"/>
    <x v="272"/>
    <x v="3"/>
    <x v="162"/>
    <m/>
    <x v="124"/>
    <m/>
    <x v="3"/>
    <x v="0"/>
    <x v="417"/>
    <m/>
    <x v="9"/>
    <x v="0"/>
    <m/>
    <m/>
    <x v="0"/>
    <x v="1"/>
    <m/>
    <x v="0"/>
    <x v="6"/>
    <x v="322"/>
    <x v="3"/>
    <x v="0"/>
    <x v="1"/>
    <x v="417"/>
    <x v="2824"/>
  </r>
  <r>
    <x v="1"/>
    <n v="457"/>
    <x v="321"/>
    <x v="0"/>
    <s v="CM"/>
    <s v="N"/>
    <x v="273"/>
    <x v="2"/>
    <x v="612"/>
    <m/>
    <x v="24"/>
    <m/>
    <x v="3"/>
    <x v="0"/>
    <x v="235"/>
    <m/>
    <x v="15"/>
    <x v="0"/>
    <m/>
    <m/>
    <x v="0"/>
    <x v="1"/>
    <m/>
    <x v="0"/>
    <x v="0"/>
    <x v="323"/>
    <x v="3"/>
    <x v="0"/>
    <x v="1"/>
    <x v="235"/>
    <x v="2825"/>
  </r>
  <r>
    <x v="1"/>
    <n v="457"/>
    <x v="321"/>
    <x v="0"/>
    <s v="CM"/>
    <s v="N"/>
    <x v="273"/>
    <x v="2"/>
    <x v="456"/>
    <m/>
    <x v="24"/>
    <m/>
    <x v="3"/>
    <x v="0"/>
    <x v="300"/>
    <m/>
    <x v="1"/>
    <x v="0"/>
    <m/>
    <s v="Especial Curtas Nomeadas para Melhor Curta Prémios Shortcutz Lisboa 2011"/>
    <x v="0"/>
    <x v="1"/>
    <m/>
    <x v="0"/>
    <x v="0"/>
    <x v="323"/>
    <x v="3"/>
    <x v="0"/>
    <x v="1"/>
    <x v="300"/>
    <x v="2826"/>
  </r>
  <r>
    <x v="1"/>
    <n v="457"/>
    <x v="321"/>
    <x v="0"/>
    <s v="CM"/>
    <s v="N"/>
    <x v="273"/>
    <x v="2"/>
    <x v="473"/>
    <m/>
    <x v="24"/>
    <m/>
    <x v="3"/>
    <x v="0"/>
    <x v="317"/>
    <m/>
    <x v="2"/>
    <x v="1"/>
    <m/>
    <m/>
    <x v="287"/>
    <x v="2"/>
    <m/>
    <x v="1"/>
    <x v="0"/>
    <x v="323"/>
    <x v="3"/>
    <x v="341"/>
    <x v="1"/>
    <x v="317"/>
    <x v="2827"/>
  </r>
  <r>
    <x v="1"/>
    <n v="457"/>
    <x v="321"/>
    <x v="0"/>
    <s v="CM"/>
    <s v="N"/>
    <x v="273"/>
    <x v="2"/>
    <x v="431"/>
    <m/>
    <x v="277"/>
    <m/>
    <x v="14"/>
    <x v="0"/>
    <x v="243"/>
    <d v="2012-06-02T00:00:00"/>
    <x v="7"/>
    <x v="0"/>
    <m/>
    <m/>
    <x v="0"/>
    <x v="0"/>
    <m/>
    <x v="0"/>
    <x v="0"/>
    <x v="323"/>
    <x v="14"/>
    <x v="0"/>
    <x v="0"/>
    <x v="243"/>
    <x v="2828"/>
  </r>
  <r>
    <x v="1"/>
    <n v="1381"/>
    <x v="1139"/>
    <x v="1"/>
    <s v="CM"/>
    <s v=""/>
    <x v="130"/>
    <x v="2"/>
    <x v="641"/>
    <m/>
    <x v="24"/>
    <m/>
    <x v="3"/>
    <x v="0"/>
    <x v="372"/>
    <m/>
    <x v="2"/>
    <x v="0"/>
    <m/>
    <m/>
    <x v="0"/>
    <x v="1"/>
    <m/>
    <x v="0"/>
    <x v="2"/>
    <x v="1144"/>
    <x v="3"/>
    <x v="0"/>
    <x v="1"/>
    <x v="372"/>
    <x v="2829"/>
  </r>
  <r>
    <x v="1"/>
    <n v="1381"/>
    <x v="1139"/>
    <x v="1"/>
    <s v="CM"/>
    <s v=""/>
    <x v="130"/>
    <x v="2"/>
    <x v="88"/>
    <m/>
    <x v="67"/>
    <m/>
    <x v="3"/>
    <x v="0"/>
    <x v="262"/>
    <d v="2012-10-13T00:00:00"/>
    <x v="14"/>
    <x v="1"/>
    <s v="Competição Lusófona - Curtas Metragens"/>
    <m/>
    <x v="0"/>
    <x v="0"/>
    <m/>
    <x v="0"/>
    <x v="2"/>
    <x v="1144"/>
    <x v="3"/>
    <x v="0"/>
    <x v="1"/>
    <x v="262"/>
    <x v="2830"/>
  </r>
  <r>
    <x v="1"/>
    <n v="459"/>
    <x v="323"/>
    <x v="1"/>
    <s v="LM"/>
    <s v=""/>
    <x v="275"/>
    <x v="2"/>
    <x v="407"/>
    <m/>
    <x v="154"/>
    <m/>
    <x v="0"/>
    <x v="0"/>
    <x v="237"/>
    <d v="2012-07-08T00:00:00"/>
    <x v="17"/>
    <x v="0"/>
    <m/>
    <m/>
    <x v="0"/>
    <x v="1"/>
    <m/>
    <x v="0"/>
    <x v="1"/>
    <x v="325"/>
    <x v="0"/>
    <x v="0"/>
    <x v="0"/>
    <x v="237"/>
    <x v="2831"/>
  </r>
  <r>
    <x v="1"/>
    <n v="1605"/>
    <x v="1140"/>
    <x v="1"/>
    <s v="CM"/>
    <s v="N"/>
    <x v="771"/>
    <x v="41"/>
    <x v="22"/>
    <m/>
    <x v="22"/>
    <m/>
    <x v="3"/>
    <x v="0"/>
    <x v="251"/>
    <d v="2012-11-18T00:00:00"/>
    <x v="13"/>
    <x v="1"/>
    <s v="Ensaios Visuais"/>
    <m/>
    <x v="0"/>
    <x v="0"/>
    <m/>
    <x v="0"/>
    <x v="2"/>
    <x v="1145"/>
    <x v="3"/>
    <x v="0"/>
    <x v="1"/>
    <x v="251"/>
    <x v="2832"/>
  </r>
  <r>
    <x v="1"/>
    <n v="461"/>
    <x v="1141"/>
    <x v="1"/>
    <s v="LM"/>
    <s v="N"/>
    <x v="310"/>
    <x v="2"/>
    <x v="514"/>
    <m/>
    <x v="99"/>
    <m/>
    <x v="3"/>
    <x v="0"/>
    <x v="360"/>
    <d v="2012-05-13T00:00:00"/>
    <x v="6"/>
    <x v="1"/>
    <s v="Prémio Primeiro Olhar"/>
    <m/>
    <x v="288"/>
    <x v="0"/>
    <m/>
    <x v="1"/>
    <x v="1"/>
    <x v="1146"/>
    <x v="3"/>
    <x v="342"/>
    <x v="1"/>
    <x v="360"/>
    <x v="2833"/>
  </r>
  <r>
    <x v="1"/>
    <n v="462"/>
    <x v="1142"/>
    <x v="0"/>
    <s v="CM"/>
    <s v="S"/>
    <x v="772"/>
    <x v="41"/>
    <x v="68"/>
    <m/>
    <x v="53"/>
    <m/>
    <x v="3"/>
    <x v="0"/>
    <x v="253"/>
    <d v="2012-07-15T00:00:00"/>
    <x v="8"/>
    <x v="1"/>
    <s v="Competição Nacional"/>
    <m/>
    <x v="0"/>
    <x v="0"/>
    <m/>
    <x v="0"/>
    <x v="0"/>
    <x v="1147"/>
    <x v="3"/>
    <x v="0"/>
    <x v="1"/>
    <x v="253"/>
    <x v="2834"/>
  </r>
  <r>
    <x v="1"/>
    <n v="462"/>
    <x v="1142"/>
    <x v="0"/>
    <s v="CM"/>
    <s v="S"/>
    <x v="772"/>
    <x v="41"/>
    <x v="444"/>
    <m/>
    <x v="283"/>
    <m/>
    <x v="3"/>
    <x v="0"/>
    <x v="285"/>
    <d v="2012-10-17T00:00:00"/>
    <x v="14"/>
    <x v="0"/>
    <m/>
    <m/>
    <x v="0"/>
    <x v="1"/>
    <m/>
    <x v="0"/>
    <x v="0"/>
    <x v="1147"/>
    <x v="3"/>
    <x v="0"/>
    <x v="1"/>
    <x v="285"/>
    <x v="2835"/>
  </r>
  <r>
    <x v="1"/>
    <n v="462"/>
    <x v="1142"/>
    <x v="0"/>
    <s v="CM"/>
    <s v="S"/>
    <x v="772"/>
    <x v="41"/>
    <x v="448"/>
    <m/>
    <x v="59"/>
    <m/>
    <x v="3"/>
    <x v="0"/>
    <x v="289"/>
    <d v="2012-12-02T00:00:00"/>
    <x v="11"/>
    <x v="1"/>
    <s v="Competição Nacional"/>
    <m/>
    <x v="0"/>
    <x v="0"/>
    <m/>
    <x v="0"/>
    <x v="0"/>
    <x v="1147"/>
    <x v="3"/>
    <x v="0"/>
    <x v="1"/>
    <x v="289"/>
    <x v="2836"/>
  </r>
  <r>
    <x v="1"/>
    <n v="464"/>
    <x v="326"/>
    <x v="0"/>
    <s v="CM"/>
    <s v="S"/>
    <x v="0"/>
    <x v="13"/>
    <x v="403"/>
    <m/>
    <x v="263"/>
    <m/>
    <x v="2"/>
    <x v="0"/>
    <x v="232"/>
    <d v="2012-04-15T00:00:00"/>
    <x v="5"/>
    <x v="0"/>
    <m/>
    <s v="Rétrospectives et Thématiques - Jeune Cinéma Portugais"/>
    <x v="0"/>
    <x v="0"/>
    <m/>
    <x v="0"/>
    <x v="0"/>
    <x v="328"/>
    <x v="2"/>
    <x v="0"/>
    <x v="0"/>
    <x v="232"/>
    <x v="2837"/>
  </r>
  <r>
    <x v="1"/>
    <n v="464"/>
    <x v="326"/>
    <x v="0"/>
    <s v="CM"/>
    <s v="S"/>
    <x v="0"/>
    <x v="13"/>
    <x v="441"/>
    <m/>
    <x v="282"/>
    <m/>
    <x v="2"/>
    <x v="0"/>
    <x v="280"/>
    <d v="2012-07-08T00:00:00"/>
    <x v="17"/>
    <x v="0"/>
    <m/>
    <s v="Hommages: Miguel Gomes"/>
    <x v="0"/>
    <x v="0"/>
    <m/>
    <x v="0"/>
    <x v="0"/>
    <x v="328"/>
    <x v="2"/>
    <x v="0"/>
    <x v="0"/>
    <x v="280"/>
    <x v="2838"/>
  </r>
  <r>
    <x v="1"/>
    <n v="464"/>
    <x v="326"/>
    <x v="0"/>
    <s v="CM"/>
    <s v="S"/>
    <x v="0"/>
    <x v="13"/>
    <x v="68"/>
    <m/>
    <x v="53"/>
    <m/>
    <x v="3"/>
    <x v="0"/>
    <x v="253"/>
    <d v="2012-07-15T00:00:00"/>
    <x v="8"/>
    <x v="0"/>
    <m/>
    <s v="20 anos: Premiados"/>
    <x v="0"/>
    <x v="0"/>
    <m/>
    <x v="0"/>
    <x v="0"/>
    <x v="328"/>
    <x v="3"/>
    <x v="0"/>
    <x v="1"/>
    <x v="253"/>
    <x v="2839"/>
  </r>
  <r>
    <x v="1"/>
    <n v="464"/>
    <x v="326"/>
    <x v="0"/>
    <s v="CM"/>
    <s v="S"/>
    <x v="0"/>
    <x v="13"/>
    <x v="179"/>
    <m/>
    <x v="133"/>
    <m/>
    <x v="0"/>
    <x v="0"/>
    <x v="233"/>
    <d v="2012-11-01T00:00:00"/>
    <x v="0"/>
    <x v="0"/>
    <m/>
    <s v="Homenagem a Miguel Gomes"/>
    <x v="0"/>
    <x v="0"/>
    <m/>
    <x v="0"/>
    <x v="0"/>
    <x v="328"/>
    <x v="0"/>
    <x v="0"/>
    <x v="0"/>
    <x v="233"/>
    <x v="2840"/>
  </r>
  <r>
    <x v="1"/>
    <n v="464"/>
    <x v="326"/>
    <x v="0"/>
    <s v="CM"/>
    <s v="S"/>
    <x v="0"/>
    <x v="13"/>
    <x v="404"/>
    <m/>
    <x v="264"/>
    <m/>
    <x v="15"/>
    <x v="0"/>
    <x v="234"/>
    <d v="2012-12-01T00:00:00"/>
    <x v="11"/>
    <x v="0"/>
    <m/>
    <s v="Onde: Omaggio a Miguel Gomes"/>
    <x v="0"/>
    <x v="0"/>
    <m/>
    <x v="0"/>
    <x v="0"/>
    <x v="328"/>
    <x v="15"/>
    <x v="0"/>
    <x v="0"/>
    <x v="234"/>
    <x v="2841"/>
  </r>
  <r>
    <x v="1"/>
    <n v="1363"/>
    <x v="1143"/>
    <x v="1"/>
    <s v="CM"/>
    <s v="N"/>
    <x v="528"/>
    <x v="2"/>
    <x v="408"/>
    <m/>
    <x v="266"/>
    <m/>
    <x v="2"/>
    <x v="0"/>
    <x v="238"/>
    <d v="2012-08-25T00:00:00"/>
    <x v="16"/>
    <x v="0"/>
    <m/>
    <s v="Route du Doc: Portugal"/>
    <x v="0"/>
    <x v="1"/>
    <m/>
    <x v="0"/>
    <x v="2"/>
    <x v="1148"/>
    <x v="2"/>
    <x v="0"/>
    <x v="0"/>
    <x v="238"/>
    <x v="2842"/>
  </r>
  <r>
    <x v="1"/>
    <n v="1321"/>
    <x v="1144"/>
    <x v="1"/>
    <s v="CM"/>
    <s v="N"/>
    <x v="124"/>
    <x v="2"/>
    <x v="316"/>
    <m/>
    <x v="11"/>
    <m/>
    <x v="3"/>
    <x v="0"/>
    <x v="199"/>
    <d v="2012-08-25T00:00:00"/>
    <x v="16"/>
    <x v="1"/>
    <s v="Documentário"/>
    <m/>
    <x v="0"/>
    <x v="0"/>
    <m/>
    <x v="0"/>
    <x v="2"/>
    <x v="1149"/>
    <x v="3"/>
    <x v="0"/>
    <x v="1"/>
    <x v="199"/>
    <x v="2843"/>
  </r>
  <r>
    <x v="1"/>
    <n v="1575"/>
    <x v="1145"/>
    <x v="1"/>
    <s v="CM"/>
    <s v="N"/>
    <x v="773"/>
    <x v="41"/>
    <x v="25"/>
    <m/>
    <x v="24"/>
    <m/>
    <x v="3"/>
    <x v="0"/>
    <x v="294"/>
    <d v="2012-10-28T00:00:00"/>
    <x v="14"/>
    <x v="0"/>
    <m/>
    <s v="Cinema de Urgência"/>
    <x v="0"/>
    <x v="0"/>
    <m/>
    <x v="0"/>
    <x v="2"/>
    <x v="1150"/>
    <x v="3"/>
    <x v="0"/>
    <x v="1"/>
    <x v="294"/>
    <x v="2844"/>
  </r>
  <r>
    <x v="1"/>
    <n v="465"/>
    <x v="327"/>
    <x v="0"/>
    <s v="CM"/>
    <s v="N"/>
    <x v="277"/>
    <x v="3"/>
    <x v="413"/>
    <m/>
    <x v="270"/>
    <m/>
    <x v="3"/>
    <x v="0"/>
    <x v="243"/>
    <d v="2012-06-03T00:00:00"/>
    <x v="7"/>
    <x v="1"/>
    <s v="Universidades"/>
    <m/>
    <x v="0"/>
    <x v="0"/>
    <m/>
    <x v="0"/>
    <x v="0"/>
    <x v="329"/>
    <x v="3"/>
    <x v="0"/>
    <x v="1"/>
    <x v="243"/>
    <x v="2845"/>
  </r>
  <r>
    <x v="1"/>
    <n v="465"/>
    <x v="327"/>
    <x v="0"/>
    <s v="CM"/>
    <s v="N"/>
    <x v="277"/>
    <x v="3"/>
    <x v="445"/>
    <m/>
    <x v="284"/>
    <m/>
    <x v="3"/>
    <x v="0"/>
    <x v="286"/>
    <d v="2012-09-08T00:00:00"/>
    <x v="9"/>
    <x v="1"/>
    <m/>
    <m/>
    <x v="289"/>
    <x v="0"/>
    <m/>
    <x v="1"/>
    <x v="0"/>
    <x v="329"/>
    <x v="3"/>
    <x v="343"/>
    <x v="1"/>
    <x v="286"/>
    <x v="2846"/>
  </r>
  <r>
    <x v="1"/>
    <n v="465"/>
    <x v="327"/>
    <x v="0"/>
    <s v="CM"/>
    <s v="N"/>
    <x v="277"/>
    <x v="3"/>
    <x v="576"/>
    <m/>
    <x v="323"/>
    <m/>
    <x v="3"/>
    <x v="0"/>
    <x v="285"/>
    <d v="2012-10-20T00:00:00"/>
    <x v="14"/>
    <x v="1"/>
    <m/>
    <m/>
    <x v="290"/>
    <x v="0"/>
    <m/>
    <x v="1"/>
    <x v="0"/>
    <x v="329"/>
    <x v="3"/>
    <x v="344"/>
    <x v="1"/>
    <x v="285"/>
    <x v="2847"/>
  </r>
  <r>
    <x v="1"/>
    <n v="465"/>
    <x v="327"/>
    <x v="0"/>
    <s v="CM"/>
    <s v="N"/>
    <x v="277"/>
    <x v="3"/>
    <x v="22"/>
    <m/>
    <x v="22"/>
    <m/>
    <x v="3"/>
    <x v="0"/>
    <x v="251"/>
    <d v="2012-11-18T00:00:00"/>
    <x v="13"/>
    <x v="1"/>
    <s v="Ensaios Visuais"/>
    <m/>
    <x v="0"/>
    <x v="0"/>
    <m/>
    <x v="0"/>
    <x v="0"/>
    <x v="329"/>
    <x v="3"/>
    <x v="0"/>
    <x v="1"/>
    <x v="251"/>
    <x v="2848"/>
  </r>
  <r>
    <x v="1"/>
    <n v="465"/>
    <x v="327"/>
    <x v="0"/>
    <s v="CM"/>
    <s v="N"/>
    <x v="277"/>
    <x v="3"/>
    <x v="642"/>
    <m/>
    <x v="23"/>
    <m/>
    <x v="3"/>
    <x v="0"/>
    <x v="418"/>
    <m/>
    <x v="13"/>
    <x v="1"/>
    <m/>
    <m/>
    <x v="0"/>
    <x v="1"/>
    <m/>
    <x v="0"/>
    <x v="0"/>
    <x v="329"/>
    <x v="3"/>
    <x v="0"/>
    <x v="1"/>
    <x v="418"/>
    <x v="2849"/>
  </r>
  <r>
    <x v="1"/>
    <n v="465"/>
    <x v="327"/>
    <x v="0"/>
    <s v="CM"/>
    <s v="N"/>
    <x v="277"/>
    <x v="3"/>
    <x v="37"/>
    <m/>
    <x v="35"/>
    <m/>
    <x v="2"/>
    <x v="0"/>
    <x v="304"/>
    <d v="2012-12-02T00:00:00"/>
    <x v="11"/>
    <x v="0"/>
    <m/>
    <s v="Panorama Fenêtre Ouverte Universitaire"/>
    <x v="0"/>
    <x v="0"/>
    <m/>
    <x v="0"/>
    <x v="0"/>
    <x v="329"/>
    <x v="2"/>
    <x v="0"/>
    <x v="0"/>
    <x v="304"/>
    <x v="2850"/>
  </r>
  <r>
    <x v="1"/>
    <n v="1475"/>
    <x v="1146"/>
    <x v="0"/>
    <s v="CM"/>
    <s v="N"/>
    <x v="774"/>
    <x v="3"/>
    <x v="68"/>
    <m/>
    <x v="53"/>
    <m/>
    <x v="3"/>
    <x v="0"/>
    <x v="253"/>
    <d v="2012-07-15T00:00:00"/>
    <x v="8"/>
    <x v="1"/>
    <s v="Take One!"/>
    <m/>
    <x v="0"/>
    <x v="0"/>
    <m/>
    <x v="0"/>
    <x v="0"/>
    <x v="1151"/>
    <x v="3"/>
    <x v="0"/>
    <x v="1"/>
    <x v="253"/>
    <x v="2851"/>
  </r>
  <r>
    <x v="1"/>
    <n v="466"/>
    <x v="1147"/>
    <x v="4"/>
    <s v="CM"/>
    <s v="N"/>
    <x v="775"/>
    <x v="2"/>
    <x v="424"/>
    <m/>
    <x v="24"/>
    <m/>
    <x v="3"/>
    <x v="0"/>
    <x v="255"/>
    <d v="2012-06-17T00:00:00"/>
    <x v="7"/>
    <x v="1"/>
    <s v="Curta Metragem"/>
    <m/>
    <x v="0"/>
    <x v="0"/>
    <m/>
    <x v="0"/>
    <x v="8"/>
    <x v="1152"/>
    <x v="3"/>
    <x v="0"/>
    <x v="1"/>
    <x v="255"/>
    <x v="2852"/>
  </r>
  <r>
    <x v="1"/>
    <n v="1295"/>
    <x v="1148"/>
    <x v="0"/>
    <s v="CM"/>
    <s v="N"/>
    <x v="776"/>
    <x v="2"/>
    <x v="445"/>
    <m/>
    <x v="284"/>
    <m/>
    <x v="3"/>
    <x v="0"/>
    <x v="286"/>
    <d v="2012-09-08T00:00:00"/>
    <x v="9"/>
    <x v="1"/>
    <m/>
    <m/>
    <x v="0"/>
    <x v="0"/>
    <m/>
    <x v="0"/>
    <x v="0"/>
    <x v="1153"/>
    <x v="3"/>
    <x v="0"/>
    <x v="1"/>
    <x v="286"/>
    <x v="2853"/>
  </r>
  <r>
    <x v="1"/>
    <n v="1596"/>
    <x v="1149"/>
    <x v="3"/>
    <s v="CM"/>
    <s v="N"/>
    <x v="101"/>
    <x v="2"/>
    <x v="22"/>
    <m/>
    <x v="22"/>
    <m/>
    <x v="3"/>
    <x v="0"/>
    <x v="251"/>
    <d v="2012-11-18T00:00:00"/>
    <x v="13"/>
    <x v="1"/>
    <s v="Ensaios Visuais"/>
    <m/>
    <x v="0"/>
    <x v="0"/>
    <m/>
    <x v="0"/>
    <x v="6"/>
    <x v="1154"/>
    <x v="3"/>
    <x v="0"/>
    <x v="1"/>
    <x v="251"/>
    <x v="2854"/>
  </r>
  <r>
    <x v="1"/>
    <n v="468"/>
    <x v="1150"/>
    <x v="0"/>
    <s v="CM"/>
    <s v="N"/>
    <x v="777"/>
    <x v="2"/>
    <x v="626"/>
    <m/>
    <x v="338"/>
    <m/>
    <x v="3"/>
    <x v="0"/>
    <x v="404"/>
    <m/>
    <x v="2"/>
    <x v="1"/>
    <m/>
    <m/>
    <x v="291"/>
    <x v="0"/>
    <m/>
    <x v="1"/>
    <x v="0"/>
    <x v="1155"/>
    <x v="3"/>
    <x v="345"/>
    <x v="1"/>
    <x v="404"/>
    <x v="2855"/>
  </r>
  <r>
    <x v="1"/>
    <n v="470"/>
    <x v="1151"/>
    <x v="1"/>
    <s v="CM"/>
    <s v="N"/>
    <x v="778"/>
    <x v="2"/>
    <x v="514"/>
    <m/>
    <x v="99"/>
    <m/>
    <x v="3"/>
    <x v="0"/>
    <x v="241"/>
    <d v="2012-05-18T00:00:00"/>
    <x v="6"/>
    <x v="1"/>
    <s v="Prémio Primeiro Olhar"/>
    <m/>
    <x v="0"/>
    <x v="0"/>
    <m/>
    <x v="0"/>
    <x v="2"/>
    <x v="1156"/>
    <x v="3"/>
    <x v="0"/>
    <x v="1"/>
    <x v="241"/>
    <x v="2856"/>
  </r>
  <r>
    <x v="1"/>
    <n v="470"/>
    <x v="1151"/>
    <x v="1"/>
    <s v="CM"/>
    <s v="N"/>
    <x v="778"/>
    <x v="2"/>
    <x v="412"/>
    <m/>
    <x v="269"/>
    <m/>
    <x v="3"/>
    <x v="0"/>
    <x v="242"/>
    <m/>
    <x v="7"/>
    <x v="1"/>
    <m/>
    <m/>
    <x v="292"/>
    <x v="0"/>
    <m/>
    <x v="1"/>
    <x v="2"/>
    <x v="1156"/>
    <x v="3"/>
    <x v="346"/>
    <x v="1"/>
    <x v="242"/>
    <x v="2857"/>
  </r>
  <r>
    <x v="1"/>
    <n v="470"/>
    <x v="1151"/>
    <x v="1"/>
    <s v="CM"/>
    <s v="N"/>
    <x v="778"/>
    <x v="2"/>
    <x v="316"/>
    <m/>
    <x v="11"/>
    <m/>
    <x v="3"/>
    <x v="0"/>
    <x v="199"/>
    <d v="2012-08-25T00:00:00"/>
    <x v="16"/>
    <x v="1"/>
    <s v="Documentário"/>
    <m/>
    <x v="7"/>
    <x v="0"/>
    <m/>
    <x v="1"/>
    <x v="2"/>
    <x v="1156"/>
    <x v="3"/>
    <x v="347"/>
    <x v="1"/>
    <x v="199"/>
    <x v="2858"/>
  </r>
  <r>
    <x v="1"/>
    <n v="470"/>
    <x v="1151"/>
    <x v="1"/>
    <s v="CM"/>
    <s v="N"/>
    <x v="778"/>
    <x v="2"/>
    <x v="22"/>
    <m/>
    <x v="22"/>
    <m/>
    <x v="3"/>
    <x v="0"/>
    <x v="251"/>
    <d v="2012-11-18T00:00:00"/>
    <x v="13"/>
    <x v="1"/>
    <s v="Ensaios Visuais"/>
    <m/>
    <x v="0"/>
    <x v="0"/>
    <m/>
    <x v="0"/>
    <x v="2"/>
    <x v="1156"/>
    <x v="3"/>
    <x v="0"/>
    <x v="1"/>
    <x v="251"/>
    <x v="2859"/>
  </r>
  <r>
    <x v="1"/>
    <n v="471"/>
    <x v="330"/>
    <x v="1"/>
    <s v="CM"/>
    <s v=""/>
    <x v="279"/>
    <x v="2"/>
    <x v="519"/>
    <m/>
    <x v="24"/>
    <m/>
    <x v="3"/>
    <x v="0"/>
    <x v="319"/>
    <d v="2012-04-21T00:00:00"/>
    <x v="5"/>
    <x v="0"/>
    <m/>
    <m/>
    <x v="0"/>
    <x v="1"/>
    <m/>
    <x v="0"/>
    <x v="2"/>
    <x v="332"/>
    <x v="3"/>
    <x v="0"/>
    <x v="1"/>
    <x v="319"/>
    <x v="2860"/>
  </r>
  <r>
    <x v="1"/>
    <n v="1446"/>
    <x v="1152"/>
    <x v="1"/>
    <s v="CM"/>
    <s v=""/>
    <x v="401"/>
    <x v="46"/>
    <x v="25"/>
    <m/>
    <x v="24"/>
    <m/>
    <x v="3"/>
    <x v="0"/>
    <x v="294"/>
    <d v="2012-10-28T00:00:00"/>
    <x v="14"/>
    <x v="0"/>
    <m/>
    <s v="Sessões Especiais"/>
    <x v="0"/>
    <x v="0"/>
    <m/>
    <x v="0"/>
    <x v="2"/>
    <x v="1157"/>
    <x v="3"/>
    <x v="0"/>
    <x v="1"/>
    <x v="294"/>
    <x v="2861"/>
  </r>
  <r>
    <x v="1"/>
    <n v="1446"/>
    <x v="1152"/>
    <x v="1"/>
    <s v="CM"/>
    <s v=""/>
    <x v="401"/>
    <x v="46"/>
    <x v="80"/>
    <m/>
    <x v="60"/>
    <m/>
    <x v="3"/>
    <x v="0"/>
    <x v="251"/>
    <d v="2012-11-18T00:00:00"/>
    <x v="13"/>
    <x v="0"/>
    <m/>
    <s v="Homenagens: João Pedro Rodrigues e João Rui Guerra da Mata"/>
    <x v="0"/>
    <x v="0"/>
    <m/>
    <x v="0"/>
    <x v="2"/>
    <x v="1157"/>
    <x v="3"/>
    <x v="0"/>
    <x v="1"/>
    <x v="251"/>
    <x v="2862"/>
  </r>
  <r>
    <x v="1"/>
    <n v="472"/>
    <x v="1153"/>
    <x v="1"/>
    <s v="LM"/>
    <s v=""/>
    <x v="779"/>
    <x v="2"/>
    <x v="162"/>
    <m/>
    <x v="124"/>
    <m/>
    <x v="3"/>
    <x v="0"/>
    <x v="403"/>
    <m/>
    <x v="1"/>
    <x v="0"/>
    <m/>
    <m/>
    <x v="0"/>
    <x v="1"/>
    <m/>
    <x v="0"/>
    <x v="1"/>
    <x v="1158"/>
    <x v="3"/>
    <x v="0"/>
    <x v="1"/>
    <x v="403"/>
    <x v="2863"/>
  </r>
  <r>
    <x v="1"/>
    <n v="1543"/>
    <x v="1154"/>
    <x v="0"/>
    <s v="CM"/>
    <s v="N"/>
    <x v="780"/>
    <x v="5"/>
    <x v="80"/>
    <m/>
    <x v="60"/>
    <m/>
    <x v="3"/>
    <x v="0"/>
    <x v="251"/>
    <d v="2012-11-18T00:00:00"/>
    <x v="13"/>
    <x v="1"/>
    <s v="Encontros - Competição Curtas Meragens MEO "/>
    <m/>
    <x v="0"/>
    <x v="0"/>
    <m/>
    <x v="0"/>
    <x v="0"/>
    <x v="1159"/>
    <x v="3"/>
    <x v="0"/>
    <x v="1"/>
    <x v="251"/>
    <x v="2864"/>
  </r>
  <r>
    <x v="1"/>
    <n v="1543"/>
    <x v="1154"/>
    <x v="0"/>
    <s v="CM"/>
    <s v="N"/>
    <x v="780"/>
    <x v="5"/>
    <x v="22"/>
    <m/>
    <x v="22"/>
    <m/>
    <x v="3"/>
    <x v="0"/>
    <x v="251"/>
    <d v="2012-11-18T00:00:00"/>
    <x v="13"/>
    <x v="1"/>
    <s v="Ensaios Visuais"/>
    <m/>
    <x v="0"/>
    <x v="0"/>
    <m/>
    <x v="0"/>
    <x v="0"/>
    <x v="1159"/>
    <x v="3"/>
    <x v="0"/>
    <x v="1"/>
    <x v="251"/>
    <x v="2865"/>
  </r>
  <r>
    <x v="1"/>
    <n v="473"/>
    <x v="1155"/>
    <x v="3"/>
    <s v="CM"/>
    <s v="N"/>
    <x v="781"/>
    <x v="2"/>
    <x v="411"/>
    <m/>
    <x v="268"/>
    <m/>
    <x v="0"/>
    <x v="0"/>
    <x v="241"/>
    <d v="2012-05-18T00:00:00"/>
    <x v="6"/>
    <x v="0"/>
    <m/>
    <s v="Mostra dos Festivais - FIKE"/>
    <x v="0"/>
    <x v="0"/>
    <m/>
    <x v="0"/>
    <x v="6"/>
    <x v="1160"/>
    <x v="0"/>
    <x v="0"/>
    <x v="0"/>
    <x v="241"/>
    <x v="2866"/>
  </r>
  <r>
    <x v="1"/>
    <n v="473"/>
    <x v="1155"/>
    <x v="3"/>
    <s v="CM"/>
    <s v="N"/>
    <x v="781"/>
    <x v="2"/>
    <x v="222"/>
    <m/>
    <x v="24"/>
    <m/>
    <x v="3"/>
    <x v="0"/>
    <x v="419"/>
    <m/>
    <x v="8"/>
    <x v="1"/>
    <s v="Arte e Cultura"/>
    <m/>
    <x v="7"/>
    <x v="2"/>
    <m/>
    <x v="1"/>
    <x v="6"/>
    <x v="1160"/>
    <x v="3"/>
    <x v="348"/>
    <x v="1"/>
    <x v="419"/>
    <x v="2867"/>
  </r>
  <r>
    <x v="1"/>
    <n v="473"/>
    <x v="1155"/>
    <x v="3"/>
    <s v="CM"/>
    <s v="N"/>
    <x v="781"/>
    <x v="2"/>
    <x v="192"/>
    <m/>
    <x v="140"/>
    <m/>
    <x v="3"/>
    <x v="0"/>
    <x v="250"/>
    <d v="2012-07-29T00:00:00"/>
    <x v="8"/>
    <x v="1"/>
    <s v="Competição AVANCA"/>
    <m/>
    <x v="0"/>
    <x v="0"/>
    <m/>
    <x v="0"/>
    <x v="6"/>
    <x v="1160"/>
    <x v="3"/>
    <x v="0"/>
    <x v="1"/>
    <x v="250"/>
    <x v="2868"/>
  </r>
  <r>
    <x v="1"/>
    <n v="473"/>
    <x v="1155"/>
    <x v="3"/>
    <s v="CM"/>
    <s v="N"/>
    <x v="781"/>
    <x v="2"/>
    <x v="70"/>
    <m/>
    <x v="38"/>
    <m/>
    <x v="3"/>
    <x v="0"/>
    <x v="349"/>
    <d v="2012-09-16T00:00:00"/>
    <x v="9"/>
    <x v="1"/>
    <m/>
    <m/>
    <x v="93"/>
    <x v="0"/>
    <m/>
    <x v="1"/>
    <x v="6"/>
    <x v="1160"/>
    <x v="3"/>
    <x v="349"/>
    <x v="1"/>
    <x v="349"/>
    <x v="2869"/>
  </r>
  <r>
    <x v="1"/>
    <n v="473"/>
    <x v="1155"/>
    <x v="3"/>
    <s v="CM"/>
    <s v="N"/>
    <x v="781"/>
    <x v="2"/>
    <x v="466"/>
    <m/>
    <x v="288"/>
    <m/>
    <x v="10"/>
    <x v="0"/>
    <x v="312"/>
    <d v="2012-09-30T00:00:00"/>
    <x v="9"/>
    <x v="1"/>
    <s v="Experimental"/>
    <m/>
    <x v="0"/>
    <x v="0"/>
    <m/>
    <x v="0"/>
    <x v="6"/>
    <x v="1160"/>
    <x v="10"/>
    <x v="0"/>
    <x v="0"/>
    <x v="312"/>
    <x v="2870"/>
  </r>
  <r>
    <x v="1"/>
    <n v="473"/>
    <x v="1155"/>
    <x v="3"/>
    <s v="CM"/>
    <s v="N"/>
    <x v="781"/>
    <x v="2"/>
    <x v="115"/>
    <m/>
    <x v="88"/>
    <m/>
    <x v="25"/>
    <x v="0"/>
    <x v="267"/>
    <d v="2012-11-17T00:00:00"/>
    <x v="13"/>
    <x v="1"/>
    <s v="Frei Experimental"/>
    <m/>
    <x v="293"/>
    <x v="0"/>
    <m/>
    <x v="1"/>
    <x v="6"/>
    <x v="1160"/>
    <x v="25"/>
    <x v="350"/>
    <x v="0"/>
    <x v="267"/>
    <x v="2871"/>
  </r>
  <r>
    <x v="1"/>
    <n v="475"/>
    <x v="332"/>
    <x v="2"/>
    <s v="CM"/>
    <s v="S"/>
    <x v="281"/>
    <x v="2"/>
    <x v="487"/>
    <m/>
    <x v="295"/>
    <m/>
    <x v="10"/>
    <x v="0"/>
    <x v="287"/>
    <d v="2012-04-01T00:00:00"/>
    <x v="3"/>
    <x v="0"/>
    <m/>
    <s v="Portugal: Contemporary Animation Films"/>
    <x v="0"/>
    <x v="0"/>
    <m/>
    <x v="0"/>
    <x v="4"/>
    <x v="334"/>
    <x v="10"/>
    <x v="0"/>
    <x v="0"/>
    <x v="287"/>
    <x v="2872"/>
  </r>
  <r>
    <x v="1"/>
    <n v="475"/>
    <x v="332"/>
    <x v="2"/>
    <s v="CM"/>
    <s v="S"/>
    <x v="281"/>
    <x v="2"/>
    <x v="590"/>
    <m/>
    <x v="328"/>
    <m/>
    <x v="11"/>
    <x v="0"/>
    <x v="281"/>
    <d v="2012-05-01T00:00:00"/>
    <x v="4"/>
    <x v="0"/>
    <m/>
    <s v="Pedro Serrazina: The Specifics of Using Space and Narration in Animation "/>
    <x v="0"/>
    <x v="0"/>
    <m/>
    <x v="0"/>
    <x v="4"/>
    <x v="334"/>
    <x v="11"/>
    <x v="0"/>
    <x v="0"/>
    <x v="281"/>
    <x v="2873"/>
  </r>
  <r>
    <x v="1"/>
    <n v="1869"/>
    <x v="1156"/>
    <x v="1"/>
    <s v="CM"/>
    <s v="N"/>
    <x v="782"/>
    <x v="5"/>
    <x v="614"/>
    <m/>
    <x v="59"/>
    <m/>
    <x v="3"/>
    <x v="0"/>
    <x v="408"/>
    <d v="2012-12-16T00:00:00"/>
    <x v="12"/>
    <x v="0"/>
    <m/>
    <m/>
    <x v="0"/>
    <x v="1"/>
    <m/>
    <x v="0"/>
    <x v="2"/>
    <x v="1161"/>
    <x v="3"/>
    <x v="0"/>
    <x v="1"/>
    <x v="408"/>
    <x v="2874"/>
  </r>
  <r>
    <x v="1"/>
    <n v="476"/>
    <x v="333"/>
    <x v="0"/>
    <s v="LM"/>
    <s v="S"/>
    <x v="282"/>
    <x v="3"/>
    <x v="643"/>
    <m/>
    <x v="23"/>
    <m/>
    <x v="3"/>
    <x v="0"/>
    <x v="352"/>
    <m/>
    <x v="15"/>
    <x v="0"/>
    <m/>
    <m/>
    <x v="0"/>
    <x v="1"/>
    <m/>
    <x v="0"/>
    <x v="5"/>
    <x v="335"/>
    <x v="3"/>
    <x v="0"/>
    <x v="1"/>
    <x v="352"/>
    <x v="2875"/>
  </r>
  <r>
    <x v="1"/>
    <n v="476"/>
    <x v="333"/>
    <x v="0"/>
    <s v="LM"/>
    <s v="S"/>
    <x v="282"/>
    <x v="3"/>
    <x v="644"/>
    <m/>
    <x v="25"/>
    <m/>
    <x v="3"/>
    <x v="0"/>
    <x v="357"/>
    <m/>
    <x v="15"/>
    <x v="0"/>
    <m/>
    <m/>
    <x v="0"/>
    <x v="1"/>
    <m/>
    <x v="0"/>
    <x v="5"/>
    <x v="335"/>
    <x v="3"/>
    <x v="0"/>
    <x v="1"/>
    <x v="357"/>
    <x v="2876"/>
  </r>
  <r>
    <x v="1"/>
    <n v="476"/>
    <x v="333"/>
    <x v="0"/>
    <s v="LM"/>
    <s v="S"/>
    <x v="282"/>
    <x v="3"/>
    <x v="645"/>
    <m/>
    <x v="8"/>
    <m/>
    <x v="3"/>
    <x v="0"/>
    <x v="390"/>
    <m/>
    <x v="15"/>
    <x v="0"/>
    <m/>
    <m/>
    <x v="0"/>
    <x v="1"/>
    <m/>
    <x v="0"/>
    <x v="5"/>
    <x v="335"/>
    <x v="3"/>
    <x v="0"/>
    <x v="1"/>
    <x v="390"/>
    <x v="2877"/>
  </r>
  <r>
    <x v="1"/>
    <n v="476"/>
    <x v="333"/>
    <x v="0"/>
    <s v="LM"/>
    <s v="S"/>
    <x v="282"/>
    <x v="3"/>
    <x v="646"/>
    <m/>
    <x v="22"/>
    <m/>
    <x v="3"/>
    <x v="0"/>
    <x v="235"/>
    <m/>
    <x v="15"/>
    <x v="0"/>
    <m/>
    <m/>
    <x v="0"/>
    <x v="1"/>
    <m/>
    <x v="0"/>
    <x v="5"/>
    <x v="335"/>
    <x v="3"/>
    <x v="0"/>
    <x v="1"/>
    <x v="235"/>
    <x v="2878"/>
  </r>
  <r>
    <x v="1"/>
    <n v="476"/>
    <x v="333"/>
    <x v="0"/>
    <s v="LM"/>
    <s v="S"/>
    <x v="282"/>
    <x v="3"/>
    <x v="647"/>
    <m/>
    <x v="24"/>
    <m/>
    <x v="3"/>
    <x v="0"/>
    <x v="292"/>
    <m/>
    <x v="1"/>
    <x v="0"/>
    <m/>
    <m/>
    <x v="0"/>
    <x v="1"/>
    <m/>
    <x v="0"/>
    <x v="5"/>
    <x v="335"/>
    <x v="3"/>
    <x v="0"/>
    <x v="1"/>
    <x v="292"/>
    <x v="2879"/>
  </r>
  <r>
    <x v="1"/>
    <n v="476"/>
    <x v="333"/>
    <x v="0"/>
    <s v="LM"/>
    <s v="S"/>
    <x v="282"/>
    <x v="3"/>
    <x v="555"/>
    <m/>
    <x v="317"/>
    <m/>
    <x v="8"/>
    <x v="0"/>
    <x v="358"/>
    <d v="2012-04-29T00:00:00"/>
    <x v="5"/>
    <x v="0"/>
    <m/>
    <m/>
    <x v="0"/>
    <x v="0"/>
    <m/>
    <x v="0"/>
    <x v="5"/>
    <x v="335"/>
    <x v="8"/>
    <x v="0"/>
    <x v="0"/>
    <x v="358"/>
    <x v="2880"/>
  </r>
  <r>
    <x v="1"/>
    <n v="476"/>
    <x v="333"/>
    <x v="0"/>
    <s v="LM"/>
    <s v="S"/>
    <x v="282"/>
    <x v="3"/>
    <x v="539"/>
    <m/>
    <x v="76"/>
    <m/>
    <x v="3"/>
    <x v="0"/>
    <x v="367"/>
    <d v="2012-05-06T00:00:00"/>
    <x v="6"/>
    <x v="1"/>
    <m/>
    <m/>
    <x v="0"/>
    <x v="0"/>
    <m/>
    <x v="0"/>
    <x v="5"/>
    <x v="335"/>
    <x v="3"/>
    <x v="0"/>
    <x v="1"/>
    <x v="367"/>
    <x v="2881"/>
  </r>
  <r>
    <x v="1"/>
    <n v="476"/>
    <x v="333"/>
    <x v="0"/>
    <s v="LM"/>
    <s v="S"/>
    <x v="282"/>
    <x v="3"/>
    <x v="648"/>
    <m/>
    <x v="342"/>
    <m/>
    <x v="65"/>
    <x v="0"/>
    <x v="264"/>
    <d v="2012-06-17T00:00:00"/>
    <x v="7"/>
    <x v="0"/>
    <m/>
    <m/>
    <x v="0"/>
    <x v="0"/>
    <m/>
    <x v="0"/>
    <x v="5"/>
    <x v="335"/>
    <x v="65"/>
    <x v="0"/>
    <x v="0"/>
    <x v="264"/>
    <x v="2882"/>
  </r>
  <r>
    <x v="1"/>
    <n v="476"/>
    <x v="333"/>
    <x v="0"/>
    <s v="LM"/>
    <s v="S"/>
    <x v="282"/>
    <x v="3"/>
    <x v="606"/>
    <m/>
    <x v="333"/>
    <m/>
    <x v="11"/>
    <x v="0"/>
    <x v="280"/>
    <d v="2012-07-07T00:00:00"/>
    <x v="17"/>
    <x v="1"/>
    <s v="Competition of Feature Films"/>
    <m/>
    <x v="294"/>
    <x v="0"/>
    <m/>
    <x v="1"/>
    <x v="5"/>
    <x v="335"/>
    <x v="11"/>
    <x v="351"/>
    <x v="0"/>
    <x v="280"/>
    <x v="2883"/>
  </r>
  <r>
    <x v="1"/>
    <n v="476"/>
    <x v="333"/>
    <x v="0"/>
    <s v="LM"/>
    <s v="S"/>
    <x v="282"/>
    <x v="3"/>
    <x v="649"/>
    <m/>
    <x v="8"/>
    <m/>
    <x v="3"/>
    <x v="0"/>
    <x v="257"/>
    <m/>
    <x v="9"/>
    <x v="0"/>
    <m/>
    <m/>
    <x v="0"/>
    <x v="1"/>
    <m/>
    <x v="0"/>
    <x v="5"/>
    <x v="335"/>
    <x v="3"/>
    <x v="0"/>
    <x v="1"/>
    <x v="257"/>
    <x v="2884"/>
  </r>
  <r>
    <x v="1"/>
    <n v="476"/>
    <x v="333"/>
    <x v="0"/>
    <s v="LM"/>
    <s v="S"/>
    <x v="282"/>
    <x v="3"/>
    <x v="88"/>
    <m/>
    <x v="67"/>
    <m/>
    <x v="3"/>
    <x v="0"/>
    <x v="262"/>
    <d v="2012-10-13T00:00:00"/>
    <x v="14"/>
    <x v="0"/>
    <m/>
    <s v="Panorama Nacional/Internacional"/>
    <x v="0"/>
    <x v="0"/>
    <m/>
    <x v="0"/>
    <x v="5"/>
    <x v="335"/>
    <x v="3"/>
    <x v="0"/>
    <x v="1"/>
    <x v="262"/>
    <x v="2885"/>
  </r>
  <r>
    <x v="1"/>
    <n v="476"/>
    <x v="333"/>
    <x v="0"/>
    <s v="LM"/>
    <s v="S"/>
    <x v="282"/>
    <x v="3"/>
    <x v="179"/>
    <m/>
    <x v="133"/>
    <m/>
    <x v="0"/>
    <x v="0"/>
    <x v="233"/>
    <d v="2012-11-01T00:00:00"/>
    <x v="0"/>
    <x v="1"/>
    <s v="Competição Novos Diretores"/>
    <m/>
    <x v="0"/>
    <x v="0"/>
    <m/>
    <x v="0"/>
    <x v="5"/>
    <x v="335"/>
    <x v="0"/>
    <x v="0"/>
    <x v="0"/>
    <x v="233"/>
    <x v="2886"/>
  </r>
  <r>
    <x v="1"/>
    <n v="476"/>
    <x v="333"/>
    <x v="0"/>
    <s v="LM"/>
    <s v="S"/>
    <x v="282"/>
    <x v="3"/>
    <x v="583"/>
    <m/>
    <x v="49"/>
    <m/>
    <x v="3"/>
    <x v="0"/>
    <x v="325"/>
    <m/>
    <x v="13"/>
    <x v="1"/>
    <m/>
    <m/>
    <x v="0"/>
    <x v="1"/>
    <m/>
    <x v="0"/>
    <x v="5"/>
    <x v="335"/>
    <x v="3"/>
    <x v="0"/>
    <x v="1"/>
    <x v="325"/>
    <x v="2887"/>
  </r>
  <r>
    <x v="1"/>
    <n v="476"/>
    <x v="333"/>
    <x v="0"/>
    <s v="LM"/>
    <s v="S"/>
    <x v="282"/>
    <x v="3"/>
    <x v="571"/>
    <m/>
    <x v="321"/>
    <m/>
    <x v="3"/>
    <x v="0"/>
    <x v="387"/>
    <d v="2012-11-25T00:00:00"/>
    <x v="13"/>
    <x v="0"/>
    <m/>
    <m/>
    <x v="0"/>
    <x v="1"/>
    <m/>
    <x v="0"/>
    <x v="5"/>
    <x v="335"/>
    <x v="3"/>
    <x v="0"/>
    <x v="1"/>
    <x v="387"/>
    <x v="2888"/>
  </r>
  <r>
    <x v="1"/>
    <n v="477"/>
    <x v="1157"/>
    <x v="2"/>
    <s v="CM"/>
    <s v=""/>
    <x v="638"/>
    <x v="2"/>
    <x v="487"/>
    <m/>
    <x v="295"/>
    <m/>
    <x v="10"/>
    <x v="0"/>
    <x v="287"/>
    <d v="2012-04-01T00:00:00"/>
    <x v="3"/>
    <x v="0"/>
    <m/>
    <s v="Portugal: Contemporary Animation Films"/>
    <x v="0"/>
    <x v="0"/>
    <m/>
    <x v="0"/>
    <x v="4"/>
    <x v="1162"/>
    <x v="10"/>
    <x v="0"/>
    <x v="0"/>
    <x v="287"/>
    <x v="2889"/>
  </r>
  <r>
    <x v="1"/>
    <n v="45"/>
    <x v="1158"/>
    <x v="0"/>
    <s v="CM"/>
    <s v="N"/>
    <x v="783"/>
    <x v="41"/>
    <x v="450"/>
    <m/>
    <x v="24"/>
    <m/>
    <x v="3"/>
    <x v="0"/>
    <x v="257"/>
    <m/>
    <x v="9"/>
    <x v="0"/>
    <m/>
    <m/>
    <x v="0"/>
    <x v="1"/>
    <m/>
    <x v="0"/>
    <x v="0"/>
    <x v="1163"/>
    <x v="3"/>
    <x v="0"/>
    <x v="1"/>
    <x v="257"/>
    <x v="2890"/>
  </r>
  <r>
    <x v="1"/>
    <n v="478"/>
    <x v="1159"/>
    <x v="1"/>
    <s v="CM"/>
    <s v="N"/>
    <x v="784"/>
    <x v="2"/>
    <x v="519"/>
    <m/>
    <x v="24"/>
    <m/>
    <x v="3"/>
    <x v="0"/>
    <x v="319"/>
    <d v="2012-04-21T00:00:00"/>
    <x v="5"/>
    <x v="0"/>
    <m/>
    <m/>
    <x v="0"/>
    <x v="1"/>
    <m/>
    <x v="0"/>
    <x v="2"/>
    <x v="1164"/>
    <x v="3"/>
    <x v="0"/>
    <x v="1"/>
    <x v="319"/>
    <x v="2891"/>
  </r>
  <r>
    <x v="1"/>
    <n v="1354"/>
    <x v="1160"/>
    <x v="1"/>
    <s v=""/>
    <s v="N"/>
    <x v="785"/>
    <x v="2"/>
    <x v="650"/>
    <s v="Évora"/>
    <x v="5"/>
    <m/>
    <x v="3"/>
    <x v="0"/>
    <x v="303"/>
    <d v="2012-09-30T00:00:00"/>
    <x v="9"/>
    <x v="0"/>
    <m/>
    <m/>
    <x v="0"/>
    <x v="1"/>
    <m/>
    <x v="0"/>
    <x v="11"/>
    <x v="1165"/>
    <x v="3"/>
    <x v="0"/>
    <x v="1"/>
    <x v="303"/>
    <x v="2892"/>
  </r>
  <r>
    <x v="1"/>
    <n v="479"/>
    <x v="1161"/>
    <x v="1"/>
    <s v="CM"/>
    <s v=""/>
    <x v="615"/>
    <x v="2"/>
    <x v="55"/>
    <m/>
    <x v="45"/>
    <m/>
    <x v="3"/>
    <x v="0"/>
    <x v="259"/>
    <d v="2012-03-28T00:00:00"/>
    <x v="2"/>
    <x v="0"/>
    <m/>
    <s v="17º Programa: As Escolhas de Leonor Noivo"/>
    <x v="0"/>
    <x v="1"/>
    <m/>
    <x v="0"/>
    <x v="2"/>
    <x v="1166"/>
    <x v="3"/>
    <x v="0"/>
    <x v="1"/>
    <x v="259"/>
    <x v="2893"/>
  </r>
  <r>
    <x v="1"/>
    <n v="481"/>
    <x v="1162"/>
    <x v="3"/>
    <s v="CM"/>
    <s v="N"/>
    <x v="695"/>
    <x v="2"/>
    <x v="464"/>
    <m/>
    <x v="40"/>
    <m/>
    <x v="3"/>
    <x v="0"/>
    <x v="311"/>
    <d v="2012-04-01T00:00:00"/>
    <x v="3"/>
    <x v="1"/>
    <s v="Competição Nacional de Curtas Experimentais"/>
    <m/>
    <x v="0"/>
    <x v="0"/>
    <m/>
    <x v="0"/>
    <x v="6"/>
    <x v="1167"/>
    <x v="3"/>
    <x v="0"/>
    <x v="1"/>
    <x v="311"/>
    <x v="2894"/>
  </r>
  <r>
    <x v="1"/>
    <n v="483"/>
    <x v="1163"/>
    <x v="1"/>
    <s v="CM"/>
    <s v="N"/>
    <x v="15"/>
    <x v="2"/>
    <x v="500"/>
    <m/>
    <x v="24"/>
    <m/>
    <x v="3"/>
    <x v="0"/>
    <x v="348"/>
    <d v="2012-03-11T00:00:00"/>
    <x v="2"/>
    <x v="0"/>
    <m/>
    <m/>
    <x v="0"/>
    <x v="1"/>
    <m/>
    <x v="0"/>
    <x v="2"/>
    <x v="1168"/>
    <x v="3"/>
    <x v="0"/>
    <x v="1"/>
    <x v="348"/>
    <x v="2895"/>
  </r>
  <r>
    <x v="1"/>
    <n v="1630"/>
    <x v="1164"/>
    <x v="1"/>
    <s v="CM"/>
    <s v=""/>
    <x v="15"/>
    <x v="22"/>
    <x v="109"/>
    <m/>
    <x v="23"/>
    <m/>
    <x v="3"/>
    <x v="0"/>
    <x v="270"/>
    <d v="2012-04-15T00:00:00"/>
    <x v="31"/>
    <x v="0"/>
    <m/>
    <s v="Momento XXI"/>
    <x v="0"/>
    <x v="1"/>
    <m/>
    <x v="0"/>
    <x v="2"/>
    <x v="1169"/>
    <x v="3"/>
    <x v="0"/>
    <x v="1"/>
    <x v="270"/>
    <x v="2896"/>
  </r>
  <r>
    <x v="1"/>
    <n v="1440"/>
    <x v="1165"/>
    <x v="1"/>
    <s v="CM"/>
    <s v="N"/>
    <x v="786"/>
    <x v="41"/>
    <x v="25"/>
    <m/>
    <x v="24"/>
    <m/>
    <x v="3"/>
    <x v="0"/>
    <x v="294"/>
    <d v="2012-10-28T00:00:00"/>
    <x v="14"/>
    <x v="0"/>
    <m/>
    <s v="Verdes Anos"/>
    <x v="0"/>
    <x v="0"/>
    <m/>
    <x v="0"/>
    <x v="2"/>
    <x v="1170"/>
    <x v="3"/>
    <x v="0"/>
    <x v="1"/>
    <x v="294"/>
    <x v="2897"/>
  </r>
  <r>
    <x v="1"/>
    <n v="485"/>
    <x v="1166"/>
    <x v="2"/>
    <s v="CM"/>
    <s v="S"/>
    <x v="518"/>
    <x v="3"/>
    <x v="81"/>
    <m/>
    <x v="61"/>
    <m/>
    <x v="2"/>
    <x v="0"/>
    <x v="352"/>
    <d v="2012-02-04T00:00:00"/>
    <x v="18"/>
    <x v="1"/>
    <s v="Compétition Internationale"/>
    <m/>
    <x v="0"/>
    <x v="0"/>
    <m/>
    <x v="0"/>
    <x v="4"/>
    <x v="1171"/>
    <x v="2"/>
    <x v="0"/>
    <x v="0"/>
    <x v="352"/>
    <x v="2898"/>
  </r>
  <r>
    <x v="1"/>
    <n v="485"/>
    <x v="1166"/>
    <x v="2"/>
    <s v="CM"/>
    <s v="S"/>
    <x v="518"/>
    <x v="3"/>
    <x v="30"/>
    <m/>
    <x v="28"/>
    <m/>
    <x v="8"/>
    <x v="0"/>
    <x v="353"/>
    <d v="2012-03-18T00:00:00"/>
    <x v="2"/>
    <x v="1"/>
    <s v="European Competition EU 7: Anymation"/>
    <m/>
    <x v="0"/>
    <x v="0"/>
    <m/>
    <x v="0"/>
    <x v="4"/>
    <x v="1171"/>
    <x v="8"/>
    <x v="0"/>
    <x v="0"/>
    <x v="353"/>
    <x v="2899"/>
  </r>
  <r>
    <x v="1"/>
    <n v="485"/>
    <x v="1166"/>
    <x v="2"/>
    <s v="CM"/>
    <s v="S"/>
    <x v="518"/>
    <x v="3"/>
    <x v="146"/>
    <m/>
    <x v="24"/>
    <m/>
    <x v="3"/>
    <x v="0"/>
    <x v="281"/>
    <d v="2012-05-06T00:00:00"/>
    <x v="4"/>
    <x v="1"/>
    <s v="Competição Internacional Curtas 8 e Competição Nacional Curtas 1"/>
    <m/>
    <x v="0"/>
    <x v="0"/>
    <m/>
    <x v="0"/>
    <x v="4"/>
    <x v="1171"/>
    <x v="3"/>
    <x v="0"/>
    <x v="1"/>
    <x v="281"/>
    <x v="2900"/>
  </r>
  <r>
    <x v="1"/>
    <n v="485"/>
    <x v="1166"/>
    <x v="2"/>
    <s v="CM"/>
    <s v="S"/>
    <x v="518"/>
    <x v="3"/>
    <x v="68"/>
    <m/>
    <x v="53"/>
    <m/>
    <x v="3"/>
    <x v="0"/>
    <x v="253"/>
    <d v="2012-07-15T00:00:00"/>
    <x v="8"/>
    <x v="0"/>
    <m/>
    <s v="Panorama Nacional"/>
    <x v="0"/>
    <x v="0"/>
    <m/>
    <x v="0"/>
    <x v="4"/>
    <x v="1171"/>
    <x v="3"/>
    <x v="0"/>
    <x v="1"/>
    <x v="253"/>
    <x v="2901"/>
  </r>
  <r>
    <x v="1"/>
    <n v="485"/>
    <x v="1166"/>
    <x v="2"/>
    <s v="CM"/>
    <s v="S"/>
    <x v="518"/>
    <x v="3"/>
    <x v="220"/>
    <m/>
    <x v="154"/>
    <m/>
    <x v="0"/>
    <x v="0"/>
    <x v="333"/>
    <d v="2012-07-29T00:00:00"/>
    <x v="8"/>
    <x v="1"/>
    <s v="Curtas Metragens"/>
    <m/>
    <x v="0"/>
    <x v="0"/>
    <m/>
    <x v="0"/>
    <x v="4"/>
    <x v="1171"/>
    <x v="0"/>
    <x v="0"/>
    <x v="0"/>
    <x v="333"/>
    <x v="2902"/>
  </r>
  <r>
    <x v="1"/>
    <n v="485"/>
    <x v="1166"/>
    <x v="2"/>
    <s v="CM"/>
    <s v="S"/>
    <x v="518"/>
    <x v="3"/>
    <x v="651"/>
    <m/>
    <x v="343"/>
    <m/>
    <x v="33"/>
    <x v="0"/>
    <x v="286"/>
    <d v="2012-09-09T00:00:00"/>
    <x v="9"/>
    <x v="1"/>
    <s v="Grand Competition"/>
    <m/>
    <x v="0"/>
    <x v="0"/>
    <m/>
    <x v="0"/>
    <x v="4"/>
    <x v="1171"/>
    <x v="33"/>
    <x v="0"/>
    <x v="0"/>
    <x v="286"/>
    <x v="2903"/>
  </r>
  <r>
    <x v="1"/>
    <n v="485"/>
    <x v="1166"/>
    <x v="2"/>
    <s v="CM"/>
    <s v="S"/>
    <x v="518"/>
    <x v="3"/>
    <x v="22"/>
    <m/>
    <x v="22"/>
    <m/>
    <x v="3"/>
    <x v="0"/>
    <x v="251"/>
    <d v="2012-11-18T00:00:00"/>
    <x v="13"/>
    <x v="1"/>
    <s v="Secção Competitiva"/>
    <m/>
    <x v="127"/>
    <x v="0"/>
    <m/>
    <x v="1"/>
    <x v="4"/>
    <x v="1171"/>
    <x v="3"/>
    <x v="352"/>
    <x v="1"/>
    <x v="251"/>
    <x v="2904"/>
  </r>
  <r>
    <x v="1"/>
    <n v="485"/>
    <x v="1166"/>
    <x v="2"/>
    <s v="CM"/>
    <s v="S"/>
    <x v="518"/>
    <x v="3"/>
    <x v="27"/>
    <m/>
    <x v="25"/>
    <m/>
    <x v="3"/>
    <x v="0"/>
    <x v="307"/>
    <d v="2012-11-18T00:00:00"/>
    <x v="13"/>
    <x v="1"/>
    <s v="Competição Internacional: Curtas Metragens e Competição Nacional: Prémio António Gaio"/>
    <m/>
    <x v="0"/>
    <x v="0"/>
    <m/>
    <x v="0"/>
    <x v="4"/>
    <x v="1171"/>
    <x v="3"/>
    <x v="0"/>
    <x v="1"/>
    <x v="307"/>
    <x v="2905"/>
  </r>
  <r>
    <x v="1"/>
    <n v="485"/>
    <x v="1166"/>
    <x v="2"/>
    <s v="CM"/>
    <s v="S"/>
    <x v="518"/>
    <x v="3"/>
    <x v="245"/>
    <m/>
    <x v="172"/>
    <m/>
    <x v="49"/>
    <x v="0"/>
    <x v="379"/>
    <d v="2012-11-18T00:00:00"/>
    <x v="13"/>
    <x v="1"/>
    <s v="Competition Programme 1"/>
    <m/>
    <x v="0"/>
    <x v="0"/>
    <m/>
    <x v="0"/>
    <x v="4"/>
    <x v="1171"/>
    <x v="49"/>
    <x v="0"/>
    <x v="0"/>
    <x v="379"/>
    <x v="2906"/>
  </r>
  <r>
    <x v="1"/>
    <n v="485"/>
    <x v="1166"/>
    <x v="2"/>
    <s v="CM"/>
    <s v="S"/>
    <x v="518"/>
    <x v="3"/>
    <x v="512"/>
    <m/>
    <x v="307"/>
    <m/>
    <x v="1"/>
    <x v="0"/>
    <x v="354"/>
    <d v="2012-11-25T00:00:00"/>
    <x v="13"/>
    <x v="1"/>
    <s v="Programa Internacional 25"/>
    <m/>
    <x v="295"/>
    <x v="0"/>
    <m/>
    <x v="1"/>
    <x v="4"/>
    <x v="1171"/>
    <x v="1"/>
    <x v="353"/>
    <x v="0"/>
    <x v="354"/>
    <x v="2907"/>
  </r>
  <r>
    <x v="1"/>
    <n v="485"/>
    <x v="1166"/>
    <x v="2"/>
    <s v="CM"/>
    <s v="S"/>
    <x v="518"/>
    <x v="3"/>
    <x v="37"/>
    <m/>
    <x v="35"/>
    <m/>
    <x v="2"/>
    <x v="0"/>
    <x v="304"/>
    <d v="2012-12-02T00:00:00"/>
    <x v="11"/>
    <x v="1"/>
    <s v="Animation 1"/>
    <m/>
    <x v="0"/>
    <x v="0"/>
    <m/>
    <x v="0"/>
    <x v="4"/>
    <x v="1171"/>
    <x v="2"/>
    <x v="0"/>
    <x v="0"/>
    <x v="304"/>
    <x v="2908"/>
  </r>
  <r>
    <x v="1"/>
    <n v="1505"/>
    <x v="1167"/>
    <x v="2"/>
    <s v="CM"/>
    <s v="S"/>
    <x v="640"/>
    <x v="42"/>
    <x v="480"/>
    <m/>
    <x v="291"/>
    <m/>
    <x v="2"/>
    <x v="0"/>
    <x v="307"/>
    <d v="2012-11-20T00:00:00"/>
    <x v="13"/>
    <x v="0"/>
    <m/>
    <s v="Coups de coeur - Abi Feijó/Regina Pessoa: Oeuvres Croisées"/>
    <x v="0"/>
    <x v="0"/>
    <m/>
    <x v="0"/>
    <x v="4"/>
    <x v="1172"/>
    <x v="2"/>
    <x v="0"/>
    <x v="0"/>
    <x v="307"/>
    <x v="2909"/>
  </r>
  <r>
    <x v="1"/>
    <n v="1484"/>
    <x v="1168"/>
    <x v="2"/>
    <s v="CM"/>
    <s v="S"/>
    <x v="787"/>
    <x v="41"/>
    <x v="22"/>
    <m/>
    <x v="22"/>
    <m/>
    <x v="3"/>
    <x v="0"/>
    <x v="251"/>
    <d v="2012-11-18T00:00:00"/>
    <x v="13"/>
    <x v="1"/>
    <s v="Secção Competitiva"/>
    <m/>
    <x v="0"/>
    <x v="0"/>
    <m/>
    <x v="0"/>
    <x v="4"/>
    <x v="1173"/>
    <x v="3"/>
    <x v="0"/>
    <x v="1"/>
    <x v="251"/>
    <x v="2910"/>
  </r>
  <r>
    <x v="1"/>
    <n v="1484"/>
    <x v="1168"/>
    <x v="2"/>
    <s v="CM"/>
    <s v="S"/>
    <x v="787"/>
    <x v="41"/>
    <x v="27"/>
    <m/>
    <x v="25"/>
    <m/>
    <x v="3"/>
    <x v="0"/>
    <x v="307"/>
    <d v="2012-11-18T00:00:00"/>
    <x v="13"/>
    <x v="1"/>
    <s v="Competição Nacional: Prémio António Gaio"/>
    <m/>
    <x v="296"/>
    <x v="0"/>
    <m/>
    <x v="1"/>
    <x v="4"/>
    <x v="1173"/>
    <x v="3"/>
    <x v="354"/>
    <x v="1"/>
    <x v="307"/>
    <x v="2911"/>
  </r>
  <r>
    <x v="1"/>
    <n v="486"/>
    <x v="337"/>
    <x v="0"/>
    <s v="CM"/>
    <s v="N"/>
    <x v="285"/>
    <x v="2"/>
    <x v="417"/>
    <m/>
    <x v="24"/>
    <m/>
    <x v="3"/>
    <x v="0"/>
    <x v="247"/>
    <m/>
    <x v="1"/>
    <x v="1"/>
    <m/>
    <m/>
    <x v="0"/>
    <x v="1"/>
    <m/>
    <x v="0"/>
    <x v="0"/>
    <x v="339"/>
    <x v="3"/>
    <x v="0"/>
    <x v="1"/>
    <x v="247"/>
    <x v="2912"/>
  </r>
  <r>
    <x v="1"/>
    <n v="487"/>
    <x v="338"/>
    <x v="1"/>
    <s v="CM"/>
    <s v="N"/>
    <x v="286"/>
    <x v="2"/>
    <x v="411"/>
    <m/>
    <x v="268"/>
    <m/>
    <x v="0"/>
    <x v="0"/>
    <x v="241"/>
    <d v="2012-05-18T00:00:00"/>
    <x v="6"/>
    <x v="1"/>
    <s v="Mostra Atlântica"/>
    <m/>
    <x v="0"/>
    <x v="0"/>
    <m/>
    <x v="0"/>
    <x v="2"/>
    <x v="340"/>
    <x v="0"/>
    <x v="0"/>
    <x v="0"/>
    <x v="241"/>
    <x v="2913"/>
  </r>
  <r>
    <x v="1"/>
    <n v="489"/>
    <x v="1169"/>
    <x v="1"/>
    <s v="LM"/>
    <s v="N"/>
    <x v="788"/>
    <x v="18"/>
    <x v="546"/>
    <m/>
    <x v="316"/>
    <m/>
    <x v="2"/>
    <x v="0"/>
    <x v="317"/>
    <d v="2012-03-07T00:00:00"/>
    <x v="2"/>
    <x v="0"/>
    <m/>
    <m/>
    <x v="0"/>
    <x v="1"/>
    <m/>
    <x v="0"/>
    <x v="1"/>
    <x v="1174"/>
    <x v="2"/>
    <x v="0"/>
    <x v="0"/>
    <x v="317"/>
    <x v="2914"/>
  </r>
  <r>
    <x v="1"/>
    <n v="1290"/>
    <x v="1170"/>
    <x v="1"/>
    <s v="CM"/>
    <s v="N"/>
    <x v="247"/>
    <x v="2"/>
    <x v="165"/>
    <m/>
    <x v="65"/>
    <m/>
    <x v="9"/>
    <x v="0"/>
    <x v="333"/>
    <m/>
    <x v="8"/>
    <x v="0"/>
    <m/>
    <m/>
    <x v="0"/>
    <x v="1"/>
    <m/>
    <x v="0"/>
    <x v="2"/>
    <x v="1175"/>
    <x v="9"/>
    <x v="0"/>
    <x v="0"/>
    <x v="333"/>
    <x v="2915"/>
  </r>
  <r>
    <x v="1"/>
    <n v="491"/>
    <x v="341"/>
    <x v="1"/>
    <s v="LM"/>
    <s v=""/>
    <x v="15"/>
    <x v="25"/>
    <x v="109"/>
    <m/>
    <x v="23"/>
    <m/>
    <x v="3"/>
    <x v="0"/>
    <x v="270"/>
    <d v="2012-04-15T00:00:00"/>
    <x v="31"/>
    <x v="0"/>
    <m/>
    <s v="Momento XXI"/>
    <x v="0"/>
    <x v="1"/>
    <m/>
    <x v="0"/>
    <x v="1"/>
    <x v="343"/>
    <x v="3"/>
    <x v="0"/>
    <x v="1"/>
    <x v="270"/>
    <x v="2916"/>
  </r>
  <r>
    <x v="1"/>
    <n v="492"/>
    <x v="1171"/>
    <x v="0"/>
    <s v="CM"/>
    <s v="N"/>
    <x v="62"/>
    <x v="41"/>
    <x v="62"/>
    <m/>
    <x v="23"/>
    <m/>
    <x v="3"/>
    <x v="0"/>
    <x v="302"/>
    <d v="2012-03-04T00:00:00"/>
    <x v="19"/>
    <x v="1"/>
    <s v="Prémio de Cinema Português - Melhor Filme"/>
    <m/>
    <x v="0"/>
    <x v="0"/>
    <m/>
    <x v="0"/>
    <x v="0"/>
    <x v="1176"/>
    <x v="3"/>
    <x v="0"/>
    <x v="1"/>
    <x v="302"/>
    <x v="2917"/>
  </r>
  <r>
    <x v="1"/>
    <n v="492"/>
    <x v="1171"/>
    <x v="0"/>
    <s v="CM"/>
    <s v="N"/>
    <x v="62"/>
    <x v="41"/>
    <x v="67"/>
    <m/>
    <x v="23"/>
    <m/>
    <x v="3"/>
    <x v="0"/>
    <x v="264"/>
    <d v="2012-06-17T00:00:00"/>
    <x v="7"/>
    <x v="1"/>
    <s v="Curtas Nacionais"/>
    <m/>
    <x v="0"/>
    <x v="0"/>
    <m/>
    <x v="0"/>
    <x v="0"/>
    <x v="1176"/>
    <x v="3"/>
    <x v="0"/>
    <x v="1"/>
    <x v="264"/>
    <x v="2918"/>
  </r>
  <r>
    <x v="1"/>
    <n v="492"/>
    <x v="1171"/>
    <x v="0"/>
    <s v="CM"/>
    <s v="N"/>
    <x v="62"/>
    <x v="41"/>
    <x v="192"/>
    <m/>
    <x v="140"/>
    <m/>
    <x v="3"/>
    <x v="0"/>
    <x v="250"/>
    <d v="2012-07-29T00:00:00"/>
    <x v="8"/>
    <x v="1"/>
    <s v="Competição AVANCA"/>
    <m/>
    <x v="0"/>
    <x v="0"/>
    <m/>
    <x v="0"/>
    <x v="0"/>
    <x v="1176"/>
    <x v="3"/>
    <x v="0"/>
    <x v="1"/>
    <x v="250"/>
    <x v="2919"/>
  </r>
  <r>
    <x v="1"/>
    <n v="492"/>
    <x v="1171"/>
    <x v="0"/>
    <s v="CM"/>
    <s v="N"/>
    <x v="62"/>
    <x v="41"/>
    <x v="70"/>
    <m/>
    <x v="38"/>
    <m/>
    <x v="3"/>
    <x v="0"/>
    <x v="349"/>
    <d v="2012-09-16T00:00:00"/>
    <x v="9"/>
    <x v="1"/>
    <m/>
    <m/>
    <x v="0"/>
    <x v="0"/>
    <m/>
    <x v="0"/>
    <x v="0"/>
    <x v="1176"/>
    <x v="3"/>
    <x v="0"/>
    <x v="1"/>
    <x v="349"/>
    <x v="2920"/>
  </r>
  <r>
    <x v="1"/>
    <n v="492"/>
    <x v="1171"/>
    <x v="0"/>
    <s v="CM"/>
    <s v="N"/>
    <x v="62"/>
    <x v="41"/>
    <x v="219"/>
    <m/>
    <x v="153"/>
    <m/>
    <x v="44"/>
    <x v="0"/>
    <x v="294"/>
    <d v="2012-10-21T00:00:00"/>
    <x v="14"/>
    <x v="1"/>
    <s v="Curta-Metragem"/>
    <m/>
    <x v="0"/>
    <x v="0"/>
    <m/>
    <x v="0"/>
    <x v="0"/>
    <x v="1176"/>
    <x v="44"/>
    <x v="0"/>
    <x v="0"/>
    <x v="294"/>
    <x v="2921"/>
  </r>
  <r>
    <x v="1"/>
    <n v="492"/>
    <x v="1171"/>
    <x v="0"/>
    <s v="CM"/>
    <s v="N"/>
    <x v="62"/>
    <x v="41"/>
    <x v="115"/>
    <m/>
    <x v="88"/>
    <m/>
    <x v="25"/>
    <x v="0"/>
    <x v="267"/>
    <d v="2012-11-17T00:00:00"/>
    <x v="13"/>
    <x v="1"/>
    <s v="Bester Professioneller Film/Filmschulen und Auftragsfilme 2012"/>
    <m/>
    <x v="71"/>
    <x v="0"/>
    <m/>
    <x v="1"/>
    <x v="0"/>
    <x v="1176"/>
    <x v="25"/>
    <x v="355"/>
    <x v="0"/>
    <x v="267"/>
    <x v="2922"/>
  </r>
  <r>
    <x v="1"/>
    <n v="492"/>
    <x v="1171"/>
    <x v="0"/>
    <s v="CM"/>
    <s v="N"/>
    <x v="62"/>
    <x v="41"/>
    <x v="484"/>
    <m/>
    <x v="292"/>
    <m/>
    <x v="22"/>
    <x v="0"/>
    <x v="327"/>
    <d v="2012-12-14T00:00:00"/>
    <x v="12"/>
    <x v="1"/>
    <m/>
    <m/>
    <x v="0"/>
    <x v="0"/>
    <m/>
    <x v="0"/>
    <x v="0"/>
    <x v="1176"/>
    <x v="22"/>
    <x v="0"/>
    <x v="0"/>
    <x v="327"/>
    <x v="2923"/>
  </r>
  <r>
    <x v="1"/>
    <n v="493"/>
    <x v="1172"/>
    <x v="0"/>
    <s v="CM"/>
    <s v="N"/>
    <x v="789"/>
    <x v="3"/>
    <x v="616"/>
    <m/>
    <x v="23"/>
    <m/>
    <x v="3"/>
    <x v="0"/>
    <x v="353"/>
    <m/>
    <x v="2"/>
    <x v="1"/>
    <m/>
    <m/>
    <x v="0"/>
    <x v="1"/>
    <m/>
    <x v="0"/>
    <x v="0"/>
    <x v="1177"/>
    <x v="3"/>
    <x v="0"/>
    <x v="1"/>
    <x v="353"/>
    <x v="2924"/>
  </r>
  <r>
    <x v="1"/>
    <n v="493"/>
    <x v="1172"/>
    <x v="0"/>
    <s v="CM"/>
    <s v="N"/>
    <x v="789"/>
    <x v="3"/>
    <x v="652"/>
    <m/>
    <x v="344"/>
    <m/>
    <x v="3"/>
    <x v="0"/>
    <x v="324"/>
    <d v="2012-05-13T00:00:00"/>
    <x v="6"/>
    <x v="0"/>
    <m/>
    <m/>
    <x v="0"/>
    <x v="0"/>
    <m/>
    <x v="0"/>
    <x v="0"/>
    <x v="1177"/>
    <x v="3"/>
    <x v="0"/>
    <x v="1"/>
    <x v="324"/>
    <x v="2925"/>
  </r>
  <r>
    <x v="1"/>
    <n v="493"/>
    <x v="1172"/>
    <x v="0"/>
    <s v="CM"/>
    <s v="N"/>
    <x v="789"/>
    <x v="3"/>
    <x v="316"/>
    <m/>
    <x v="11"/>
    <m/>
    <x v="3"/>
    <x v="0"/>
    <x v="199"/>
    <d v="2012-08-25T00:00:00"/>
    <x v="16"/>
    <x v="1"/>
    <s v="Ficção"/>
    <m/>
    <x v="0"/>
    <x v="0"/>
    <m/>
    <x v="0"/>
    <x v="0"/>
    <x v="1177"/>
    <x v="3"/>
    <x v="0"/>
    <x v="1"/>
    <x v="199"/>
    <x v="2926"/>
  </r>
  <r>
    <x v="1"/>
    <n v="493"/>
    <x v="1172"/>
    <x v="0"/>
    <s v="CM"/>
    <s v="N"/>
    <x v="789"/>
    <x v="3"/>
    <x v="70"/>
    <m/>
    <x v="38"/>
    <m/>
    <x v="3"/>
    <x v="0"/>
    <x v="349"/>
    <d v="2012-09-16T00:00:00"/>
    <x v="9"/>
    <x v="1"/>
    <m/>
    <m/>
    <x v="0"/>
    <x v="0"/>
    <m/>
    <x v="0"/>
    <x v="0"/>
    <x v="1177"/>
    <x v="3"/>
    <x v="0"/>
    <x v="1"/>
    <x v="349"/>
    <x v="2927"/>
  </r>
  <r>
    <x v="1"/>
    <n v="493"/>
    <x v="1172"/>
    <x v="0"/>
    <s v="CM"/>
    <s v="N"/>
    <x v="789"/>
    <x v="3"/>
    <x v="653"/>
    <m/>
    <x v="11"/>
    <m/>
    <x v="3"/>
    <x v="0"/>
    <x v="252"/>
    <m/>
    <x v="14"/>
    <x v="1"/>
    <s v="Tema B - Livre"/>
    <m/>
    <x v="297"/>
    <x v="0"/>
    <m/>
    <x v="1"/>
    <x v="0"/>
    <x v="1177"/>
    <x v="3"/>
    <x v="356"/>
    <x v="1"/>
    <x v="252"/>
    <x v="2928"/>
  </r>
  <r>
    <x v="1"/>
    <n v="494"/>
    <x v="342"/>
    <x v="1"/>
    <s v="LM"/>
    <s v="S"/>
    <x v="289"/>
    <x v="5"/>
    <x v="545"/>
    <m/>
    <x v="92"/>
    <m/>
    <x v="16"/>
    <x v="0"/>
    <x v="371"/>
    <d v="2012-03-16T00:00:00"/>
    <x v="19"/>
    <x v="0"/>
    <m/>
    <m/>
    <x v="0"/>
    <x v="1"/>
    <m/>
    <x v="0"/>
    <x v="1"/>
    <x v="344"/>
    <x v="16"/>
    <x v="0"/>
    <x v="0"/>
    <x v="371"/>
    <x v="2929"/>
  </r>
  <r>
    <x v="1"/>
    <n v="494"/>
    <x v="342"/>
    <x v="1"/>
    <s v="LM"/>
    <s v="S"/>
    <x v="289"/>
    <x v="5"/>
    <x v="528"/>
    <m/>
    <x v="312"/>
    <m/>
    <x v="3"/>
    <x v="0"/>
    <x v="420"/>
    <m/>
    <x v="5"/>
    <x v="0"/>
    <m/>
    <m/>
    <x v="0"/>
    <x v="1"/>
    <m/>
    <x v="0"/>
    <x v="1"/>
    <x v="344"/>
    <x v="3"/>
    <x v="0"/>
    <x v="1"/>
    <x v="420"/>
    <x v="2930"/>
  </r>
  <r>
    <x v="1"/>
    <n v="494"/>
    <x v="342"/>
    <x v="1"/>
    <s v="LM"/>
    <s v="S"/>
    <x v="289"/>
    <x v="5"/>
    <x v="530"/>
    <m/>
    <x v="24"/>
    <m/>
    <x v="3"/>
    <x v="0"/>
    <x v="320"/>
    <m/>
    <x v="5"/>
    <x v="0"/>
    <m/>
    <m/>
    <x v="0"/>
    <x v="1"/>
    <m/>
    <x v="0"/>
    <x v="1"/>
    <x v="344"/>
    <x v="3"/>
    <x v="0"/>
    <x v="1"/>
    <x v="320"/>
    <x v="2931"/>
  </r>
  <r>
    <x v="1"/>
    <n v="494"/>
    <x v="342"/>
    <x v="1"/>
    <s v="LM"/>
    <s v="S"/>
    <x v="289"/>
    <x v="5"/>
    <x v="526"/>
    <m/>
    <x v="23"/>
    <m/>
    <x v="3"/>
    <x v="0"/>
    <x v="421"/>
    <m/>
    <x v="5"/>
    <x v="0"/>
    <m/>
    <m/>
    <x v="0"/>
    <x v="1"/>
    <m/>
    <x v="0"/>
    <x v="1"/>
    <x v="344"/>
    <x v="3"/>
    <x v="0"/>
    <x v="1"/>
    <x v="421"/>
    <x v="2932"/>
  </r>
  <r>
    <x v="1"/>
    <n v="494"/>
    <x v="342"/>
    <x v="1"/>
    <s v="LM"/>
    <s v="S"/>
    <x v="289"/>
    <x v="5"/>
    <x v="654"/>
    <m/>
    <x v="345"/>
    <m/>
    <x v="3"/>
    <x v="0"/>
    <x v="422"/>
    <m/>
    <x v="5"/>
    <x v="0"/>
    <m/>
    <m/>
    <x v="0"/>
    <x v="1"/>
    <m/>
    <x v="0"/>
    <x v="1"/>
    <x v="344"/>
    <x v="3"/>
    <x v="0"/>
    <x v="1"/>
    <x v="422"/>
    <x v="2933"/>
  </r>
  <r>
    <x v="1"/>
    <n v="494"/>
    <x v="342"/>
    <x v="1"/>
    <s v="LM"/>
    <s v="S"/>
    <x v="289"/>
    <x v="5"/>
    <x v="531"/>
    <m/>
    <x v="24"/>
    <m/>
    <x v="3"/>
    <x v="0"/>
    <x v="329"/>
    <m/>
    <x v="5"/>
    <x v="0"/>
    <m/>
    <m/>
    <x v="0"/>
    <x v="1"/>
    <m/>
    <x v="0"/>
    <x v="1"/>
    <x v="344"/>
    <x v="3"/>
    <x v="0"/>
    <x v="1"/>
    <x v="329"/>
    <x v="2934"/>
  </r>
  <r>
    <x v="1"/>
    <n v="494"/>
    <x v="342"/>
    <x v="1"/>
    <s v="LM"/>
    <s v="S"/>
    <x v="289"/>
    <x v="5"/>
    <x v="527"/>
    <m/>
    <x v="24"/>
    <m/>
    <x v="3"/>
    <x v="0"/>
    <x v="232"/>
    <m/>
    <x v="5"/>
    <x v="0"/>
    <m/>
    <m/>
    <x v="0"/>
    <x v="1"/>
    <m/>
    <x v="0"/>
    <x v="1"/>
    <x v="344"/>
    <x v="3"/>
    <x v="0"/>
    <x v="1"/>
    <x v="232"/>
    <x v="2935"/>
  </r>
  <r>
    <x v="1"/>
    <n v="494"/>
    <x v="342"/>
    <x v="1"/>
    <s v="LM"/>
    <s v="S"/>
    <x v="289"/>
    <x v="5"/>
    <x v="522"/>
    <m/>
    <x v="165"/>
    <m/>
    <x v="4"/>
    <x v="0"/>
    <x v="363"/>
    <d v="2012-04-22T00:00:00"/>
    <x v="5"/>
    <x v="0"/>
    <m/>
    <s v="João Canijo"/>
    <x v="0"/>
    <x v="0"/>
    <m/>
    <x v="0"/>
    <x v="1"/>
    <x v="344"/>
    <x v="4"/>
    <x v="0"/>
    <x v="0"/>
    <x v="363"/>
    <x v="2936"/>
  </r>
  <r>
    <x v="1"/>
    <n v="494"/>
    <x v="342"/>
    <x v="1"/>
    <s v="LM"/>
    <s v="S"/>
    <x v="289"/>
    <x v="5"/>
    <x v="655"/>
    <m/>
    <x v="346"/>
    <m/>
    <x v="3"/>
    <x v="0"/>
    <x v="364"/>
    <m/>
    <x v="5"/>
    <x v="0"/>
    <m/>
    <m/>
    <x v="0"/>
    <x v="1"/>
    <m/>
    <x v="0"/>
    <x v="1"/>
    <x v="344"/>
    <x v="3"/>
    <x v="0"/>
    <x v="1"/>
    <x v="364"/>
    <x v="2937"/>
  </r>
  <r>
    <x v="1"/>
    <n v="494"/>
    <x v="342"/>
    <x v="1"/>
    <s v="LM"/>
    <s v="S"/>
    <x v="289"/>
    <x v="5"/>
    <x v="656"/>
    <m/>
    <x v="83"/>
    <m/>
    <x v="3"/>
    <x v="0"/>
    <x v="423"/>
    <m/>
    <x v="5"/>
    <x v="0"/>
    <m/>
    <m/>
    <x v="0"/>
    <x v="1"/>
    <m/>
    <x v="0"/>
    <x v="1"/>
    <x v="344"/>
    <x v="3"/>
    <x v="0"/>
    <x v="1"/>
    <x v="423"/>
    <x v="2938"/>
  </r>
  <r>
    <x v="1"/>
    <n v="494"/>
    <x v="342"/>
    <x v="1"/>
    <s v="LM"/>
    <s v="S"/>
    <x v="289"/>
    <x v="5"/>
    <x v="441"/>
    <m/>
    <x v="282"/>
    <m/>
    <x v="2"/>
    <x v="0"/>
    <x v="280"/>
    <d v="2012-07-08T00:00:00"/>
    <x v="17"/>
    <x v="0"/>
    <m/>
    <s v="Hommages: João Canijo"/>
    <x v="0"/>
    <x v="0"/>
    <m/>
    <x v="0"/>
    <x v="1"/>
    <x v="344"/>
    <x v="2"/>
    <x v="0"/>
    <x v="0"/>
    <x v="280"/>
    <x v="2939"/>
  </r>
  <r>
    <x v="1"/>
    <n v="495"/>
    <x v="1173"/>
    <x v="1"/>
    <s v="CM"/>
    <s v="N"/>
    <x v="790"/>
    <x v="2"/>
    <x v="514"/>
    <m/>
    <x v="99"/>
    <m/>
    <x v="3"/>
    <x v="0"/>
    <x v="360"/>
    <d v="2012-05-13T00:00:00"/>
    <x v="6"/>
    <x v="1"/>
    <s v="Prémio Primeiro Olhar"/>
    <m/>
    <x v="0"/>
    <x v="0"/>
    <m/>
    <x v="0"/>
    <x v="2"/>
    <x v="1178"/>
    <x v="3"/>
    <x v="0"/>
    <x v="1"/>
    <x v="360"/>
    <x v="2940"/>
  </r>
  <r>
    <x v="1"/>
    <n v="497"/>
    <x v="1174"/>
    <x v="1"/>
    <s v="CM"/>
    <s v=""/>
    <x v="430"/>
    <x v="2"/>
    <x v="657"/>
    <m/>
    <x v="24"/>
    <m/>
    <x v="3"/>
    <x v="0"/>
    <x v="237"/>
    <d v="2012-07-01T00:00:00"/>
    <x v="17"/>
    <x v="0"/>
    <m/>
    <m/>
    <x v="0"/>
    <x v="0"/>
    <m/>
    <x v="0"/>
    <x v="2"/>
    <x v="1179"/>
    <x v="3"/>
    <x v="0"/>
    <x v="1"/>
    <x v="237"/>
    <x v="2941"/>
  </r>
  <r>
    <x v="1"/>
    <n v="1555"/>
    <x v="1175"/>
    <x v="1"/>
    <s v="CM"/>
    <s v="N"/>
    <x v="791"/>
    <x v="41"/>
    <x v="46"/>
    <m/>
    <x v="24"/>
    <m/>
    <x v="3"/>
    <x v="0"/>
    <x v="231"/>
    <d v="2012-12-11T00:00:00"/>
    <x v="12"/>
    <x v="1"/>
    <s v="Prémio de Cinema para Filmes sobre Arte"/>
    <m/>
    <x v="0"/>
    <x v="0"/>
    <m/>
    <x v="0"/>
    <x v="2"/>
    <x v="1180"/>
    <x v="3"/>
    <x v="0"/>
    <x v="1"/>
    <x v="231"/>
    <x v="2942"/>
  </r>
  <r>
    <x v="1"/>
    <n v="1318"/>
    <x v="1176"/>
    <x v="1"/>
    <s v="CM"/>
    <s v="N"/>
    <x v="792"/>
    <x v="1"/>
    <x v="618"/>
    <m/>
    <x v="23"/>
    <m/>
    <x v="3"/>
    <x v="0"/>
    <x v="417"/>
    <m/>
    <x v="9"/>
    <x v="0"/>
    <m/>
    <m/>
    <x v="0"/>
    <x v="1"/>
    <m/>
    <x v="0"/>
    <x v="2"/>
    <x v="1181"/>
    <x v="3"/>
    <x v="0"/>
    <x v="1"/>
    <x v="417"/>
    <x v="2943"/>
  </r>
  <r>
    <x v="1"/>
    <n v="1318"/>
    <x v="1176"/>
    <x v="1"/>
    <s v="CM"/>
    <s v="N"/>
    <x v="792"/>
    <x v="1"/>
    <x v="88"/>
    <m/>
    <x v="67"/>
    <m/>
    <x v="3"/>
    <x v="0"/>
    <x v="262"/>
    <d v="2012-10-13T00:00:00"/>
    <x v="14"/>
    <x v="1"/>
    <s v="Competição Lusófona - Panorama Regional"/>
    <m/>
    <x v="298"/>
    <x v="0"/>
    <m/>
    <x v="1"/>
    <x v="2"/>
    <x v="1181"/>
    <x v="3"/>
    <x v="357"/>
    <x v="1"/>
    <x v="262"/>
    <x v="2944"/>
  </r>
  <r>
    <x v="1"/>
    <n v="682"/>
    <x v="1177"/>
    <x v="1"/>
    <s v="CM"/>
    <s v="N"/>
    <x v="284"/>
    <x v="3"/>
    <x v="133"/>
    <m/>
    <x v="101"/>
    <m/>
    <x v="3"/>
    <x v="0"/>
    <x v="331"/>
    <d v="2012-12-09T00:00:00"/>
    <x v="12"/>
    <x v="0"/>
    <m/>
    <s v="Sangue Novo - Sérgio Cruz"/>
    <x v="0"/>
    <x v="0"/>
    <m/>
    <x v="0"/>
    <x v="2"/>
    <x v="1182"/>
    <x v="3"/>
    <x v="0"/>
    <x v="1"/>
    <x v="331"/>
    <x v="2945"/>
  </r>
  <r>
    <x v="1"/>
    <n v="498"/>
    <x v="1178"/>
    <x v="0"/>
    <s v="CM"/>
    <s v="N"/>
    <x v="793"/>
    <x v="2"/>
    <x v="626"/>
    <m/>
    <x v="338"/>
    <m/>
    <x v="3"/>
    <x v="0"/>
    <x v="404"/>
    <m/>
    <x v="2"/>
    <x v="1"/>
    <m/>
    <m/>
    <x v="299"/>
    <x v="0"/>
    <m/>
    <x v="1"/>
    <x v="0"/>
    <x v="1183"/>
    <x v="3"/>
    <x v="358"/>
    <x v="1"/>
    <x v="404"/>
    <x v="2946"/>
  </r>
  <r>
    <x v="1"/>
    <n v="498"/>
    <x v="1178"/>
    <x v="0"/>
    <s v="CM"/>
    <s v="N"/>
    <x v="793"/>
    <x v="2"/>
    <x v="412"/>
    <m/>
    <x v="269"/>
    <m/>
    <x v="3"/>
    <x v="0"/>
    <x v="242"/>
    <m/>
    <x v="7"/>
    <x v="1"/>
    <m/>
    <m/>
    <x v="0"/>
    <x v="0"/>
    <m/>
    <x v="0"/>
    <x v="0"/>
    <x v="1183"/>
    <x v="3"/>
    <x v="0"/>
    <x v="1"/>
    <x v="242"/>
    <x v="2947"/>
  </r>
  <r>
    <x v="1"/>
    <n v="498"/>
    <x v="1178"/>
    <x v="0"/>
    <s v="CM"/>
    <s v="N"/>
    <x v="793"/>
    <x v="2"/>
    <x v="600"/>
    <m/>
    <x v="11"/>
    <m/>
    <x v="3"/>
    <x v="0"/>
    <x v="236"/>
    <m/>
    <x v="7"/>
    <x v="1"/>
    <m/>
    <m/>
    <x v="0"/>
    <x v="1"/>
    <m/>
    <x v="0"/>
    <x v="0"/>
    <x v="1183"/>
    <x v="3"/>
    <x v="0"/>
    <x v="1"/>
    <x v="236"/>
    <x v="2948"/>
  </r>
  <r>
    <x v="1"/>
    <n v="499"/>
    <x v="1179"/>
    <x v="0"/>
    <s v="CM"/>
    <s v="N"/>
    <x v="794"/>
    <x v="2"/>
    <x v="62"/>
    <m/>
    <x v="23"/>
    <m/>
    <x v="3"/>
    <x v="0"/>
    <x v="302"/>
    <d v="2012-03-04T00:00:00"/>
    <x v="19"/>
    <x v="1"/>
    <s v="Prémio de Cinema Português - Escolas de Cinema"/>
    <m/>
    <x v="0"/>
    <x v="0"/>
    <m/>
    <x v="0"/>
    <x v="0"/>
    <x v="1184"/>
    <x v="3"/>
    <x v="0"/>
    <x v="1"/>
    <x v="302"/>
    <x v="2949"/>
  </r>
  <r>
    <x v="1"/>
    <n v="499"/>
    <x v="1179"/>
    <x v="0"/>
    <s v="CM"/>
    <s v="N"/>
    <x v="794"/>
    <x v="2"/>
    <x v="457"/>
    <m/>
    <x v="285"/>
    <m/>
    <x v="3"/>
    <x v="0"/>
    <x v="301"/>
    <d v="2012-06-16T00:00:00"/>
    <x v="7"/>
    <x v="1"/>
    <s v="U-Can: Escola Artística Soares dos Reis"/>
    <m/>
    <x v="0"/>
    <x v="0"/>
    <m/>
    <x v="0"/>
    <x v="0"/>
    <x v="1184"/>
    <x v="3"/>
    <x v="0"/>
    <x v="1"/>
    <x v="301"/>
    <x v="2950"/>
  </r>
  <r>
    <x v="1"/>
    <n v="500"/>
    <x v="1180"/>
    <x v="2"/>
    <s v="CM"/>
    <s v="N"/>
    <x v="795"/>
    <x v="2"/>
    <x v="192"/>
    <m/>
    <x v="140"/>
    <m/>
    <x v="3"/>
    <x v="0"/>
    <x v="250"/>
    <d v="2012-07-29T00:00:00"/>
    <x v="8"/>
    <x v="1"/>
    <s v="Competição Eu no Meio dos Outros"/>
    <m/>
    <x v="300"/>
    <x v="0"/>
    <m/>
    <x v="1"/>
    <x v="4"/>
    <x v="1185"/>
    <x v="3"/>
    <x v="359"/>
    <x v="1"/>
    <x v="250"/>
    <x v="2951"/>
  </r>
  <r>
    <x v="1"/>
    <n v="501"/>
    <x v="344"/>
    <x v="0"/>
    <s v="CM"/>
    <s v="N"/>
    <x v="290"/>
    <x v="2"/>
    <x v="658"/>
    <m/>
    <x v="24"/>
    <m/>
    <x v="3"/>
    <x v="0"/>
    <x v="399"/>
    <m/>
    <x v="15"/>
    <x v="1"/>
    <m/>
    <m/>
    <x v="0"/>
    <x v="1"/>
    <m/>
    <x v="0"/>
    <x v="0"/>
    <x v="346"/>
    <x v="3"/>
    <x v="0"/>
    <x v="1"/>
    <x v="399"/>
    <x v="2952"/>
  </r>
  <r>
    <x v="1"/>
    <n v="1545"/>
    <x v="1181"/>
    <x v="1"/>
    <s v="LM"/>
    <s v=""/>
    <x v="190"/>
    <x v="4"/>
    <x v="571"/>
    <m/>
    <x v="321"/>
    <m/>
    <x v="3"/>
    <x v="0"/>
    <x v="387"/>
    <d v="2012-11-25T00:00:00"/>
    <x v="13"/>
    <x v="0"/>
    <m/>
    <m/>
    <x v="0"/>
    <x v="1"/>
    <m/>
    <x v="0"/>
    <x v="1"/>
    <x v="1186"/>
    <x v="3"/>
    <x v="0"/>
    <x v="1"/>
    <x v="387"/>
    <x v="2953"/>
  </r>
  <r>
    <x v="1"/>
    <n v="505"/>
    <x v="1182"/>
    <x v="0"/>
    <s v="LM"/>
    <s v=""/>
    <x v="289"/>
    <x v="2"/>
    <x v="522"/>
    <m/>
    <x v="165"/>
    <m/>
    <x v="4"/>
    <x v="0"/>
    <x v="363"/>
    <d v="2012-04-22T00:00:00"/>
    <x v="5"/>
    <x v="0"/>
    <m/>
    <s v="João Canijo"/>
    <x v="0"/>
    <x v="0"/>
    <m/>
    <x v="0"/>
    <x v="5"/>
    <x v="1187"/>
    <x v="4"/>
    <x v="0"/>
    <x v="0"/>
    <x v="363"/>
    <x v="2954"/>
  </r>
  <r>
    <x v="1"/>
    <n v="506"/>
    <x v="348"/>
    <x v="0"/>
    <s v="LM"/>
    <s v="S"/>
    <x v="29"/>
    <x v="5"/>
    <x v="500"/>
    <m/>
    <x v="24"/>
    <m/>
    <x v="3"/>
    <x v="0"/>
    <x v="348"/>
    <d v="2012-03-11T00:00:00"/>
    <x v="2"/>
    <x v="0"/>
    <m/>
    <m/>
    <x v="0"/>
    <x v="1"/>
    <m/>
    <x v="0"/>
    <x v="5"/>
    <x v="350"/>
    <x v="3"/>
    <x v="0"/>
    <x v="1"/>
    <x v="348"/>
    <x v="2955"/>
  </r>
  <r>
    <x v="1"/>
    <n v="506"/>
    <x v="348"/>
    <x v="0"/>
    <s v="LM"/>
    <s v="S"/>
    <x v="29"/>
    <x v="5"/>
    <x v="659"/>
    <m/>
    <x v="24"/>
    <m/>
    <x v="3"/>
    <x v="0"/>
    <x v="268"/>
    <m/>
    <x v="2"/>
    <x v="0"/>
    <m/>
    <m/>
    <x v="0"/>
    <x v="0"/>
    <m/>
    <x v="0"/>
    <x v="5"/>
    <x v="350"/>
    <x v="3"/>
    <x v="0"/>
    <x v="1"/>
    <x v="268"/>
    <x v="2956"/>
  </r>
  <r>
    <x v="1"/>
    <n v="506"/>
    <x v="348"/>
    <x v="0"/>
    <s v="LM"/>
    <s v="S"/>
    <x v="29"/>
    <x v="5"/>
    <x v="660"/>
    <m/>
    <x v="347"/>
    <m/>
    <x v="3"/>
    <x v="0"/>
    <x v="372"/>
    <m/>
    <x v="2"/>
    <x v="0"/>
    <m/>
    <m/>
    <x v="0"/>
    <x v="0"/>
    <m/>
    <x v="0"/>
    <x v="5"/>
    <x v="350"/>
    <x v="3"/>
    <x v="0"/>
    <x v="1"/>
    <x v="372"/>
    <x v="2957"/>
  </r>
  <r>
    <x v="1"/>
    <n v="506"/>
    <x v="348"/>
    <x v="0"/>
    <s v="LM"/>
    <s v="S"/>
    <x v="29"/>
    <x v="5"/>
    <x v="158"/>
    <m/>
    <x v="121"/>
    <m/>
    <x v="3"/>
    <x v="0"/>
    <x v="257"/>
    <d v="2012-09-30T00:00:00"/>
    <x v="9"/>
    <x v="0"/>
    <m/>
    <s v="Cartas Brancas: Catarina Wallenstein"/>
    <x v="0"/>
    <x v="0"/>
    <m/>
    <x v="0"/>
    <x v="5"/>
    <x v="350"/>
    <x v="3"/>
    <x v="0"/>
    <x v="1"/>
    <x v="257"/>
    <x v="2958"/>
  </r>
  <r>
    <x v="1"/>
    <n v="508"/>
    <x v="350"/>
    <x v="0"/>
    <s v="CM"/>
    <s v="N"/>
    <x v="293"/>
    <x v="2"/>
    <x v="427"/>
    <m/>
    <x v="275"/>
    <m/>
    <x v="65"/>
    <x v="0"/>
    <x v="259"/>
    <d v="2012-03-11T00:00:00"/>
    <x v="2"/>
    <x v="0"/>
    <m/>
    <s v="Portugal2"/>
    <x v="0"/>
    <x v="0"/>
    <m/>
    <x v="0"/>
    <x v="0"/>
    <x v="352"/>
    <x v="65"/>
    <x v="0"/>
    <x v="0"/>
    <x v="259"/>
    <x v="2959"/>
  </r>
  <r>
    <x v="1"/>
    <n v="1382"/>
    <x v="1183"/>
    <x v="1"/>
    <s v="CM"/>
    <s v="N"/>
    <x v="796"/>
    <x v="2"/>
    <x v="88"/>
    <m/>
    <x v="67"/>
    <m/>
    <x v="3"/>
    <x v="0"/>
    <x v="262"/>
    <d v="2012-10-13T00:00:00"/>
    <x v="14"/>
    <x v="1"/>
    <s v="Competição Lusófona - Curtas Metragens"/>
    <m/>
    <x v="0"/>
    <x v="0"/>
    <m/>
    <x v="0"/>
    <x v="2"/>
    <x v="1188"/>
    <x v="3"/>
    <x v="0"/>
    <x v="1"/>
    <x v="262"/>
    <x v="2960"/>
  </r>
  <r>
    <x v="1"/>
    <n v="1359"/>
    <x v="1184"/>
    <x v="0"/>
    <s v="LM"/>
    <s v="S"/>
    <x v="184"/>
    <x v="3"/>
    <x v="162"/>
    <m/>
    <x v="124"/>
    <m/>
    <x v="3"/>
    <x v="0"/>
    <x v="298"/>
    <m/>
    <x v="8"/>
    <x v="0"/>
    <m/>
    <m/>
    <x v="0"/>
    <x v="1"/>
    <m/>
    <x v="0"/>
    <x v="5"/>
    <x v="1189"/>
    <x v="3"/>
    <x v="0"/>
    <x v="1"/>
    <x v="298"/>
    <x v="2961"/>
  </r>
  <r>
    <x v="1"/>
    <n v="1359"/>
    <x v="1184"/>
    <x v="0"/>
    <s v="LM"/>
    <s v="S"/>
    <x v="184"/>
    <x v="3"/>
    <x v="661"/>
    <m/>
    <x v="39"/>
    <m/>
    <x v="3"/>
    <x v="0"/>
    <x v="424"/>
    <m/>
    <x v="14"/>
    <x v="0"/>
    <m/>
    <m/>
    <x v="0"/>
    <x v="1"/>
    <m/>
    <x v="0"/>
    <x v="5"/>
    <x v="1189"/>
    <x v="3"/>
    <x v="0"/>
    <x v="1"/>
    <x v="424"/>
    <x v="2962"/>
  </r>
  <r>
    <x v="1"/>
    <n v="1359"/>
    <x v="1184"/>
    <x v="0"/>
    <s v="LM"/>
    <s v="S"/>
    <x v="184"/>
    <x v="3"/>
    <x v="22"/>
    <m/>
    <x v="22"/>
    <m/>
    <x v="3"/>
    <x v="0"/>
    <x v="251"/>
    <d v="2012-11-18T00:00:00"/>
    <x v="13"/>
    <x v="1"/>
    <s v="Secção Competitiva"/>
    <m/>
    <x v="301"/>
    <x v="0"/>
    <m/>
    <x v="1"/>
    <x v="5"/>
    <x v="1189"/>
    <x v="3"/>
    <x v="360"/>
    <x v="1"/>
    <x v="251"/>
    <x v="2963"/>
  </r>
  <r>
    <x v="1"/>
    <n v="1309"/>
    <x v="1185"/>
    <x v="5"/>
    <s v="CM"/>
    <s v="N"/>
    <x v="797"/>
    <x v="2"/>
    <x v="70"/>
    <m/>
    <x v="38"/>
    <m/>
    <x v="3"/>
    <x v="0"/>
    <x v="349"/>
    <d v="2012-09-16T00:00:00"/>
    <x v="9"/>
    <x v="1"/>
    <m/>
    <m/>
    <x v="302"/>
    <x v="0"/>
    <m/>
    <x v="1"/>
    <x v="15"/>
    <x v="1190"/>
    <x v="3"/>
    <x v="361"/>
    <x v="1"/>
    <x v="349"/>
    <x v="2964"/>
  </r>
  <r>
    <x v="1"/>
    <n v="511"/>
    <x v="1186"/>
    <x v="4"/>
    <s v="CM"/>
    <s v=""/>
    <x v="599"/>
    <x v="2"/>
    <x v="481"/>
    <m/>
    <x v="24"/>
    <m/>
    <x v="3"/>
    <x v="0"/>
    <x v="320"/>
    <m/>
    <x v="5"/>
    <x v="0"/>
    <m/>
    <m/>
    <x v="0"/>
    <x v="1"/>
    <m/>
    <x v="0"/>
    <x v="8"/>
    <x v="1191"/>
    <x v="3"/>
    <x v="0"/>
    <x v="1"/>
    <x v="320"/>
    <x v="2965"/>
  </r>
  <r>
    <x v="1"/>
    <n v="512"/>
    <x v="352"/>
    <x v="1"/>
    <s v="CM"/>
    <s v="N"/>
    <x v="294"/>
    <x v="2"/>
    <x v="58"/>
    <m/>
    <x v="47"/>
    <m/>
    <x v="3"/>
    <x v="0"/>
    <x v="118"/>
    <d v="2012-09-09T00:00:00"/>
    <x v="9"/>
    <x v="0"/>
    <m/>
    <m/>
    <x v="0"/>
    <x v="1"/>
    <m/>
    <x v="0"/>
    <x v="2"/>
    <x v="354"/>
    <x v="3"/>
    <x v="0"/>
    <x v="1"/>
    <x v="118"/>
    <x v="2966"/>
  </r>
  <r>
    <x v="1"/>
    <n v="1601"/>
    <x v="1187"/>
    <x v="0"/>
    <s v="CM"/>
    <s v="N"/>
    <x v="798"/>
    <x v="41"/>
    <x v="22"/>
    <m/>
    <x v="22"/>
    <m/>
    <x v="3"/>
    <x v="0"/>
    <x v="251"/>
    <d v="2012-11-18T00:00:00"/>
    <x v="13"/>
    <x v="1"/>
    <s v="Ensaios Visuais"/>
    <m/>
    <x v="0"/>
    <x v="0"/>
    <m/>
    <x v="0"/>
    <x v="0"/>
    <x v="1192"/>
    <x v="3"/>
    <x v="0"/>
    <x v="1"/>
    <x v="251"/>
    <x v="2967"/>
  </r>
  <r>
    <x v="1"/>
    <n v="514"/>
    <x v="1188"/>
    <x v="0"/>
    <s v="CM"/>
    <s v="N"/>
    <x v="799"/>
    <x v="2"/>
    <x v="626"/>
    <m/>
    <x v="338"/>
    <m/>
    <x v="3"/>
    <x v="0"/>
    <x v="404"/>
    <m/>
    <x v="2"/>
    <x v="1"/>
    <m/>
    <m/>
    <x v="5"/>
    <x v="0"/>
    <m/>
    <x v="1"/>
    <x v="0"/>
    <x v="1193"/>
    <x v="3"/>
    <x v="5"/>
    <x v="1"/>
    <x v="404"/>
    <x v="2968"/>
  </r>
  <r>
    <x v="1"/>
    <n v="514"/>
    <x v="1188"/>
    <x v="0"/>
    <s v="CM"/>
    <s v="N"/>
    <x v="799"/>
    <x v="2"/>
    <x v="412"/>
    <m/>
    <x v="269"/>
    <m/>
    <x v="3"/>
    <x v="0"/>
    <x v="242"/>
    <m/>
    <x v="7"/>
    <x v="1"/>
    <m/>
    <m/>
    <x v="0"/>
    <x v="0"/>
    <m/>
    <x v="0"/>
    <x v="0"/>
    <x v="1193"/>
    <x v="3"/>
    <x v="0"/>
    <x v="1"/>
    <x v="242"/>
    <x v="2969"/>
  </r>
  <r>
    <x v="1"/>
    <n v="515"/>
    <x v="1189"/>
    <x v="3"/>
    <s v="CM"/>
    <s v="N"/>
    <x v="526"/>
    <x v="41"/>
    <x v="662"/>
    <m/>
    <x v="23"/>
    <m/>
    <x v="3"/>
    <x v="0"/>
    <x v="264"/>
    <m/>
    <x v="7"/>
    <x v="1"/>
    <m/>
    <m/>
    <x v="0"/>
    <x v="1"/>
    <m/>
    <x v="0"/>
    <x v="6"/>
    <x v="1194"/>
    <x v="3"/>
    <x v="0"/>
    <x v="1"/>
    <x v="264"/>
    <x v="2970"/>
  </r>
  <r>
    <x v="1"/>
    <n v="519"/>
    <x v="357"/>
    <x v="0"/>
    <s v="CM"/>
    <s v="N"/>
    <x v="298"/>
    <x v="3"/>
    <x v="663"/>
    <m/>
    <x v="23"/>
    <m/>
    <x v="3"/>
    <x v="0"/>
    <x v="425"/>
    <m/>
    <x v="1"/>
    <x v="1"/>
    <m/>
    <m/>
    <x v="0"/>
    <x v="1"/>
    <m/>
    <x v="0"/>
    <x v="0"/>
    <x v="359"/>
    <x v="3"/>
    <x v="0"/>
    <x v="1"/>
    <x v="425"/>
    <x v="2971"/>
  </r>
  <r>
    <x v="1"/>
    <n v="519"/>
    <x v="357"/>
    <x v="0"/>
    <s v="CM"/>
    <s v="N"/>
    <x v="298"/>
    <x v="3"/>
    <x v="411"/>
    <m/>
    <x v="268"/>
    <m/>
    <x v="0"/>
    <x v="0"/>
    <x v="241"/>
    <d v="2012-05-18T00:00:00"/>
    <x v="6"/>
    <x v="1"/>
    <s v="Mostra Atlântica"/>
    <m/>
    <x v="303"/>
    <x v="0"/>
    <m/>
    <x v="1"/>
    <x v="0"/>
    <x v="359"/>
    <x v="0"/>
    <x v="362"/>
    <x v="0"/>
    <x v="241"/>
    <x v="2972"/>
  </r>
  <r>
    <x v="1"/>
    <n v="519"/>
    <x v="357"/>
    <x v="0"/>
    <s v="CM"/>
    <s v="N"/>
    <x v="298"/>
    <x v="3"/>
    <x v="466"/>
    <m/>
    <x v="288"/>
    <m/>
    <x v="10"/>
    <x v="0"/>
    <x v="312"/>
    <d v="2012-09-30T00:00:00"/>
    <x v="9"/>
    <x v="1"/>
    <s v="Fiction"/>
    <m/>
    <x v="0"/>
    <x v="0"/>
    <m/>
    <x v="0"/>
    <x v="0"/>
    <x v="359"/>
    <x v="10"/>
    <x v="0"/>
    <x v="0"/>
    <x v="312"/>
    <x v="2973"/>
  </r>
  <r>
    <x v="1"/>
    <n v="520"/>
    <x v="358"/>
    <x v="2"/>
    <s v="CM"/>
    <s v=""/>
    <x v="800"/>
    <x v="2"/>
    <x v="26"/>
    <m/>
    <x v="24"/>
    <m/>
    <x v="3"/>
    <x v="0"/>
    <x v="268"/>
    <d v="2012-03-25T00:00:00"/>
    <x v="2"/>
    <x v="1"/>
    <s v="Curtíssimas"/>
    <m/>
    <x v="0"/>
    <x v="0"/>
    <m/>
    <x v="0"/>
    <x v="4"/>
    <x v="1195"/>
    <x v="3"/>
    <x v="0"/>
    <x v="1"/>
    <x v="268"/>
    <x v="2974"/>
  </r>
  <r>
    <x v="1"/>
    <n v="522"/>
    <x v="359"/>
    <x v="2"/>
    <s v="Série"/>
    <s v="S"/>
    <x v="300"/>
    <x v="5"/>
    <x v="26"/>
    <m/>
    <x v="24"/>
    <m/>
    <x v="3"/>
    <x v="0"/>
    <x v="268"/>
    <d v="2012-03-25T00:00:00"/>
    <x v="2"/>
    <x v="1"/>
    <s v="Competição Internacional 2"/>
    <m/>
    <x v="0"/>
    <x v="0"/>
    <m/>
    <x v="0"/>
    <x v="9"/>
    <x v="361"/>
    <x v="3"/>
    <x v="0"/>
    <x v="1"/>
    <x v="268"/>
    <x v="2975"/>
  </r>
  <r>
    <x v="1"/>
    <n v="1493"/>
    <x v="1190"/>
    <x v="2"/>
    <s v="Série"/>
    <s v="S"/>
    <x v="300"/>
    <x v="5"/>
    <x v="27"/>
    <m/>
    <x v="25"/>
    <m/>
    <x v="3"/>
    <x v="0"/>
    <x v="307"/>
    <d v="2012-11-18T00:00:00"/>
    <x v="13"/>
    <x v="0"/>
    <m/>
    <s v="Ilustração e Animação"/>
    <x v="0"/>
    <x v="0"/>
    <m/>
    <x v="0"/>
    <x v="9"/>
    <x v="1196"/>
    <x v="3"/>
    <x v="0"/>
    <x v="1"/>
    <x v="307"/>
    <x v="2976"/>
  </r>
  <r>
    <x v="1"/>
    <n v="1492"/>
    <x v="1191"/>
    <x v="2"/>
    <s v="Série"/>
    <s v="S"/>
    <x v="300"/>
    <x v="5"/>
    <x v="27"/>
    <m/>
    <x v="25"/>
    <m/>
    <x v="3"/>
    <x v="0"/>
    <x v="307"/>
    <d v="2012-11-18T00:00:00"/>
    <x v="13"/>
    <x v="0"/>
    <m/>
    <s v="Ilustração e Animação"/>
    <x v="0"/>
    <x v="0"/>
    <m/>
    <x v="0"/>
    <x v="9"/>
    <x v="1197"/>
    <x v="3"/>
    <x v="0"/>
    <x v="1"/>
    <x v="307"/>
    <x v="2977"/>
  </r>
  <r>
    <x v="1"/>
    <n v="523"/>
    <x v="360"/>
    <x v="2"/>
    <s v="Série"/>
    <s v="S"/>
    <x v="300"/>
    <x v="5"/>
    <x v="232"/>
    <m/>
    <x v="162"/>
    <m/>
    <x v="5"/>
    <x v="0"/>
    <x v="281"/>
    <d v="2012-05-01T00:00:00"/>
    <x v="4"/>
    <x v="1"/>
    <s v="Children's and Youth Film Competition"/>
    <m/>
    <x v="0"/>
    <x v="0"/>
    <m/>
    <x v="0"/>
    <x v="9"/>
    <x v="362"/>
    <x v="5"/>
    <x v="0"/>
    <x v="0"/>
    <x v="281"/>
    <x v="2978"/>
  </r>
  <r>
    <x v="1"/>
    <n v="523"/>
    <x v="360"/>
    <x v="2"/>
    <s v="Série"/>
    <s v="S"/>
    <x v="300"/>
    <x v="5"/>
    <x v="664"/>
    <m/>
    <x v="124"/>
    <m/>
    <x v="3"/>
    <x v="0"/>
    <x v="328"/>
    <m/>
    <x v="9"/>
    <x v="0"/>
    <m/>
    <m/>
    <x v="0"/>
    <x v="1"/>
    <m/>
    <x v="0"/>
    <x v="9"/>
    <x v="362"/>
    <x v="3"/>
    <x v="0"/>
    <x v="1"/>
    <x v="328"/>
    <x v="2979"/>
  </r>
  <r>
    <x v="1"/>
    <n v="523"/>
    <x v="360"/>
    <x v="2"/>
    <s v="Série"/>
    <s v="S"/>
    <x v="300"/>
    <x v="5"/>
    <x v="664"/>
    <m/>
    <x v="124"/>
    <m/>
    <x v="3"/>
    <x v="0"/>
    <x v="411"/>
    <m/>
    <x v="14"/>
    <x v="0"/>
    <m/>
    <m/>
    <x v="0"/>
    <x v="1"/>
    <m/>
    <x v="0"/>
    <x v="9"/>
    <x v="362"/>
    <x v="3"/>
    <x v="0"/>
    <x v="1"/>
    <x v="411"/>
    <x v="2980"/>
  </r>
  <r>
    <x v="1"/>
    <n v="523"/>
    <x v="360"/>
    <x v="2"/>
    <s v="Série"/>
    <s v="S"/>
    <x v="300"/>
    <x v="5"/>
    <x v="27"/>
    <m/>
    <x v="25"/>
    <m/>
    <x v="3"/>
    <x v="0"/>
    <x v="307"/>
    <d v="2012-11-18T00:00:00"/>
    <x v="13"/>
    <x v="0"/>
    <m/>
    <s v="Ilustração e Animação"/>
    <x v="0"/>
    <x v="0"/>
    <m/>
    <x v="0"/>
    <x v="9"/>
    <x v="362"/>
    <x v="3"/>
    <x v="0"/>
    <x v="1"/>
    <x v="307"/>
    <x v="2981"/>
  </r>
  <r>
    <x v="1"/>
    <n v="529"/>
    <x v="366"/>
    <x v="0"/>
    <s v="CM"/>
    <s v="N"/>
    <x v="303"/>
    <x v="2"/>
    <x v="665"/>
    <m/>
    <x v="24"/>
    <m/>
    <x v="3"/>
    <x v="0"/>
    <x v="400"/>
    <m/>
    <x v="15"/>
    <x v="1"/>
    <m/>
    <m/>
    <x v="0"/>
    <x v="1"/>
    <m/>
    <x v="0"/>
    <x v="0"/>
    <x v="368"/>
    <x v="3"/>
    <x v="0"/>
    <x v="1"/>
    <x v="400"/>
    <x v="2982"/>
  </r>
  <r>
    <x v="1"/>
    <n v="529"/>
    <x v="366"/>
    <x v="0"/>
    <s v="CM"/>
    <s v="N"/>
    <x v="303"/>
    <x v="2"/>
    <x v="553"/>
    <m/>
    <x v="17"/>
    <m/>
    <x v="2"/>
    <x v="0"/>
    <x v="352"/>
    <d v="2012-02-12T00:00:00"/>
    <x v="18"/>
    <x v="0"/>
    <m/>
    <s v="Focus: Les Artistes - Gabriel Abrantes"/>
    <x v="0"/>
    <x v="0"/>
    <m/>
    <x v="0"/>
    <x v="0"/>
    <x v="368"/>
    <x v="2"/>
    <x v="0"/>
    <x v="0"/>
    <x v="352"/>
    <x v="2983"/>
  </r>
  <r>
    <x v="1"/>
    <n v="1685"/>
    <x v="1192"/>
    <x v="0"/>
    <s v="CM"/>
    <s v="N"/>
    <x v="801"/>
    <x v="41"/>
    <x v="459"/>
    <m/>
    <x v="287"/>
    <m/>
    <x v="3"/>
    <x v="0"/>
    <x v="267"/>
    <m/>
    <x v="13"/>
    <x v="1"/>
    <m/>
    <m/>
    <x v="0"/>
    <x v="2"/>
    <m/>
    <x v="0"/>
    <x v="0"/>
    <x v="1198"/>
    <x v="3"/>
    <x v="0"/>
    <x v="1"/>
    <x v="267"/>
    <x v="2984"/>
  </r>
  <r>
    <x v="1"/>
    <n v="531"/>
    <x v="1193"/>
    <x v="1"/>
    <s v="LM"/>
    <s v=""/>
    <x v="572"/>
    <x v="2"/>
    <x v="146"/>
    <m/>
    <x v="24"/>
    <m/>
    <x v="3"/>
    <x v="0"/>
    <x v="281"/>
    <d v="2012-05-06T00:00:00"/>
    <x v="4"/>
    <x v="1"/>
    <s v="Competição Nacional Longas Metragens"/>
    <s v="Cinema Emergente Longas Metragens"/>
    <x v="0"/>
    <x v="0"/>
    <m/>
    <x v="0"/>
    <x v="1"/>
    <x v="1199"/>
    <x v="3"/>
    <x v="0"/>
    <x v="1"/>
    <x v="281"/>
    <x v="2985"/>
  </r>
  <r>
    <x v="1"/>
    <n v="535"/>
    <x v="371"/>
    <x v="0"/>
    <s v="LM"/>
    <s v="S"/>
    <x v="289"/>
    <x v="0"/>
    <x v="447"/>
    <m/>
    <x v="185"/>
    <m/>
    <x v="0"/>
    <x v="0"/>
    <x v="288"/>
    <d v="2012-03-15T00:00:00"/>
    <x v="2"/>
    <x v="0"/>
    <m/>
    <s v="Mostra Portugal"/>
    <x v="0"/>
    <x v="0"/>
    <m/>
    <x v="0"/>
    <x v="5"/>
    <x v="373"/>
    <x v="0"/>
    <x v="0"/>
    <x v="0"/>
    <x v="288"/>
    <x v="2986"/>
  </r>
  <r>
    <x v="1"/>
    <n v="535"/>
    <x v="371"/>
    <x v="0"/>
    <s v="LM"/>
    <s v="S"/>
    <x v="289"/>
    <x v="0"/>
    <x v="522"/>
    <m/>
    <x v="165"/>
    <m/>
    <x v="4"/>
    <x v="0"/>
    <x v="363"/>
    <d v="2012-04-22T00:00:00"/>
    <x v="5"/>
    <x v="0"/>
    <m/>
    <s v="João Canijo"/>
    <x v="0"/>
    <x v="0"/>
    <m/>
    <x v="0"/>
    <x v="5"/>
    <x v="373"/>
    <x v="4"/>
    <x v="0"/>
    <x v="0"/>
    <x v="363"/>
    <x v="2987"/>
  </r>
  <r>
    <x v="1"/>
    <n v="535"/>
    <x v="371"/>
    <x v="0"/>
    <s v="LM"/>
    <s v="S"/>
    <x v="289"/>
    <x v="0"/>
    <x v="441"/>
    <m/>
    <x v="282"/>
    <m/>
    <x v="2"/>
    <x v="0"/>
    <x v="280"/>
    <d v="2012-07-08T00:00:00"/>
    <x v="17"/>
    <x v="0"/>
    <m/>
    <s v="Hommages: João Canijo"/>
    <x v="0"/>
    <x v="0"/>
    <m/>
    <x v="0"/>
    <x v="5"/>
    <x v="373"/>
    <x v="2"/>
    <x v="0"/>
    <x v="0"/>
    <x v="280"/>
    <x v="2988"/>
  </r>
  <r>
    <x v="1"/>
    <n v="535"/>
    <x v="371"/>
    <x v="0"/>
    <s v="LM"/>
    <s v="S"/>
    <x v="289"/>
    <x v="0"/>
    <x v="666"/>
    <m/>
    <x v="235"/>
    <m/>
    <x v="1"/>
    <x v="0"/>
    <x v="254"/>
    <d v="2012-11-30T00:00:00"/>
    <x v="13"/>
    <x v="0"/>
    <m/>
    <s v="Retrospectiva: João Canijo"/>
    <x v="0"/>
    <x v="0"/>
    <m/>
    <x v="0"/>
    <x v="5"/>
    <x v="373"/>
    <x v="1"/>
    <x v="0"/>
    <x v="0"/>
    <x v="254"/>
    <x v="2989"/>
  </r>
  <r>
    <x v="1"/>
    <n v="536"/>
    <x v="1194"/>
    <x v="1"/>
    <s v="CM"/>
    <s v="N"/>
    <x v="802"/>
    <x v="41"/>
    <x v="424"/>
    <m/>
    <x v="24"/>
    <m/>
    <x v="3"/>
    <x v="0"/>
    <x v="255"/>
    <d v="2012-06-17T00:00:00"/>
    <x v="7"/>
    <x v="1"/>
    <s v="Curta Metragem"/>
    <m/>
    <x v="304"/>
    <x v="0"/>
    <m/>
    <x v="1"/>
    <x v="2"/>
    <x v="1200"/>
    <x v="3"/>
    <x v="363"/>
    <x v="1"/>
    <x v="255"/>
    <x v="2990"/>
  </r>
  <r>
    <x v="1"/>
    <n v="536"/>
    <x v="1194"/>
    <x v="1"/>
    <s v="CM"/>
    <s v="N"/>
    <x v="802"/>
    <x v="41"/>
    <x v="58"/>
    <m/>
    <x v="47"/>
    <m/>
    <x v="3"/>
    <x v="0"/>
    <x v="118"/>
    <d v="2012-09-09T00:00:00"/>
    <x v="9"/>
    <x v="0"/>
    <m/>
    <m/>
    <x v="0"/>
    <x v="1"/>
    <m/>
    <x v="0"/>
    <x v="2"/>
    <x v="1200"/>
    <x v="3"/>
    <x v="0"/>
    <x v="1"/>
    <x v="118"/>
    <x v="2991"/>
  </r>
  <r>
    <x v="1"/>
    <n v="538"/>
    <x v="1195"/>
    <x v="0"/>
    <s v="CM"/>
    <s v="N"/>
    <x v="803"/>
    <x v="2"/>
    <x v="412"/>
    <m/>
    <x v="269"/>
    <m/>
    <x v="3"/>
    <x v="0"/>
    <x v="242"/>
    <m/>
    <x v="7"/>
    <x v="1"/>
    <m/>
    <m/>
    <x v="0"/>
    <x v="0"/>
    <m/>
    <x v="0"/>
    <x v="0"/>
    <x v="1201"/>
    <x v="3"/>
    <x v="0"/>
    <x v="1"/>
    <x v="242"/>
    <x v="2992"/>
  </r>
  <r>
    <x v="1"/>
    <n v="1413"/>
    <x v="1196"/>
    <x v="1"/>
    <s v="CM"/>
    <s v="N"/>
    <x v="129"/>
    <x v="27"/>
    <x v="25"/>
    <m/>
    <x v="24"/>
    <m/>
    <x v="3"/>
    <x v="0"/>
    <x v="294"/>
    <d v="2012-10-28T00:00:00"/>
    <x v="14"/>
    <x v="0"/>
    <m/>
    <s v="Heart Beat"/>
    <x v="0"/>
    <x v="0"/>
    <m/>
    <x v="0"/>
    <x v="2"/>
    <x v="1202"/>
    <x v="3"/>
    <x v="0"/>
    <x v="1"/>
    <x v="294"/>
    <x v="2993"/>
  </r>
  <r>
    <x v="1"/>
    <n v="1476"/>
    <x v="1197"/>
    <x v="1"/>
    <s v="CM"/>
    <s v="N"/>
    <x v="804"/>
    <x v="41"/>
    <x v="68"/>
    <m/>
    <x v="53"/>
    <m/>
    <x v="3"/>
    <x v="0"/>
    <x v="253"/>
    <d v="2012-07-15T00:00:00"/>
    <x v="8"/>
    <x v="0"/>
    <m/>
    <s v="20 anos"/>
    <x v="0"/>
    <x v="0"/>
    <m/>
    <x v="0"/>
    <x v="2"/>
    <x v="1203"/>
    <x v="3"/>
    <x v="0"/>
    <x v="1"/>
    <x v="253"/>
    <x v="2994"/>
  </r>
  <r>
    <x v="1"/>
    <n v="542"/>
    <x v="376"/>
    <x v="1"/>
    <s v="LM"/>
    <s v="N"/>
    <x v="311"/>
    <x v="2"/>
    <x v="320"/>
    <m/>
    <x v="218"/>
    <m/>
    <x v="3"/>
    <x v="0"/>
    <x v="426"/>
    <m/>
    <x v="1"/>
    <x v="0"/>
    <m/>
    <m/>
    <x v="0"/>
    <x v="1"/>
    <m/>
    <x v="0"/>
    <x v="1"/>
    <x v="378"/>
    <x v="3"/>
    <x v="0"/>
    <x v="1"/>
    <x v="426"/>
    <x v="2995"/>
  </r>
  <r>
    <x v="1"/>
    <n v="542"/>
    <x v="376"/>
    <x v="1"/>
    <s v="LM"/>
    <s v="N"/>
    <x v="311"/>
    <x v="2"/>
    <x v="667"/>
    <m/>
    <x v="348"/>
    <m/>
    <x v="3"/>
    <x v="0"/>
    <x v="353"/>
    <m/>
    <x v="2"/>
    <x v="0"/>
    <m/>
    <m/>
    <x v="0"/>
    <x v="1"/>
    <m/>
    <x v="0"/>
    <x v="1"/>
    <x v="378"/>
    <x v="3"/>
    <x v="0"/>
    <x v="1"/>
    <x v="353"/>
    <x v="2996"/>
  </r>
  <r>
    <x v="1"/>
    <n v="542"/>
    <x v="376"/>
    <x v="1"/>
    <s v="LM"/>
    <s v="N"/>
    <x v="311"/>
    <x v="2"/>
    <x v="668"/>
    <m/>
    <x v="309"/>
    <m/>
    <x v="3"/>
    <x v="0"/>
    <x v="404"/>
    <m/>
    <x v="2"/>
    <x v="0"/>
    <m/>
    <m/>
    <x v="0"/>
    <x v="1"/>
    <m/>
    <x v="0"/>
    <x v="1"/>
    <x v="378"/>
    <x v="3"/>
    <x v="0"/>
    <x v="1"/>
    <x v="404"/>
    <x v="2997"/>
  </r>
  <r>
    <x v="1"/>
    <n v="542"/>
    <x v="376"/>
    <x v="1"/>
    <s v="LM"/>
    <s v="N"/>
    <x v="311"/>
    <x v="2"/>
    <x v="669"/>
    <m/>
    <x v="190"/>
    <m/>
    <x v="0"/>
    <x v="0"/>
    <x v="407"/>
    <d v="2012-06-04T00:00:00"/>
    <x v="22"/>
    <x v="1"/>
    <s v="Outros Olhares"/>
    <m/>
    <x v="0"/>
    <x v="0"/>
    <m/>
    <x v="0"/>
    <x v="1"/>
    <x v="378"/>
    <x v="0"/>
    <x v="0"/>
    <x v="0"/>
    <x v="407"/>
    <x v="2998"/>
  </r>
  <r>
    <x v="1"/>
    <n v="543"/>
    <x v="1198"/>
    <x v="0"/>
    <s v="CM"/>
    <s v="N"/>
    <x v="782"/>
    <x v="3"/>
    <x v="599"/>
    <m/>
    <x v="24"/>
    <m/>
    <x v="3"/>
    <x v="0"/>
    <x v="258"/>
    <m/>
    <x v="1"/>
    <x v="1"/>
    <m/>
    <m/>
    <x v="305"/>
    <x v="0"/>
    <m/>
    <x v="1"/>
    <x v="0"/>
    <x v="1204"/>
    <x v="3"/>
    <x v="364"/>
    <x v="1"/>
    <x v="258"/>
    <x v="2999"/>
  </r>
  <r>
    <x v="1"/>
    <n v="543"/>
    <x v="1198"/>
    <x v="0"/>
    <s v="CM"/>
    <s v="N"/>
    <x v="782"/>
    <x v="3"/>
    <x v="513"/>
    <m/>
    <x v="308"/>
    <m/>
    <x v="34"/>
    <x v="0"/>
    <x v="356"/>
    <d v="2012-08-19T00:00:00"/>
    <x v="16"/>
    <x v="1"/>
    <s v="Wettbewerb 1: Spiel- und Dokumentarfilm"/>
    <m/>
    <x v="0"/>
    <x v="0"/>
    <m/>
    <x v="0"/>
    <x v="0"/>
    <x v="1204"/>
    <x v="34"/>
    <x v="0"/>
    <x v="0"/>
    <x v="356"/>
    <x v="3000"/>
  </r>
  <r>
    <x v="1"/>
    <n v="543"/>
    <x v="1198"/>
    <x v="0"/>
    <s v="CM"/>
    <s v="N"/>
    <x v="782"/>
    <x v="3"/>
    <x v="70"/>
    <m/>
    <x v="38"/>
    <m/>
    <x v="3"/>
    <x v="0"/>
    <x v="349"/>
    <d v="2012-09-16T00:00:00"/>
    <x v="9"/>
    <x v="1"/>
    <m/>
    <m/>
    <x v="0"/>
    <x v="0"/>
    <m/>
    <x v="0"/>
    <x v="0"/>
    <x v="1204"/>
    <x v="3"/>
    <x v="0"/>
    <x v="1"/>
    <x v="349"/>
    <x v="3001"/>
  </r>
  <r>
    <x v="1"/>
    <n v="1632"/>
    <x v="1199"/>
    <x v="1"/>
    <s v="LM"/>
    <s v=""/>
    <x v="165"/>
    <x v="16"/>
    <x v="109"/>
    <m/>
    <x v="23"/>
    <m/>
    <x v="3"/>
    <x v="0"/>
    <x v="427"/>
    <d v="2012-12-02T00:00:00"/>
    <x v="32"/>
    <x v="0"/>
    <m/>
    <s v="Momento XXII"/>
    <x v="0"/>
    <x v="1"/>
    <m/>
    <x v="0"/>
    <x v="1"/>
    <x v="1205"/>
    <x v="3"/>
    <x v="0"/>
    <x v="1"/>
    <x v="427"/>
    <x v="3002"/>
  </r>
  <r>
    <x v="1"/>
    <n v="544"/>
    <x v="1200"/>
    <x v="0"/>
    <s v="CM"/>
    <s v="N"/>
    <x v="805"/>
    <x v="2"/>
    <x v="658"/>
    <m/>
    <x v="24"/>
    <m/>
    <x v="3"/>
    <x v="0"/>
    <x v="399"/>
    <m/>
    <x v="15"/>
    <x v="1"/>
    <m/>
    <m/>
    <x v="0"/>
    <x v="1"/>
    <m/>
    <x v="0"/>
    <x v="0"/>
    <x v="1206"/>
    <x v="3"/>
    <x v="0"/>
    <x v="1"/>
    <x v="399"/>
    <x v="3003"/>
  </r>
  <r>
    <x v="1"/>
    <n v="545"/>
    <x v="377"/>
    <x v="2"/>
    <s v="Série"/>
    <s v="S"/>
    <x v="312"/>
    <x v="3"/>
    <x v="621"/>
    <m/>
    <x v="212"/>
    <m/>
    <x v="9"/>
    <x v="0"/>
    <x v="271"/>
    <d v="2012-02-05T00:00:00"/>
    <x v="18"/>
    <x v="0"/>
    <m/>
    <s v="Dream Machine"/>
    <x v="0"/>
    <x v="0"/>
    <m/>
    <x v="0"/>
    <x v="9"/>
    <x v="379"/>
    <x v="9"/>
    <x v="0"/>
    <x v="0"/>
    <x v="271"/>
    <x v="3004"/>
  </r>
  <r>
    <x v="1"/>
    <n v="545"/>
    <x v="377"/>
    <x v="2"/>
    <s v="Série"/>
    <s v="S"/>
    <x v="312"/>
    <x v="3"/>
    <x v="558"/>
    <m/>
    <x v="24"/>
    <m/>
    <x v="3"/>
    <x v="0"/>
    <x v="375"/>
    <m/>
    <x v="15"/>
    <x v="1"/>
    <s v="Animação Digital"/>
    <m/>
    <x v="179"/>
    <x v="2"/>
    <m/>
    <x v="1"/>
    <x v="9"/>
    <x v="379"/>
    <x v="3"/>
    <x v="365"/>
    <x v="1"/>
    <x v="375"/>
    <x v="3005"/>
  </r>
  <r>
    <x v="1"/>
    <n v="545"/>
    <x v="377"/>
    <x v="2"/>
    <s v="Série"/>
    <s v="S"/>
    <x v="312"/>
    <x v="3"/>
    <x v="62"/>
    <m/>
    <x v="23"/>
    <m/>
    <x v="3"/>
    <x v="0"/>
    <x v="302"/>
    <d v="2012-03-04T00:00:00"/>
    <x v="19"/>
    <x v="0"/>
    <m/>
    <s v="Panorama do Cinema Português - Casa da Animação"/>
    <x v="0"/>
    <x v="0"/>
    <m/>
    <x v="0"/>
    <x v="9"/>
    <x v="379"/>
    <x v="3"/>
    <x v="0"/>
    <x v="1"/>
    <x v="302"/>
    <x v="3006"/>
  </r>
  <r>
    <x v="1"/>
    <n v="545"/>
    <x v="377"/>
    <x v="2"/>
    <s v="Série"/>
    <s v="S"/>
    <x v="312"/>
    <x v="3"/>
    <x v="26"/>
    <m/>
    <x v="24"/>
    <m/>
    <x v="3"/>
    <x v="0"/>
    <x v="268"/>
    <d v="2012-03-25T00:00:00"/>
    <x v="2"/>
    <x v="1"/>
    <s v="Competição Internacional 4 e Competição Portugueses"/>
    <m/>
    <x v="306"/>
    <x v="0"/>
    <m/>
    <x v="1"/>
    <x v="9"/>
    <x v="379"/>
    <x v="3"/>
    <x v="366"/>
    <x v="1"/>
    <x v="268"/>
    <x v="3007"/>
  </r>
  <r>
    <x v="1"/>
    <n v="545"/>
    <x v="377"/>
    <x v="2"/>
    <s v="Série"/>
    <s v="S"/>
    <x v="312"/>
    <x v="3"/>
    <x v="507"/>
    <m/>
    <x v="305"/>
    <m/>
    <x v="15"/>
    <x v="0"/>
    <x v="323"/>
    <d v="2012-03-25T00:00:00"/>
    <x v="2"/>
    <x v="1"/>
    <s v="Serie TV Kids"/>
    <m/>
    <x v="0"/>
    <x v="0"/>
    <m/>
    <x v="0"/>
    <x v="9"/>
    <x v="379"/>
    <x v="15"/>
    <x v="0"/>
    <x v="0"/>
    <x v="323"/>
    <x v="3008"/>
  </r>
  <r>
    <x v="1"/>
    <n v="545"/>
    <x v="377"/>
    <x v="2"/>
    <s v="Série"/>
    <s v="S"/>
    <x v="312"/>
    <x v="3"/>
    <x v="590"/>
    <m/>
    <x v="328"/>
    <m/>
    <x v="11"/>
    <x v="0"/>
    <x v="281"/>
    <d v="2012-05-01T00:00:00"/>
    <x v="4"/>
    <x v="1"/>
    <s v="TV Film and Series"/>
    <m/>
    <x v="0"/>
    <x v="0"/>
    <m/>
    <x v="0"/>
    <x v="9"/>
    <x v="379"/>
    <x v="11"/>
    <x v="0"/>
    <x v="0"/>
    <x v="281"/>
    <x v="3009"/>
  </r>
  <r>
    <x v="1"/>
    <n v="545"/>
    <x v="377"/>
    <x v="2"/>
    <s v="Série"/>
    <s v="S"/>
    <x v="312"/>
    <x v="3"/>
    <x v="532"/>
    <m/>
    <x v="134"/>
    <m/>
    <x v="41"/>
    <x v="0"/>
    <x v="295"/>
    <d v="2012-10-28T00:00:00"/>
    <x v="14"/>
    <x v="1"/>
    <s v="Films for Television: TV Serials"/>
    <m/>
    <x v="0"/>
    <x v="0"/>
    <m/>
    <x v="0"/>
    <x v="9"/>
    <x v="379"/>
    <x v="41"/>
    <x v="0"/>
    <x v="0"/>
    <x v="295"/>
    <x v="3010"/>
  </r>
  <r>
    <x v="1"/>
    <n v="545"/>
    <x v="377"/>
    <x v="2"/>
    <s v="Série"/>
    <s v="S"/>
    <x v="312"/>
    <x v="3"/>
    <x v="512"/>
    <m/>
    <x v="307"/>
    <m/>
    <x v="1"/>
    <x v="0"/>
    <x v="354"/>
    <d v="2012-11-25T00:00:00"/>
    <x v="13"/>
    <x v="1"/>
    <s v="Programa Internacional 7: FILMETS en família"/>
    <m/>
    <x v="0"/>
    <x v="0"/>
    <m/>
    <x v="0"/>
    <x v="9"/>
    <x v="379"/>
    <x v="1"/>
    <x v="0"/>
    <x v="0"/>
    <x v="354"/>
    <x v="3011"/>
  </r>
  <r>
    <x v="1"/>
    <n v="546"/>
    <x v="378"/>
    <x v="2"/>
    <s v="Série"/>
    <s v="S"/>
    <x v="312"/>
    <x v="3"/>
    <x v="224"/>
    <m/>
    <x v="156"/>
    <m/>
    <x v="18"/>
    <x v="0"/>
    <x v="298"/>
    <d v="2012-07-22T00:00:00"/>
    <x v="8"/>
    <x v="1"/>
    <s v="TV Films"/>
    <m/>
    <x v="0"/>
    <x v="0"/>
    <m/>
    <x v="0"/>
    <x v="9"/>
    <x v="380"/>
    <x v="18"/>
    <x v="0"/>
    <x v="0"/>
    <x v="298"/>
    <x v="3012"/>
  </r>
  <r>
    <x v="1"/>
    <n v="546"/>
    <x v="378"/>
    <x v="2"/>
    <s v="Série"/>
    <s v="S"/>
    <x v="312"/>
    <x v="3"/>
    <x v="651"/>
    <m/>
    <x v="343"/>
    <m/>
    <x v="33"/>
    <x v="0"/>
    <x v="286"/>
    <d v="2012-09-09T00:00:00"/>
    <x v="9"/>
    <x v="1"/>
    <s v="Films for Children Competition"/>
    <m/>
    <x v="0"/>
    <x v="0"/>
    <m/>
    <x v="0"/>
    <x v="9"/>
    <x v="380"/>
    <x v="33"/>
    <x v="0"/>
    <x v="0"/>
    <x v="286"/>
    <x v="3013"/>
  </r>
  <r>
    <x v="1"/>
    <n v="549"/>
    <x v="1201"/>
    <x v="2"/>
    <s v="Série"/>
    <s v="S"/>
    <x v="312"/>
    <x v="3"/>
    <x v="582"/>
    <m/>
    <x v="24"/>
    <m/>
    <x v="3"/>
    <x v="0"/>
    <x v="353"/>
    <m/>
    <x v="2"/>
    <x v="0"/>
    <m/>
    <m/>
    <x v="0"/>
    <x v="1"/>
    <m/>
    <x v="0"/>
    <x v="9"/>
    <x v="1207"/>
    <x v="3"/>
    <x v="0"/>
    <x v="1"/>
    <x v="353"/>
    <x v="3014"/>
  </r>
  <r>
    <x v="1"/>
    <n v="550"/>
    <x v="1202"/>
    <x v="0"/>
    <s v="LM"/>
    <s v="S"/>
    <x v="806"/>
    <x v="13"/>
    <x v="533"/>
    <m/>
    <x v="314"/>
    <m/>
    <x v="9"/>
    <x v="0"/>
    <x v="365"/>
    <d v="2012-05-26T00:00:00"/>
    <x v="6"/>
    <x v="0"/>
    <m/>
    <m/>
    <x v="0"/>
    <x v="1"/>
    <m/>
    <x v="0"/>
    <x v="5"/>
    <x v="1208"/>
    <x v="9"/>
    <x v="0"/>
    <x v="0"/>
    <x v="365"/>
    <x v="3015"/>
  </r>
  <r>
    <x v="1"/>
    <n v="550"/>
    <x v="1202"/>
    <x v="0"/>
    <s v="LM"/>
    <s v="S"/>
    <x v="806"/>
    <x v="13"/>
    <x v="534"/>
    <m/>
    <x v="65"/>
    <m/>
    <x v="9"/>
    <x v="0"/>
    <x v="236"/>
    <d v="2012-06-28T00:00:00"/>
    <x v="7"/>
    <x v="0"/>
    <m/>
    <m/>
    <x v="0"/>
    <x v="1"/>
    <m/>
    <x v="0"/>
    <x v="5"/>
    <x v="1208"/>
    <x v="9"/>
    <x v="0"/>
    <x v="0"/>
    <x v="236"/>
    <x v="3016"/>
  </r>
  <r>
    <x v="1"/>
    <n v="550"/>
    <x v="1202"/>
    <x v="0"/>
    <s v="LM"/>
    <s v="S"/>
    <x v="806"/>
    <x v="13"/>
    <x v="619"/>
    <m/>
    <x v="335"/>
    <m/>
    <x v="3"/>
    <x v="0"/>
    <x v="231"/>
    <m/>
    <x v="12"/>
    <x v="0"/>
    <m/>
    <m/>
    <x v="0"/>
    <x v="1"/>
    <m/>
    <x v="0"/>
    <x v="5"/>
    <x v="1208"/>
    <x v="3"/>
    <x v="0"/>
    <x v="1"/>
    <x v="231"/>
    <x v="3017"/>
  </r>
  <r>
    <x v="1"/>
    <n v="552"/>
    <x v="382"/>
    <x v="1"/>
    <s v="CM"/>
    <s v="N"/>
    <x v="313"/>
    <x v="3"/>
    <x v="470"/>
    <m/>
    <x v="289"/>
    <m/>
    <x v="3"/>
    <x v="0"/>
    <x v="316"/>
    <d v="2012-01-25T00:00:00"/>
    <x v="15"/>
    <x v="0"/>
    <m/>
    <m/>
    <x v="0"/>
    <x v="3"/>
    <m/>
    <x v="0"/>
    <x v="2"/>
    <x v="384"/>
    <x v="3"/>
    <x v="0"/>
    <x v="1"/>
    <x v="316"/>
    <x v="3018"/>
  </r>
  <r>
    <x v="1"/>
    <n v="552"/>
    <x v="382"/>
    <x v="1"/>
    <s v="CM"/>
    <s v="N"/>
    <x v="313"/>
    <x v="3"/>
    <x v="425"/>
    <m/>
    <x v="269"/>
    <m/>
    <x v="3"/>
    <x v="0"/>
    <x v="256"/>
    <d v="2012-03-17T00:00:00"/>
    <x v="2"/>
    <x v="0"/>
    <m/>
    <m/>
    <x v="0"/>
    <x v="3"/>
    <m/>
    <x v="0"/>
    <x v="2"/>
    <x v="384"/>
    <x v="3"/>
    <x v="0"/>
    <x v="1"/>
    <x v="256"/>
    <x v="3019"/>
  </r>
  <r>
    <x v="1"/>
    <n v="553"/>
    <x v="383"/>
    <x v="0"/>
    <s v="CM"/>
    <s v="N"/>
    <x v="282"/>
    <x v="5"/>
    <x v="555"/>
    <m/>
    <x v="317"/>
    <m/>
    <x v="8"/>
    <x v="0"/>
    <x v="358"/>
    <d v="2012-04-29T00:00:00"/>
    <x v="5"/>
    <x v="0"/>
    <m/>
    <m/>
    <x v="0"/>
    <x v="0"/>
    <m/>
    <x v="0"/>
    <x v="0"/>
    <x v="385"/>
    <x v="8"/>
    <x v="0"/>
    <x v="0"/>
    <x v="358"/>
    <x v="3020"/>
  </r>
  <r>
    <x v="1"/>
    <n v="1337"/>
    <x v="1203"/>
    <x v="1"/>
    <s v="CM"/>
    <s v="N"/>
    <x v="344"/>
    <x v="2"/>
    <x v="106"/>
    <m/>
    <x v="82"/>
    <m/>
    <x v="21"/>
    <x v="0"/>
    <x v="349"/>
    <d v="2012-09-23T00:00:00"/>
    <x v="9"/>
    <x v="0"/>
    <m/>
    <s v="Ciclo Grande Hotel"/>
    <x v="0"/>
    <x v="0"/>
    <m/>
    <x v="0"/>
    <x v="2"/>
    <x v="1209"/>
    <x v="21"/>
    <x v="0"/>
    <x v="0"/>
    <x v="349"/>
    <x v="3021"/>
  </r>
  <r>
    <x v="1"/>
    <n v="1581"/>
    <x v="1204"/>
    <x v="0"/>
    <s v="CM"/>
    <s v="N"/>
    <x v="807"/>
    <x v="2"/>
    <x v="22"/>
    <m/>
    <x v="22"/>
    <m/>
    <x v="3"/>
    <x v="0"/>
    <x v="251"/>
    <d v="2012-11-18T00:00:00"/>
    <x v="13"/>
    <x v="1"/>
    <s v="Secção Competitiva"/>
    <m/>
    <x v="0"/>
    <x v="0"/>
    <m/>
    <x v="0"/>
    <x v="0"/>
    <x v="1210"/>
    <x v="3"/>
    <x v="0"/>
    <x v="1"/>
    <x v="251"/>
    <x v="3022"/>
  </r>
  <r>
    <x v="1"/>
    <n v="557"/>
    <x v="387"/>
    <x v="0"/>
    <s v="LM"/>
    <s v="S"/>
    <x v="316"/>
    <x v="5"/>
    <x v="13"/>
    <m/>
    <x v="13"/>
    <m/>
    <x v="3"/>
    <x v="0"/>
    <x v="323"/>
    <m/>
    <x v="2"/>
    <x v="0"/>
    <m/>
    <m/>
    <x v="0"/>
    <x v="1"/>
    <m/>
    <x v="0"/>
    <x v="5"/>
    <x v="389"/>
    <x v="3"/>
    <x v="0"/>
    <x v="1"/>
    <x v="323"/>
    <x v="3023"/>
  </r>
  <r>
    <x v="1"/>
    <n v="557"/>
    <x v="387"/>
    <x v="0"/>
    <s v="LM"/>
    <s v="S"/>
    <x v="316"/>
    <x v="5"/>
    <x v="540"/>
    <m/>
    <x v="174"/>
    <m/>
    <x v="1"/>
    <x v="0"/>
    <x v="368"/>
    <d v="2012-06-12T00:00:00"/>
    <x v="7"/>
    <x v="0"/>
    <m/>
    <m/>
    <x v="0"/>
    <x v="1"/>
    <m/>
    <x v="0"/>
    <x v="5"/>
    <x v="389"/>
    <x v="1"/>
    <x v="0"/>
    <x v="0"/>
    <x v="368"/>
    <x v="3024"/>
  </r>
  <r>
    <x v="1"/>
    <n v="557"/>
    <x v="387"/>
    <x v="0"/>
    <s v="LM"/>
    <s v="S"/>
    <x v="316"/>
    <x v="5"/>
    <x v="564"/>
    <m/>
    <x v="319"/>
    <m/>
    <x v="1"/>
    <x v="0"/>
    <x v="309"/>
    <d v="2012-06-28T00:00:00"/>
    <x v="7"/>
    <x v="0"/>
    <m/>
    <m/>
    <x v="0"/>
    <x v="1"/>
    <m/>
    <x v="0"/>
    <x v="5"/>
    <x v="389"/>
    <x v="1"/>
    <x v="0"/>
    <x v="0"/>
    <x v="309"/>
    <x v="3025"/>
  </r>
  <r>
    <x v="1"/>
    <n v="557"/>
    <x v="387"/>
    <x v="0"/>
    <s v="LM"/>
    <s v="S"/>
    <x v="316"/>
    <x v="5"/>
    <x v="407"/>
    <m/>
    <x v="154"/>
    <m/>
    <x v="0"/>
    <x v="0"/>
    <x v="237"/>
    <d v="2012-07-08T00:00:00"/>
    <x v="17"/>
    <x v="0"/>
    <m/>
    <m/>
    <x v="0"/>
    <x v="1"/>
    <m/>
    <x v="0"/>
    <x v="5"/>
    <x v="389"/>
    <x v="0"/>
    <x v="0"/>
    <x v="0"/>
    <x v="237"/>
    <x v="3026"/>
  </r>
  <r>
    <x v="1"/>
    <n v="558"/>
    <x v="388"/>
    <x v="2"/>
    <s v="CM"/>
    <s v="S"/>
    <x v="33"/>
    <x v="4"/>
    <x v="411"/>
    <m/>
    <x v="268"/>
    <m/>
    <x v="0"/>
    <x v="0"/>
    <x v="241"/>
    <d v="2012-05-18T00:00:00"/>
    <x v="6"/>
    <x v="0"/>
    <m/>
    <s v="Mostra dos Festivais - FIKE"/>
    <x v="0"/>
    <x v="0"/>
    <m/>
    <x v="0"/>
    <x v="4"/>
    <x v="390"/>
    <x v="0"/>
    <x v="0"/>
    <x v="0"/>
    <x v="241"/>
    <x v="3027"/>
  </r>
  <r>
    <x v="1"/>
    <n v="560"/>
    <x v="1205"/>
    <x v="3"/>
    <s v="CM"/>
    <s v="N"/>
    <x v="808"/>
    <x v="2"/>
    <x v="457"/>
    <m/>
    <x v="285"/>
    <m/>
    <x v="3"/>
    <x v="0"/>
    <x v="301"/>
    <d v="2012-06-16T00:00:00"/>
    <x v="7"/>
    <x v="1"/>
    <s v="Curtas-metragens"/>
    <m/>
    <x v="0"/>
    <x v="0"/>
    <m/>
    <x v="0"/>
    <x v="6"/>
    <x v="1211"/>
    <x v="3"/>
    <x v="0"/>
    <x v="1"/>
    <x v="301"/>
    <x v="3028"/>
  </r>
  <r>
    <x v="1"/>
    <n v="561"/>
    <x v="390"/>
    <x v="1"/>
    <s v="LM"/>
    <s v=""/>
    <x v="297"/>
    <x v="5"/>
    <x v="586"/>
    <m/>
    <x v="327"/>
    <m/>
    <x v="66"/>
    <x v="0"/>
    <x v="358"/>
    <d v="2012-04-22T00:00:00"/>
    <x v="5"/>
    <x v="1"/>
    <s v="Long Films"/>
    <m/>
    <x v="0"/>
    <x v="0"/>
    <m/>
    <x v="0"/>
    <x v="1"/>
    <x v="392"/>
    <x v="66"/>
    <x v="0"/>
    <x v="0"/>
    <x v="358"/>
    <x v="3029"/>
  </r>
  <r>
    <x v="1"/>
    <n v="562"/>
    <x v="391"/>
    <x v="0"/>
    <s v="CM"/>
    <s v="N"/>
    <x v="317"/>
    <x v="2"/>
    <x v="670"/>
    <m/>
    <x v="23"/>
    <m/>
    <x v="3"/>
    <x v="0"/>
    <x v="316"/>
    <m/>
    <x v="15"/>
    <x v="1"/>
    <m/>
    <m/>
    <x v="0"/>
    <x v="1"/>
    <m/>
    <x v="0"/>
    <x v="0"/>
    <x v="393"/>
    <x v="3"/>
    <x v="0"/>
    <x v="1"/>
    <x v="316"/>
    <x v="3030"/>
  </r>
  <r>
    <x v="1"/>
    <n v="1550"/>
    <x v="1206"/>
    <x v="0"/>
    <s v="CM"/>
    <s v="N"/>
    <x v="459"/>
    <x v="41"/>
    <x v="416"/>
    <m/>
    <x v="24"/>
    <m/>
    <x v="3"/>
    <x v="0"/>
    <x v="246"/>
    <m/>
    <x v="12"/>
    <x v="1"/>
    <m/>
    <m/>
    <x v="0"/>
    <x v="1"/>
    <m/>
    <x v="0"/>
    <x v="0"/>
    <x v="1212"/>
    <x v="3"/>
    <x v="0"/>
    <x v="1"/>
    <x v="246"/>
    <x v="3031"/>
  </r>
  <r>
    <x v="1"/>
    <n v="1550"/>
    <x v="1206"/>
    <x v="0"/>
    <s v="CM"/>
    <s v="N"/>
    <x v="459"/>
    <x v="41"/>
    <x v="465"/>
    <m/>
    <x v="24"/>
    <m/>
    <x v="3"/>
    <x v="0"/>
    <x v="246"/>
    <m/>
    <x v="12"/>
    <x v="1"/>
    <m/>
    <m/>
    <x v="0"/>
    <x v="1"/>
    <m/>
    <x v="0"/>
    <x v="0"/>
    <x v="1212"/>
    <x v="3"/>
    <x v="0"/>
    <x v="1"/>
    <x v="246"/>
    <x v="3032"/>
  </r>
  <r>
    <x v="1"/>
    <n v="563"/>
    <x v="392"/>
    <x v="1"/>
    <s v="CM"/>
    <s v="N"/>
    <x v="284"/>
    <x v="5"/>
    <x v="133"/>
    <m/>
    <x v="101"/>
    <m/>
    <x v="3"/>
    <x v="0"/>
    <x v="331"/>
    <d v="2012-12-09T00:00:00"/>
    <x v="12"/>
    <x v="0"/>
    <m/>
    <s v="Sangue Novo - Sérgio Cruz"/>
    <x v="0"/>
    <x v="0"/>
    <m/>
    <x v="0"/>
    <x v="2"/>
    <x v="394"/>
    <x v="3"/>
    <x v="0"/>
    <x v="1"/>
    <x v="331"/>
    <x v="3033"/>
  </r>
  <r>
    <x v="1"/>
    <n v="565"/>
    <x v="1207"/>
    <x v="0"/>
    <s v="CM"/>
    <s v="N"/>
    <x v="126"/>
    <x v="5"/>
    <x v="412"/>
    <m/>
    <x v="269"/>
    <m/>
    <x v="3"/>
    <x v="0"/>
    <x v="242"/>
    <m/>
    <x v="7"/>
    <x v="1"/>
    <m/>
    <m/>
    <x v="0"/>
    <x v="0"/>
    <m/>
    <x v="0"/>
    <x v="0"/>
    <x v="1213"/>
    <x v="3"/>
    <x v="0"/>
    <x v="1"/>
    <x v="242"/>
    <x v="3034"/>
  </r>
  <r>
    <x v="1"/>
    <n v="1594"/>
    <x v="1208"/>
    <x v="3"/>
    <s v="CM"/>
    <s v="N"/>
    <x v="809"/>
    <x v="41"/>
    <x v="22"/>
    <m/>
    <x v="22"/>
    <m/>
    <x v="3"/>
    <x v="0"/>
    <x v="251"/>
    <d v="2012-11-18T00:00:00"/>
    <x v="13"/>
    <x v="1"/>
    <s v="Ensaios Visuais"/>
    <m/>
    <x v="0"/>
    <x v="0"/>
    <m/>
    <x v="0"/>
    <x v="6"/>
    <x v="1214"/>
    <x v="3"/>
    <x v="0"/>
    <x v="1"/>
    <x v="251"/>
    <x v="3035"/>
  </r>
  <r>
    <x v="1"/>
    <n v="566"/>
    <x v="1209"/>
    <x v="4"/>
    <s v="CM"/>
    <s v="N"/>
    <x v="810"/>
    <x v="2"/>
    <x v="432"/>
    <m/>
    <x v="39"/>
    <m/>
    <x v="3"/>
    <x v="0"/>
    <x v="265"/>
    <d v="2012-04-21T00:00:00"/>
    <x v="5"/>
    <x v="1"/>
    <s v="Competição Escolas"/>
    <m/>
    <x v="0"/>
    <x v="0"/>
    <m/>
    <x v="0"/>
    <x v="8"/>
    <x v="1215"/>
    <x v="3"/>
    <x v="0"/>
    <x v="1"/>
    <x v="265"/>
    <x v="3036"/>
  </r>
  <r>
    <x v="1"/>
    <n v="567"/>
    <x v="394"/>
    <x v="0"/>
    <s v="CM"/>
    <s v="N"/>
    <x v="319"/>
    <x v="1"/>
    <x v="671"/>
    <m/>
    <x v="65"/>
    <m/>
    <x v="9"/>
    <x v="0"/>
    <x v="256"/>
    <m/>
    <x v="2"/>
    <x v="0"/>
    <m/>
    <m/>
    <x v="0"/>
    <x v="0"/>
    <m/>
    <x v="0"/>
    <x v="0"/>
    <x v="396"/>
    <x v="9"/>
    <x v="0"/>
    <x v="0"/>
    <x v="256"/>
    <x v="3037"/>
  </r>
  <r>
    <x v="1"/>
    <n v="567"/>
    <x v="394"/>
    <x v="0"/>
    <s v="CM"/>
    <s v="N"/>
    <x v="319"/>
    <x v="1"/>
    <x v="411"/>
    <m/>
    <x v="268"/>
    <m/>
    <x v="0"/>
    <x v="0"/>
    <x v="241"/>
    <d v="2012-05-18T00:00:00"/>
    <x v="6"/>
    <x v="0"/>
    <m/>
    <s v="Mostra dos Festivais - FIKE"/>
    <x v="0"/>
    <x v="0"/>
    <m/>
    <x v="0"/>
    <x v="0"/>
    <x v="396"/>
    <x v="0"/>
    <x v="0"/>
    <x v="0"/>
    <x v="241"/>
    <x v="3038"/>
  </r>
  <r>
    <x v="1"/>
    <n v="1466"/>
    <x v="1210"/>
    <x v="1"/>
    <s v="CM"/>
    <s v="N"/>
    <x v="811"/>
    <x v="41"/>
    <x v="520"/>
    <m/>
    <x v="46"/>
    <m/>
    <x v="3"/>
    <x v="0"/>
    <x v="297"/>
    <d v="2012-10-27T00:00:00"/>
    <x v="14"/>
    <x v="1"/>
    <s v="Divulgação/Promoção"/>
    <m/>
    <x v="307"/>
    <x v="0"/>
    <m/>
    <x v="1"/>
    <x v="2"/>
    <x v="1216"/>
    <x v="3"/>
    <x v="367"/>
    <x v="1"/>
    <x v="297"/>
    <x v="3039"/>
  </r>
  <r>
    <x v="1"/>
    <n v="1429"/>
    <x v="1211"/>
    <x v="1"/>
    <s v="CM"/>
    <s v="N"/>
    <x v="812"/>
    <x v="41"/>
    <x v="25"/>
    <m/>
    <x v="24"/>
    <m/>
    <x v="3"/>
    <x v="0"/>
    <x v="294"/>
    <d v="2012-10-28T00:00:00"/>
    <x v="14"/>
    <x v="0"/>
    <m/>
    <s v="Verdes Anos"/>
    <x v="0"/>
    <x v="0"/>
    <m/>
    <x v="0"/>
    <x v="2"/>
    <x v="1217"/>
    <x v="3"/>
    <x v="0"/>
    <x v="1"/>
    <x v="294"/>
    <x v="3040"/>
  </r>
  <r>
    <x v="1"/>
    <n v="572"/>
    <x v="399"/>
    <x v="2"/>
    <s v="CM"/>
    <s v="S"/>
    <x v="324"/>
    <x v="27"/>
    <x v="427"/>
    <m/>
    <x v="275"/>
    <m/>
    <x v="65"/>
    <x v="0"/>
    <x v="259"/>
    <d v="2012-03-11T00:00:00"/>
    <x v="2"/>
    <x v="0"/>
    <m/>
    <s v="Portugal1"/>
    <x v="0"/>
    <x v="0"/>
    <m/>
    <x v="0"/>
    <x v="4"/>
    <x v="401"/>
    <x v="65"/>
    <x v="0"/>
    <x v="0"/>
    <x v="259"/>
    <x v="3041"/>
  </r>
  <r>
    <x v="1"/>
    <n v="572"/>
    <x v="399"/>
    <x v="2"/>
    <s v="CM"/>
    <s v="S"/>
    <x v="324"/>
    <x v="27"/>
    <x v="200"/>
    <m/>
    <x v="145"/>
    <m/>
    <x v="2"/>
    <x v="0"/>
    <x v="332"/>
    <d v="2012-03-25T00:00:00"/>
    <x v="2"/>
    <x v="0"/>
    <m/>
    <s v="Panorama Animation Portugaise"/>
    <x v="0"/>
    <x v="0"/>
    <m/>
    <x v="0"/>
    <x v="4"/>
    <x v="401"/>
    <x v="2"/>
    <x v="0"/>
    <x v="0"/>
    <x v="332"/>
    <x v="3042"/>
  </r>
  <r>
    <x v="1"/>
    <n v="572"/>
    <x v="399"/>
    <x v="2"/>
    <s v="CM"/>
    <s v="S"/>
    <x v="324"/>
    <x v="27"/>
    <x v="480"/>
    <m/>
    <x v="291"/>
    <m/>
    <x v="2"/>
    <x v="0"/>
    <x v="307"/>
    <d v="2012-11-20T00:00:00"/>
    <x v="13"/>
    <x v="0"/>
    <m/>
    <s v="Coups de coeur - Abi Feijó/Regina Pessoa: Oeuvres Croisées"/>
    <x v="0"/>
    <x v="0"/>
    <m/>
    <x v="0"/>
    <x v="4"/>
    <x v="401"/>
    <x v="2"/>
    <x v="0"/>
    <x v="0"/>
    <x v="307"/>
    <x v="3043"/>
  </r>
  <r>
    <x v="1"/>
    <n v="1409"/>
    <x v="1212"/>
    <x v="1"/>
    <s v="CM"/>
    <s v=""/>
    <x v="813"/>
    <x v="41"/>
    <x v="25"/>
    <m/>
    <x v="24"/>
    <m/>
    <x v="3"/>
    <x v="0"/>
    <x v="294"/>
    <d v="2012-10-28T00:00:00"/>
    <x v="14"/>
    <x v="1"/>
    <s v="Competição Portuguesa - Curtas"/>
    <m/>
    <x v="0"/>
    <x v="0"/>
    <m/>
    <x v="0"/>
    <x v="2"/>
    <x v="1218"/>
    <x v="3"/>
    <x v="0"/>
    <x v="1"/>
    <x v="294"/>
    <x v="3044"/>
  </r>
  <r>
    <x v="1"/>
    <n v="578"/>
    <x v="405"/>
    <x v="3"/>
    <s v="CM"/>
    <s v="N"/>
    <x v="297"/>
    <x v="5"/>
    <x v="672"/>
    <m/>
    <x v="174"/>
    <m/>
    <x v="1"/>
    <x v="0"/>
    <x v="344"/>
    <d v="2012-03-18T00:00:00"/>
    <x v="2"/>
    <x v="0"/>
    <m/>
    <m/>
    <x v="0"/>
    <x v="0"/>
    <m/>
    <x v="0"/>
    <x v="6"/>
    <x v="407"/>
    <x v="1"/>
    <x v="0"/>
    <x v="0"/>
    <x v="344"/>
    <x v="3045"/>
  </r>
  <r>
    <x v="1"/>
    <n v="578"/>
    <x v="405"/>
    <x v="3"/>
    <s v="CM"/>
    <s v="N"/>
    <x v="297"/>
    <x v="5"/>
    <x v="539"/>
    <m/>
    <x v="76"/>
    <m/>
    <x v="3"/>
    <x v="0"/>
    <x v="367"/>
    <d v="2012-05-06T00:00:00"/>
    <x v="6"/>
    <x v="1"/>
    <s v="Lusófono"/>
    <m/>
    <x v="0"/>
    <x v="0"/>
    <m/>
    <x v="0"/>
    <x v="6"/>
    <x v="407"/>
    <x v="3"/>
    <x v="0"/>
    <x v="1"/>
    <x v="367"/>
    <x v="3046"/>
  </r>
  <r>
    <x v="1"/>
    <n v="578"/>
    <x v="405"/>
    <x v="3"/>
    <s v="CM"/>
    <s v="N"/>
    <x v="297"/>
    <x v="5"/>
    <x v="673"/>
    <m/>
    <x v="91"/>
    <m/>
    <x v="28"/>
    <x v="0"/>
    <x v="301"/>
    <d v="2012-06-16T00:00:00"/>
    <x v="7"/>
    <x v="1"/>
    <s v="Curtas-metragens"/>
    <m/>
    <x v="0"/>
    <x v="0"/>
    <m/>
    <x v="0"/>
    <x v="6"/>
    <x v="407"/>
    <x v="28"/>
    <x v="0"/>
    <x v="0"/>
    <x v="301"/>
    <x v="3047"/>
  </r>
  <r>
    <x v="1"/>
    <n v="578"/>
    <x v="405"/>
    <x v="3"/>
    <s v="CM"/>
    <s v="N"/>
    <x v="297"/>
    <x v="5"/>
    <x v="674"/>
    <m/>
    <x v="349"/>
    <m/>
    <x v="3"/>
    <x v="0"/>
    <x v="199"/>
    <d v="2012-08-25T00:00:00"/>
    <x v="16"/>
    <x v="0"/>
    <m/>
    <m/>
    <x v="0"/>
    <x v="0"/>
    <m/>
    <x v="0"/>
    <x v="6"/>
    <x v="407"/>
    <x v="3"/>
    <x v="0"/>
    <x v="1"/>
    <x v="199"/>
    <x v="3048"/>
  </r>
  <r>
    <x v="1"/>
    <n v="578"/>
    <x v="405"/>
    <x v="3"/>
    <s v="CM"/>
    <s v="N"/>
    <x v="297"/>
    <x v="5"/>
    <x v="675"/>
    <m/>
    <x v="350"/>
    <m/>
    <x v="15"/>
    <x v="0"/>
    <x v="428"/>
    <d v="2012-09-01T00:00:00"/>
    <x v="20"/>
    <x v="1"/>
    <s v="Esplora"/>
    <m/>
    <x v="0"/>
    <x v="0"/>
    <m/>
    <x v="0"/>
    <x v="6"/>
    <x v="407"/>
    <x v="15"/>
    <x v="0"/>
    <x v="0"/>
    <x v="428"/>
    <x v="3049"/>
  </r>
  <r>
    <x v="1"/>
    <n v="1443"/>
    <x v="1213"/>
    <x v="1"/>
    <s v="CM"/>
    <s v="N"/>
    <x v="814"/>
    <x v="41"/>
    <x v="25"/>
    <m/>
    <x v="24"/>
    <m/>
    <x v="3"/>
    <x v="0"/>
    <x v="294"/>
    <d v="2012-10-28T00:00:00"/>
    <x v="14"/>
    <x v="0"/>
    <m/>
    <s v="Verdes Anos"/>
    <x v="0"/>
    <x v="0"/>
    <m/>
    <x v="0"/>
    <x v="2"/>
    <x v="1219"/>
    <x v="3"/>
    <x v="0"/>
    <x v="1"/>
    <x v="294"/>
    <x v="3050"/>
  </r>
  <r>
    <x v="1"/>
    <n v="580"/>
    <x v="1214"/>
    <x v="1"/>
    <s v="CM"/>
    <s v="N"/>
    <x v="652"/>
    <x v="2"/>
    <x v="178"/>
    <m/>
    <x v="25"/>
    <m/>
    <x v="3"/>
    <x v="0"/>
    <x v="293"/>
    <d v="2012-07-08T00:00:00"/>
    <x v="8"/>
    <x v="0"/>
    <m/>
    <s v="Mostra FEST Wave: Sessão I"/>
    <x v="0"/>
    <x v="0"/>
    <m/>
    <x v="0"/>
    <x v="2"/>
    <x v="1220"/>
    <x v="3"/>
    <x v="0"/>
    <x v="1"/>
    <x v="293"/>
    <x v="3051"/>
  </r>
  <r>
    <x v="1"/>
    <n v="1367"/>
    <x v="1215"/>
    <x v="1"/>
    <s v="CM"/>
    <s v="N"/>
    <x v="236"/>
    <x v="2"/>
    <x v="676"/>
    <m/>
    <x v="351"/>
    <m/>
    <x v="1"/>
    <x v="0"/>
    <x v="240"/>
    <d v="2012-10-20T00:00:00"/>
    <x v="14"/>
    <x v="0"/>
    <m/>
    <s v="Retrospectivas: Cine y Urbe"/>
    <x v="0"/>
    <x v="0"/>
    <m/>
    <x v="0"/>
    <x v="2"/>
    <x v="1221"/>
    <x v="1"/>
    <x v="0"/>
    <x v="0"/>
    <x v="240"/>
    <x v="3052"/>
  </r>
  <r>
    <x v="1"/>
    <n v="1367"/>
    <x v="1215"/>
    <x v="1"/>
    <s v="CM"/>
    <s v="N"/>
    <x v="236"/>
    <x v="2"/>
    <x v="472"/>
    <m/>
    <x v="290"/>
    <m/>
    <x v="3"/>
    <x v="0"/>
    <x v="267"/>
    <d v="2012-11-17T00:00:00"/>
    <x v="13"/>
    <x v="0"/>
    <m/>
    <m/>
    <x v="0"/>
    <x v="1"/>
    <m/>
    <x v="0"/>
    <x v="2"/>
    <x v="1221"/>
    <x v="3"/>
    <x v="0"/>
    <x v="1"/>
    <x v="267"/>
    <x v="3053"/>
  </r>
  <r>
    <x v="1"/>
    <n v="582"/>
    <x v="1216"/>
    <x v="2"/>
    <s v="CM"/>
    <s v="N"/>
    <x v="815"/>
    <x v="2"/>
    <x v="26"/>
    <m/>
    <x v="24"/>
    <m/>
    <x v="3"/>
    <x v="0"/>
    <x v="268"/>
    <d v="2012-03-25T00:00:00"/>
    <x v="2"/>
    <x v="1"/>
    <s v="Competição Estudantes 2"/>
    <m/>
    <x v="0"/>
    <x v="0"/>
    <m/>
    <x v="0"/>
    <x v="4"/>
    <x v="1222"/>
    <x v="3"/>
    <x v="0"/>
    <x v="1"/>
    <x v="268"/>
    <x v="3054"/>
  </r>
  <r>
    <x v="1"/>
    <n v="583"/>
    <x v="1217"/>
    <x v="0"/>
    <s v="CM"/>
    <s v="N"/>
    <x v="120"/>
    <x v="2"/>
    <x v="553"/>
    <m/>
    <x v="17"/>
    <m/>
    <x v="2"/>
    <x v="0"/>
    <x v="352"/>
    <d v="2012-02-12T00:00:00"/>
    <x v="18"/>
    <x v="0"/>
    <m/>
    <s v="Cartes Blanches Festivals: INDIELISBOA"/>
    <x v="0"/>
    <x v="0"/>
    <m/>
    <x v="0"/>
    <x v="0"/>
    <x v="1223"/>
    <x v="2"/>
    <x v="0"/>
    <x v="0"/>
    <x v="352"/>
    <x v="3055"/>
  </r>
  <r>
    <x v="1"/>
    <n v="1436"/>
    <x v="1218"/>
    <x v="1"/>
    <s v="CM"/>
    <s v="N"/>
    <x v="816"/>
    <x v="41"/>
    <x v="25"/>
    <m/>
    <x v="24"/>
    <m/>
    <x v="3"/>
    <x v="0"/>
    <x v="294"/>
    <d v="2012-10-28T00:00:00"/>
    <x v="14"/>
    <x v="0"/>
    <m/>
    <s v="Verdes Anos"/>
    <x v="0"/>
    <x v="0"/>
    <m/>
    <x v="0"/>
    <x v="2"/>
    <x v="1224"/>
    <x v="3"/>
    <x v="0"/>
    <x v="1"/>
    <x v="294"/>
    <x v="3056"/>
  </r>
  <r>
    <x v="1"/>
    <n v="1513"/>
    <x v="1219"/>
    <x v="3"/>
    <s v="CM"/>
    <s v="N"/>
    <x v="817"/>
    <x v="3"/>
    <x v="566"/>
    <m/>
    <x v="24"/>
    <m/>
    <x v="3"/>
    <x v="0"/>
    <x v="381"/>
    <m/>
    <x v="13"/>
    <x v="1"/>
    <m/>
    <m/>
    <x v="0"/>
    <x v="1"/>
    <m/>
    <x v="0"/>
    <x v="6"/>
    <x v="1225"/>
    <x v="3"/>
    <x v="0"/>
    <x v="1"/>
    <x v="381"/>
    <x v="3057"/>
  </r>
  <r>
    <x v="1"/>
    <n v="587"/>
    <x v="411"/>
    <x v="3"/>
    <s v="CM"/>
    <s v="N"/>
    <x v="330"/>
    <x v="2"/>
    <x v="30"/>
    <m/>
    <x v="28"/>
    <m/>
    <x v="8"/>
    <x v="0"/>
    <x v="353"/>
    <d v="2012-03-18T00:00:00"/>
    <x v="2"/>
    <x v="1"/>
    <s v="European Competition EU 2: (Re) Constructions"/>
    <m/>
    <x v="0"/>
    <x v="0"/>
    <m/>
    <x v="0"/>
    <x v="6"/>
    <x v="413"/>
    <x v="8"/>
    <x v="0"/>
    <x v="0"/>
    <x v="353"/>
    <x v="3058"/>
  </r>
  <r>
    <x v="1"/>
    <n v="592"/>
    <x v="416"/>
    <x v="1"/>
    <s v="LM"/>
    <s v="S"/>
    <x v="162"/>
    <x v="5"/>
    <x v="677"/>
    <m/>
    <x v="83"/>
    <m/>
    <x v="3"/>
    <x v="0"/>
    <x v="316"/>
    <d v="2012-01-25T00:00:00"/>
    <x v="15"/>
    <x v="0"/>
    <m/>
    <m/>
    <x v="0"/>
    <x v="1"/>
    <m/>
    <x v="0"/>
    <x v="1"/>
    <x v="418"/>
    <x v="3"/>
    <x v="0"/>
    <x v="1"/>
    <x v="316"/>
    <x v="3059"/>
  </r>
  <r>
    <x v="1"/>
    <n v="592"/>
    <x v="416"/>
    <x v="1"/>
    <s v="LM"/>
    <s v="S"/>
    <x v="162"/>
    <x v="5"/>
    <x v="269"/>
    <m/>
    <x v="188"/>
    <m/>
    <x v="55"/>
    <x v="0"/>
    <x v="287"/>
    <d v="2012-04-08T00:00:00"/>
    <x v="3"/>
    <x v="0"/>
    <m/>
    <s v="Panorama Largometrajes Internacionales"/>
    <x v="0"/>
    <x v="0"/>
    <m/>
    <x v="0"/>
    <x v="1"/>
    <x v="418"/>
    <x v="55"/>
    <x v="0"/>
    <x v="0"/>
    <x v="287"/>
    <x v="3060"/>
  </r>
  <r>
    <x v="1"/>
    <n v="592"/>
    <x v="416"/>
    <x v="1"/>
    <s v="LM"/>
    <s v="S"/>
    <x v="162"/>
    <x v="5"/>
    <x v="678"/>
    <m/>
    <x v="23"/>
    <m/>
    <x v="3"/>
    <x v="0"/>
    <x v="429"/>
    <d v="2012-12-20T00:00:00"/>
    <x v="12"/>
    <x v="0"/>
    <m/>
    <m/>
    <x v="0"/>
    <x v="1"/>
    <m/>
    <x v="0"/>
    <x v="1"/>
    <x v="418"/>
    <x v="3"/>
    <x v="0"/>
    <x v="1"/>
    <x v="429"/>
    <x v="3061"/>
  </r>
  <r>
    <x v="1"/>
    <n v="1364"/>
    <x v="1220"/>
    <x v="1"/>
    <s v="CM"/>
    <s v="N"/>
    <x v="818"/>
    <x v="2"/>
    <x v="408"/>
    <m/>
    <x v="266"/>
    <m/>
    <x v="2"/>
    <x v="0"/>
    <x v="238"/>
    <d v="2012-08-25T00:00:00"/>
    <x v="16"/>
    <x v="0"/>
    <m/>
    <s v="Route du Doc: Portugal"/>
    <x v="0"/>
    <x v="1"/>
    <m/>
    <x v="0"/>
    <x v="2"/>
    <x v="1226"/>
    <x v="2"/>
    <x v="0"/>
    <x v="0"/>
    <x v="238"/>
    <x v="3062"/>
  </r>
  <r>
    <x v="1"/>
    <n v="595"/>
    <x v="1221"/>
    <x v="1"/>
    <s v="CM"/>
    <s v="N"/>
    <x v="819"/>
    <x v="2"/>
    <x v="514"/>
    <m/>
    <x v="99"/>
    <m/>
    <x v="3"/>
    <x v="0"/>
    <x v="241"/>
    <d v="2012-05-18T00:00:00"/>
    <x v="6"/>
    <x v="1"/>
    <s v="Prémio Primeiro Olhar"/>
    <m/>
    <x v="0"/>
    <x v="0"/>
    <m/>
    <x v="0"/>
    <x v="2"/>
    <x v="1227"/>
    <x v="3"/>
    <x v="0"/>
    <x v="1"/>
    <x v="241"/>
    <x v="3063"/>
  </r>
  <r>
    <x v="1"/>
    <n v="596"/>
    <x v="419"/>
    <x v="0"/>
    <s v="CM"/>
    <s v="S"/>
    <x v="335"/>
    <x v="2"/>
    <x v="90"/>
    <m/>
    <x v="69"/>
    <m/>
    <x v="8"/>
    <x v="0"/>
    <x v="273"/>
    <d v="2012-02-05T00:00:00"/>
    <x v="18"/>
    <x v="0"/>
    <m/>
    <s v="Spectrum Shorts - Follow the Path"/>
    <x v="0"/>
    <x v="0"/>
    <m/>
    <x v="0"/>
    <x v="0"/>
    <x v="421"/>
    <x v="8"/>
    <x v="0"/>
    <x v="0"/>
    <x v="273"/>
    <x v="3064"/>
  </r>
  <r>
    <x v="1"/>
    <n v="596"/>
    <x v="419"/>
    <x v="0"/>
    <s v="CM"/>
    <s v="S"/>
    <x v="335"/>
    <x v="2"/>
    <x v="540"/>
    <m/>
    <x v="174"/>
    <m/>
    <x v="1"/>
    <x v="0"/>
    <x v="368"/>
    <d v="2012-06-12T00:00:00"/>
    <x v="7"/>
    <x v="0"/>
    <m/>
    <m/>
    <x v="0"/>
    <x v="1"/>
    <m/>
    <x v="0"/>
    <x v="0"/>
    <x v="421"/>
    <x v="1"/>
    <x v="0"/>
    <x v="0"/>
    <x v="368"/>
    <x v="3065"/>
  </r>
  <r>
    <x v="1"/>
    <n v="596"/>
    <x v="419"/>
    <x v="0"/>
    <s v="CM"/>
    <s v="S"/>
    <x v="335"/>
    <x v="2"/>
    <x v="268"/>
    <m/>
    <x v="0"/>
    <m/>
    <x v="0"/>
    <x v="0"/>
    <x v="309"/>
    <d v="2012-06-24T00:00:00"/>
    <x v="7"/>
    <x v="1"/>
    <s v="Mostra Competitiva VIDEOSUL -  curtas e médias-metragens de ficção Programa 10"/>
    <m/>
    <x v="0"/>
    <x v="0"/>
    <m/>
    <x v="0"/>
    <x v="0"/>
    <x v="421"/>
    <x v="0"/>
    <x v="0"/>
    <x v="0"/>
    <x v="309"/>
    <x v="3066"/>
  </r>
  <r>
    <x v="1"/>
    <n v="596"/>
    <x v="419"/>
    <x v="0"/>
    <s v="CM"/>
    <s v="S"/>
    <x v="335"/>
    <x v="2"/>
    <x v="564"/>
    <m/>
    <x v="319"/>
    <m/>
    <x v="1"/>
    <x v="0"/>
    <x v="309"/>
    <d v="2012-06-28T00:00:00"/>
    <x v="7"/>
    <x v="0"/>
    <m/>
    <m/>
    <x v="0"/>
    <x v="1"/>
    <m/>
    <x v="0"/>
    <x v="0"/>
    <x v="421"/>
    <x v="1"/>
    <x v="0"/>
    <x v="0"/>
    <x v="309"/>
    <x v="3067"/>
  </r>
  <r>
    <x v="1"/>
    <n v="596"/>
    <x v="419"/>
    <x v="0"/>
    <s v="CM"/>
    <s v="S"/>
    <x v="335"/>
    <x v="2"/>
    <x v="162"/>
    <m/>
    <x v="124"/>
    <m/>
    <x v="3"/>
    <x v="0"/>
    <x v="417"/>
    <m/>
    <x v="9"/>
    <x v="0"/>
    <m/>
    <m/>
    <x v="0"/>
    <x v="1"/>
    <m/>
    <x v="0"/>
    <x v="0"/>
    <x v="421"/>
    <x v="3"/>
    <x v="0"/>
    <x v="1"/>
    <x v="417"/>
    <x v="3068"/>
  </r>
  <r>
    <x v="1"/>
    <n v="597"/>
    <x v="1222"/>
    <x v="4"/>
    <s v="CM"/>
    <s v=""/>
    <x v="195"/>
    <x v="2"/>
    <x v="62"/>
    <m/>
    <x v="23"/>
    <m/>
    <x v="3"/>
    <x v="0"/>
    <x v="302"/>
    <d v="2012-03-04T00:00:00"/>
    <x v="19"/>
    <x v="1"/>
    <s v="Prémio de Cinema Português - Escolas de Cinema"/>
    <m/>
    <x v="0"/>
    <x v="0"/>
    <m/>
    <x v="0"/>
    <x v="8"/>
    <x v="1228"/>
    <x v="3"/>
    <x v="0"/>
    <x v="1"/>
    <x v="302"/>
    <x v="3069"/>
  </r>
  <r>
    <x v="1"/>
    <n v="598"/>
    <x v="420"/>
    <x v="2"/>
    <s v="CM"/>
    <s v="S"/>
    <x v="336"/>
    <x v="3"/>
    <x v="558"/>
    <m/>
    <x v="24"/>
    <m/>
    <x v="3"/>
    <x v="0"/>
    <x v="375"/>
    <m/>
    <x v="15"/>
    <x v="1"/>
    <s v="Animação Digital"/>
    <m/>
    <x v="7"/>
    <x v="2"/>
    <m/>
    <x v="1"/>
    <x v="4"/>
    <x v="422"/>
    <x v="3"/>
    <x v="368"/>
    <x v="1"/>
    <x v="375"/>
    <x v="3070"/>
  </r>
  <r>
    <x v="1"/>
    <n v="598"/>
    <x v="420"/>
    <x v="2"/>
    <s v="CM"/>
    <s v="S"/>
    <x v="336"/>
    <x v="3"/>
    <x v="62"/>
    <m/>
    <x v="23"/>
    <m/>
    <x v="3"/>
    <x v="0"/>
    <x v="302"/>
    <d v="2012-03-04T00:00:00"/>
    <x v="19"/>
    <x v="0"/>
    <m/>
    <s v="Panorama do Cinema Português - Casa da Animação"/>
    <x v="0"/>
    <x v="0"/>
    <m/>
    <x v="0"/>
    <x v="4"/>
    <x v="422"/>
    <x v="3"/>
    <x v="0"/>
    <x v="1"/>
    <x v="302"/>
    <x v="3071"/>
  </r>
  <r>
    <x v="1"/>
    <n v="598"/>
    <x v="420"/>
    <x v="2"/>
    <s v="CM"/>
    <s v="S"/>
    <x v="336"/>
    <x v="3"/>
    <x v="26"/>
    <m/>
    <x v="24"/>
    <m/>
    <x v="3"/>
    <x v="0"/>
    <x v="268"/>
    <d v="2012-03-24T00:00:00"/>
    <x v="2"/>
    <x v="1"/>
    <s v="Competição Portugueses"/>
    <m/>
    <x v="308"/>
    <x v="0"/>
    <m/>
    <x v="1"/>
    <x v="4"/>
    <x v="422"/>
    <x v="3"/>
    <x v="369"/>
    <x v="1"/>
    <x v="268"/>
    <x v="3072"/>
  </r>
  <r>
    <x v="1"/>
    <n v="598"/>
    <x v="420"/>
    <x v="2"/>
    <s v="CM"/>
    <s v="S"/>
    <x v="336"/>
    <x v="3"/>
    <x v="428"/>
    <m/>
    <x v="24"/>
    <m/>
    <x v="3"/>
    <x v="0"/>
    <x v="260"/>
    <d v="2012-04-19T00:00:00"/>
    <x v="5"/>
    <x v="0"/>
    <m/>
    <m/>
    <x v="0"/>
    <x v="1"/>
    <m/>
    <x v="0"/>
    <x v="4"/>
    <x v="422"/>
    <x v="3"/>
    <x v="0"/>
    <x v="1"/>
    <x v="260"/>
    <x v="3073"/>
  </r>
  <r>
    <x v="1"/>
    <n v="598"/>
    <x v="420"/>
    <x v="2"/>
    <s v="CM"/>
    <s v="S"/>
    <x v="336"/>
    <x v="3"/>
    <x v="512"/>
    <m/>
    <x v="307"/>
    <m/>
    <x v="1"/>
    <x v="0"/>
    <x v="354"/>
    <d v="2012-11-25T00:00:00"/>
    <x v="13"/>
    <x v="1"/>
    <s v="Programa Internacional 16"/>
    <m/>
    <x v="0"/>
    <x v="0"/>
    <m/>
    <x v="0"/>
    <x v="4"/>
    <x v="422"/>
    <x v="1"/>
    <x v="0"/>
    <x v="0"/>
    <x v="354"/>
    <x v="3074"/>
  </r>
  <r>
    <x v="1"/>
    <n v="599"/>
    <x v="1223"/>
    <x v="2"/>
    <s v="CM"/>
    <s v="N"/>
    <x v="820"/>
    <x v="2"/>
    <x v="316"/>
    <m/>
    <x v="11"/>
    <m/>
    <x v="3"/>
    <x v="0"/>
    <x v="199"/>
    <d v="2012-08-25T00:00:00"/>
    <x v="16"/>
    <x v="1"/>
    <s v="Animação "/>
    <m/>
    <x v="0"/>
    <x v="0"/>
    <m/>
    <x v="0"/>
    <x v="4"/>
    <x v="1229"/>
    <x v="3"/>
    <x v="0"/>
    <x v="1"/>
    <x v="199"/>
    <x v="3075"/>
  </r>
  <r>
    <x v="1"/>
    <n v="599"/>
    <x v="1223"/>
    <x v="2"/>
    <s v="CM"/>
    <s v="N"/>
    <x v="820"/>
    <x v="2"/>
    <x v="679"/>
    <m/>
    <x v="352"/>
    <m/>
    <x v="0"/>
    <x v="0"/>
    <x v="430"/>
    <d v="2012-09-29T00:00:00"/>
    <x v="9"/>
    <x v="1"/>
    <s v="Animação"/>
    <m/>
    <x v="0"/>
    <x v="0"/>
    <m/>
    <x v="0"/>
    <x v="4"/>
    <x v="1229"/>
    <x v="0"/>
    <x v="0"/>
    <x v="0"/>
    <x v="430"/>
    <x v="3076"/>
  </r>
  <r>
    <x v="1"/>
    <n v="601"/>
    <x v="1224"/>
    <x v="1"/>
    <s v="CM"/>
    <s v="N"/>
    <x v="821"/>
    <x v="2"/>
    <x v="413"/>
    <m/>
    <x v="270"/>
    <m/>
    <x v="3"/>
    <x v="0"/>
    <x v="243"/>
    <d v="2012-06-03T00:00:00"/>
    <x v="7"/>
    <x v="1"/>
    <s v="Universidades"/>
    <m/>
    <x v="0"/>
    <x v="0"/>
    <m/>
    <x v="0"/>
    <x v="2"/>
    <x v="1230"/>
    <x v="3"/>
    <x v="0"/>
    <x v="1"/>
    <x v="243"/>
    <x v="3077"/>
  </r>
  <r>
    <x v="1"/>
    <n v="602"/>
    <x v="422"/>
    <x v="0"/>
    <s v="CM"/>
    <s v="N"/>
    <x v="186"/>
    <x v="2"/>
    <x v="509"/>
    <m/>
    <x v="174"/>
    <m/>
    <x v="1"/>
    <x v="0"/>
    <x v="364"/>
    <d v="2012-04-29T00:00:00"/>
    <x v="5"/>
    <x v="1"/>
    <s v="Oblíqua 6"/>
    <m/>
    <x v="0"/>
    <x v="0"/>
    <m/>
    <x v="0"/>
    <x v="0"/>
    <x v="424"/>
    <x v="1"/>
    <x v="0"/>
    <x v="0"/>
    <x v="364"/>
    <x v="3078"/>
  </r>
  <r>
    <x v="1"/>
    <n v="602"/>
    <x v="422"/>
    <x v="0"/>
    <s v="CM"/>
    <s v="N"/>
    <x v="186"/>
    <x v="2"/>
    <x v="539"/>
    <m/>
    <x v="76"/>
    <m/>
    <x v="3"/>
    <x v="0"/>
    <x v="367"/>
    <d v="2012-05-06T00:00:00"/>
    <x v="6"/>
    <x v="1"/>
    <s v="Lusófono"/>
    <m/>
    <x v="0"/>
    <x v="0"/>
    <m/>
    <x v="0"/>
    <x v="0"/>
    <x v="424"/>
    <x v="3"/>
    <x v="0"/>
    <x v="1"/>
    <x v="367"/>
    <x v="3079"/>
  </r>
  <r>
    <x v="1"/>
    <n v="602"/>
    <x v="422"/>
    <x v="0"/>
    <s v="CM"/>
    <s v="N"/>
    <x v="186"/>
    <x v="2"/>
    <x v="540"/>
    <m/>
    <x v="174"/>
    <m/>
    <x v="1"/>
    <x v="0"/>
    <x v="368"/>
    <d v="2012-06-12T00:00:00"/>
    <x v="7"/>
    <x v="0"/>
    <m/>
    <m/>
    <x v="0"/>
    <x v="1"/>
    <m/>
    <x v="0"/>
    <x v="0"/>
    <x v="424"/>
    <x v="1"/>
    <x v="0"/>
    <x v="0"/>
    <x v="368"/>
    <x v="3080"/>
  </r>
  <r>
    <x v="1"/>
    <n v="602"/>
    <x v="422"/>
    <x v="0"/>
    <s v="CM"/>
    <s v="N"/>
    <x v="186"/>
    <x v="2"/>
    <x v="564"/>
    <m/>
    <x v="319"/>
    <m/>
    <x v="1"/>
    <x v="0"/>
    <x v="309"/>
    <d v="2012-06-28T00:00:00"/>
    <x v="7"/>
    <x v="0"/>
    <m/>
    <m/>
    <x v="0"/>
    <x v="1"/>
    <m/>
    <x v="0"/>
    <x v="0"/>
    <x v="424"/>
    <x v="1"/>
    <x v="0"/>
    <x v="0"/>
    <x v="309"/>
    <x v="3081"/>
  </r>
  <r>
    <x v="1"/>
    <n v="604"/>
    <x v="1225"/>
    <x v="0"/>
    <s v="CM"/>
    <s v="N"/>
    <x v="172"/>
    <x v="2"/>
    <x v="680"/>
    <m/>
    <x v="24"/>
    <m/>
    <x v="3"/>
    <x v="0"/>
    <x v="431"/>
    <m/>
    <x v="15"/>
    <x v="0"/>
    <m/>
    <s v="Curta Convidada"/>
    <x v="0"/>
    <x v="1"/>
    <m/>
    <x v="0"/>
    <x v="0"/>
    <x v="1231"/>
    <x v="3"/>
    <x v="0"/>
    <x v="1"/>
    <x v="431"/>
    <x v="3082"/>
  </r>
  <r>
    <x v="1"/>
    <n v="606"/>
    <x v="1226"/>
    <x v="4"/>
    <s v="CM"/>
    <s v="N"/>
    <x v="822"/>
    <x v="2"/>
    <x v="412"/>
    <m/>
    <x v="269"/>
    <m/>
    <x v="3"/>
    <x v="0"/>
    <x v="242"/>
    <m/>
    <x v="7"/>
    <x v="1"/>
    <m/>
    <m/>
    <x v="0"/>
    <x v="0"/>
    <m/>
    <x v="0"/>
    <x v="8"/>
    <x v="1232"/>
    <x v="3"/>
    <x v="0"/>
    <x v="1"/>
    <x v="242"/>
    <x v="3083"/>
  </r>
  <r>
    <x v="1"/>
    <n v="607"/>
    <x v="1227"/>
    <x v="4"/>
    <s v="CM"/>
    <s v="N"/>
    <x v="823"/>
    <x v="2"/>
    <x v="424"/>
    <m/>
    <x v="24"/>
    <m/>
    <x v="3"/>
    <x v="0"/>
    <x v="255"/>
    <d v="2012-06-17T00:00:00"/>
    <x v="7"/>
    <x v="1"/>
    <s v="Curta Metragem"/>
    <m/>
    <x v="0"/>
    <x v="0"/>
    <m/>
    <x v="0"/>
    <x v="8"/>
    <x v="1233"/>
    <x v="3"/>
    <x v="0"/>
    <x v="1"/>
    <x v="255"/>
    <x v="3084"/>
  </r>
  <r>
    <x v="1"/>
    <n v="1374"/>
    <x v="1227"/>
    <x v="4"/>
    <s v="CM"/>
    <s v="N"/>
    <x v="824"/>
    <x v="2"/>
    <x v="410"/>
    <m/>
    <x v="267"/>
    <m/>
    <x v="3"/>
    <x v="0"/>
    <x v="424"/>
    <m/>
    <x v="14"/>
    <x v="1"/>
    <s v="Competição Nacional"/>
    <m/>
    <x v="0"/>
    <x v="0"/>
    <m/>
    <x v="0"/>
    <x v="8"/>
    <x v="1234"/>
    <x v="3"/>
    <x v="0"/>
    <x v="1"/>
    <x v="424"/>
    <x v="3085"/>
  </r>
  <r>
    <x v="1"/>
    <n v="1374"/>
    <x v="1227"/>
    <x v="4"/>
    <s v="CM"/>
    <s v="N"/>
    <x v="824"/>
    <x v="2"/>
    <x v="410"/>
    <m/>
    <x v="267"/>
    <m/>
    <x v="3"/>
    <x v="0"/>
    <x v="240"/>
    <m/>
    <x v="14"/>
    <x v="1"/>
    <s v="Competição Nacional"/>
    <m/>
    <x v="0"/>
    <x v="0"/>
    <m/>
    <x v="0"/>
    <x v="8"/>
    <x v="1234"/>
    <x v="3"/>
    <x v="0"/>
    <x v="1"/>
    <x v="240"/>
    <x v="3086"/>
  </r>
  <r>
    <x v="1"/>
    <n v="608"/>
    <x v="1228"/>
    <x v="0"/>
    <s v="CM"/>
    <s v="N"/>
    <x v="825"/>
    <x v="2"/>
    <x v="413"/>
    <m/>
    <x v="270"/>
    <m/>
    <x v="3"/>
    <x v="0"/>
    <x v="243"/>
    <d v="2012-06-03T00:00:00"/>
    <x v="7"/>
    <x v="1"/>
    <s v="Universidades"/>
    <m/>
    <x v="0"/>
    <x v="0"/>
    <m/>
    <x v="0"/>
    <x v="0"/>
    <x v="1235"/>
    <x v="3"/>
    <x v="0"/>
    <x v="1"/>
    <x v="243"/>
    <x v="3087"/>
  </r>
  <r>
    <x v="1"/>
    <n v="609"/>
    <x v="424"/>
    <x v="0"/>
    <s v="CM"/>
    <s v=""/>
    <x v="0"/>
    <x v="20"/>
    <x v="179"/>
    <m/>
    <x v="133"/>
    <m/>
    <x v="0"/>
    <x v="0"/>
    <x v="233"/>
    <d v="2012-11-01T00:00:00"/>
    <x v="0"/>
    <x v="0"/>
    <m/>
    <s v="Homenagem a Miguel Gomes"/>
    <x v="0"/>
    <x v="0"/>
    <m/>
    <x v="0"/>
    <x v="0"/>
    <x v="426"/>
    <x v="0"/>
    <x v="0"/>
    <x v="0"/>
    <x v="233"/>
    <x v="3088"/>
  </r>
  <r>
    <x v="1"/>
    <n v="609"/>
    <x v="424"/>
    <x v="0"/>
    <s v="CM"/>
    <s v=""/>
    <x v="0"/>
    <x v="20"/>
    <x v="404"/>
    <m/>
    <x v="264"/>
    <m/>
    <x v="15"/>
    <x v="0"/>
    <x v="234"/>
    <d v="2012-12-01T00:00:00"/>
    <x v="11"/>
    <x v="0"/>
    <m/>
    <s v="Onde: Omaggio a Miguel Gomes"/>
    <x v="0"/>
    <x v="0"/>
    <m/>
    <x v="0"/>
    <x v="0"/>
    <x v="426"/>
    <x v="15"/>
    <x v="0"/>
    <x v="0"/>
    <x v="234"/>
    <x v="3089"/>
  </r>
  <r>
    <x v="1"/>
    <n v="612"/>
    <x v="427"/>
    <x v="1"/>
    <s v="CM"/>
    <s v="N"/>
    <x v="340"/>
    <x v="29"/>
    <x v="533"/>
    <m/>
    <x v="314"/>
    <m/>
    <x v="9"/>
    <x v="0"/>
    <x v="365"/>
    <d v="2012-05-26T00:00:00"/>
    <x v="6"/>
    <x v="0"/>
    <m/>
    <m/>
    <x v="0"/>
    <x v="1"/>
    <m/>
    <x v="0"/>
    <x v="2"/>
    <x v="429"/>
    <x v="9"/>
    <x v="0"/>
    <x v="0"/>
    <x v="365"/>
    <x v="3090"/>
  </r>
  <r>
    <x v="1"/>
    <n v="612"/>
    <x v="427"/>
    <x v="1"/>
    <s v="CM"/>
    <s v="N"/>
    <x v="340"/>
    <x v="29"/>
    <x v="534"/>
    <m/>
    <x v="65"/>
    <m/>
    <x v="9"/>
    <x v="0"/>
    <x v="236"/>
    <d v="2012-06-28T00:00:00"/>
    <x v="7"/>
    <x v="0"/>
    <m/>
    <m/>
    <x v="0"/>
    <x v="1"/>
    <m/>
    <x v="0"/>
    <x v="2"/>
    <x v="429"/>
    <x v="9"/>
    <x v="0"/>
    <x v="0"/>
    <x v="236"/>
    <x v="3091"/>
  </r>
  <r>
    <x v="1"/>
    <n v="612"/>
    <x v="427"/>
    <x v="1"/>
    <s v="CM"/>
    <s v="N"/>
    <x v="340"/>
    <x v="29"/>
    <x v="408"/>
    <m/>
    <x v="266"/>
    <m/>
    <x v="2"/>
    <x v="0"/>
    <x v="238"/>
    <d v="2012-08-25T00:00:00"/>
    <x v="16"/>
    <x v="0"/>
    <m/>
    <s v="Route du Doc: Portugal"/>
    <x v="0"/>
    <x v="1"/>
    <m/>
    <x v="0"/>
    <x v="2"/>
    <x v="429"/>
    <x v="2"/>
    <x v="0"/>
    <x v="0"/>
    <x v="238"/>
    <x v="3092"/>
  </r>
  <r>
    <x v="1"/>
    <n v="613"/>
    <x v="1229"/>
    <x v="3"/>
    <s v="CM"/>
    <s v="N"/>
    <x v="826"/>
    <x v="2"/>
    <x v="681"/>
    <m/>
    <x v="23"/>
    <m/>
    <x v="3"/>
    <x v="0"/>
    <x v="322"/>
    <m/>
    <x v="15"/>
    <x v="0"/>
    <m/>
    <s v="Curta Convidada"/>
    <x v="0"/>
    <x v="1"/>
    <m/>
    <x v="0"/>
    <x v="6"/>
    <x v="1236"/>
    <x v="3"/>
    <x v="0"/>
    <x v="1"/>
    <x v="322"/>
    <x v="3093"/>
  </r>
  <r>
    <x v="1"/>
    <n v="614"/>
    <x v="428"/>
    <x v="2"/>
    <s v="CM"/>
    <s v="S"/>
    <x v="341"/>
    <x v="15"/>
    <x v="451"/>
    <m/>
    <x v="24"/>
    <m/>
    <x v="3"/>
    <x v="0"/>
    <x v="295"/>
    <d v="2012-10-28T00:00:00"/>
    <x v="14"/>
    <x v="0"/>
    <m/>
    <m/>
    <x v="0"/>
    <x v="1"/>
    <m/>
    <x v="0"/>
    <x v="4"/>
    <x v="430"/>
    <x v="3"/>
    <x v="0"/>
    <x v="1"/>
    <x v="295"/>
    <x v="3094"/>
  </r>
  <r>
    <x v="1"/>
    <n v="1126"/>
    <x v="1230"/>
    <x v="1"/>
    <s v="LM"/>
    <s v="N"/>
    <x v="827"/>
    <x v="18"/>
    <x v="408"/>
    <m/>
    <x v="266"/>
    <m/>
    <x v="2"/>
    <x v="0"/>
    <x v="238"/>
    <d v="2012-08-25T00:00:00"/>
    <x v="16"/>
    <x v="0"/>
    <m/>
    <s v="Route du Doc: Portugal"/>
    <x v="0"/>
    <x v="1"/>
    <m/>
    <x v="0"/>
    <x v="1"/>
    <x v="1237"/>
    <x v="2"/>
    <x v="0"/>
    <x v="0"/>
    <x v="238"/>
    <x v="3095"/>
  </r>
  <r>
    <x v="1"/>
    <n v="617"/>
    <x v="1231"/>
    <x v="1"/>
    <s v="LM"/>
    <s v="N"/>
    <x v="828"/>
    <x v="41"/>
    <x v="146"/>
    <m/>
    <x v="24"/>
    <m/>
    <x v="3"/>
    <x v="0"/>
    <x v="281"/>
    <d v="2012-05-06T00:00:00"/>
    <x v="4"/>
    <x v="1"/>
    <s v="Competição Nacional Longas Metragens"/>
    <s v="Cinema Emergente Longas Metragens"/>
    <x v="309"/>
    <x v="0"/>
    <m/>
    <x v="1"/>
    <x v="1"/>
    <x v="1238"/>
    <x v="3"/>
    <x v="370"/>
    <x v="1"/>
    <x v="281"/>
    <x v="3096"/>
  </r>
  <r>
    <x v="1"/>
    <n v="617"/>
    <x v="1231"/>
    <x v="1"/>
    <s v="LM"/>
    <s v="N"/>
    <x v="828"/>
    <x v="41"/>
    <x v="682"/>
    <m/>
    <x v="353"/>
    <m/>
    <x v="64"/>
    <x v="0"/>
    <x v="338"/>
    <d v="2012-10-15T00:00:00"/>
    <x v="14"/>
    <x v="1"/>
    <s v="Competition Program"/>
    <m/>
    <x v="0"/>
    <x v="0"/>
    <m/>
    <x v="0"/>
    <x v="1"/>
    <x v="1238"/>
    <x v="64"/>
    <x v="0"/>
    <x v="0"/>
    <x v="338"/>
    <x v="3097"/>
  </r>
  <r>
    <x v="1"/>
    <n v="617"/>
    <x v="1231"/>
    <x v="1"/>
    <s v="LM"/>
    <s v="N"/>
    <x v="828"/>
    <x v="41"/>
    <x v="492"/>
    <m/>
    <x v="128"/>
    <m/>
    <x v="1"/>
    <x v="0"/>
    <x v="341"/>
    <d v="2012-11-10T00:00:00"/>
    <x v="13"/>
    <x v="1"/>
    <s v="No Ficción. Eurodoc"/>
    <m/>
    <x v="0"/>
    <x v="0"/>
    <m/>
    <x v="0"/>
    <x v="1"/>
    <x v="1238"/>
    <x v="1"/>
    <x v="0"/>
    <x v="0"/>
    <x v="341"/>
    <x v="3098"/>
  </r>
  <r>
    <x v="1"/>
    <n v="619"/>
    <x v="1232"/>
    <x v="5"/>
    <s v="CM"/>
    <s v="N"/>
    <x v="569"/>
    <x v="2"/>
    <x v="316"/>
    <m/>
    <x v="11"/>
    <m/>
    <x v="3"/>
    <x v="0"/>
    <x v="199"/>
    <d v="2012-08-25T00:00:00"/>
    <x v="16"/>
    <x v="1"/>
    <s v="Videoclips"/>
    <m/>
    <x v="39"/>
    <x v="0"/>
    <m/>
    <x v="1"/>
    <x v="15"/>
    <x v="1239"/>
    <x v="3"/>
    <x v="371"/>
    <x v="1"/>
    <x v="199"/>
    <x v="3099"/>
  </r>
  <r>
    <x v="1"/>
    <n v="1518"/>
    <x v="1233"/>
    <x v="1"/>
    <s v="CM"/>
    <s v="N"/>
    <x v="829"/>
    <x v="2"/>
    <x v="22"/>
    <m/>
    <x v="22"/>
    <m/>
    <x v="3"/>
    <x v="0"/>
    <x v="251"/>
    <d v="2012-11-18T00:00:00"/>
    <x v="13"/>
    <x v="1"/>
    <s v="Secção Competitiva"/>
    <m/>
    <x v="0"/>
    <x v="0"/>
    <m/>
    <x v="0"/>
    <x v="2"/>
    <x v="1240"/>
    <x v="3"/>
    <x v="0"/>
    <x v="1"/>
    <x v="251"/>
    <x v="3100"/>
  </r>
  <r>
    <x v="1"/>
    <n v="1518"/>
    <x v="1233"/>
    <x v="1"/>
    <s v="CM"/>
    <s v="N"/>
    <x v="829"/>
    <x v="2"/>
    <x v="489"/>
    <m/>
    <x v="297"/>
    <m/>
    <x v="3"/>
    <x v="0"/>
    <x v="267"/>
    <d v="2012-11-17T00:00:00"/>
    <x v="13"/>
    <x v="1"/>
    <s v="Nadar Contra a Corrente"/>
    <m/>
    <x v="0"/>
    <x v="0"/>
    <m/>
    <x v="0"/>
    <x v="2"/>
    <x v="1240"/>
    <x v="3"/>
    <x v="0"/>
    <x v="1"/>
    <x v="267"/>
    <x v="3101"/>
  </r>
  <r>
    <x v="1"/>
    <n v="623"/>
    <x v="435"/>
    <x v="1"/>
    <s v="LM"/>
    <s v="S"/>
    <x v="140"/>
    <x v="5"/>
    <x v="683"/>
    <m/>
    <x v="302"/>
    <m/>
    <x v="9"/>
    <x v="0"/>
    <x v="432"/>
    <d v="2012-01-16T00:00:00"/>
    <x v="15"/>
    <x v="0"/>
    <m/>
    <s v="Award Buzz: Best Foreign Language Film"/>
    <x v="0"/>
    <x v="0"/>
    <m/>
    <x v="0"/>
    <x v="1"/>
    <x v="437"/>
    <x v="9"/>
    <x v="0"/>
    <x v="0"/>
    <x v="432"/>
    <x v="3102"/>
  </r>
  <r>
    <x v="1"/>
    <n v="623"/>
    <x v="435"/>
    <x v="1"/>
    <s v="LM"/>
    <s v="S"/>
    <x v="140"/>
    <x v="5"/>
    <x v="684"/>
    <m/>
    <x v="113"/>
    <m/>
    <x v="7"/>
    <x v="0"/>
    <x v="401"/>
    <d v="2012-02-06T00:00:00"/>
    <x v="1"/>
    <x v="0"/>
    <m/>
    <m/>
    <x v="0"/>
    <x v="1"/>
    <m/>
    <x v="0"/>
    <x v="1"/>
    <x v="437"/>
    <x v="7"/>
    <x v="0"/>
    <x v="0"/>
    <x v="401"/>
    <x v="3103"/>
  </r>
  <r>
    <x v="1"/>
    <n v="623"/>
    <x v="435"/>
    <x v="1"/>
    <s v="LM"/>
    <s v="S"/>
    <x v="140"/>
    <x v="5"/>
    <x v="545"/>
    <m/>
    <x v="92"/>
    <m/>
    <x v="16"/>
    <x v="0"/>
    <x v="371"/>
    <d v="2012-03-16T00:00:00"/>
    <x v="19"/>
    <x v="0"/>
    <m/>
    <m/>
    <x v="0"/>
    <x v="1"/>
    <m/>
    <x v="0"/>
    <x v="1"/>
    <x v="437"/>
    <x v="16"/>
    <x v="0"/>
    <x v="0"/>
    <x v="371"/>
    <x v="3104"/>
  </r>
  <r>
    <x v="1"/>
    <n v="623"/>
    <x v="435"/>
    <x v="1"/>
    <s v="LM"/>
    <s v="S"/>
    <x v="140"/>
    <x v="5"/>
    <x v="546"/>
    <m/>
    <x v="316"/>
    <m/>
    <x v="2"/>
    <x v="0"/>
    <x v="317"/>
    <d v="2012-03-07T00:00:00"/>
    <x v="2"/>
    <x v="0"/>
    <m/>
    <m/>
    <x v="0"/>
    <x v="1"/>
    <m/>
    <x v="0"/>
    <x v="1"/>
    <x v="437"/>
    <x v="2"/>
    <x v="0"/>
    <x v="0"/>
    <x v="317"/>
    <x v="3105"/>
  </r>
  <r>
    <x v="1"/>
    <n v="623"/>
    <x v="435"/>
    <x v="1"/>
    <s v="LM"/>
    <s v="S"/>
    <x v="140"/>
    <x v="5"/>
    <x v="450"/>
    <m/>
    <x v="24"/>
    <m/>
    <x v="3"/>
    <x v="0"/>
    <x v="433"/>
    <m/>
    <x v="2"/>
    <x v="0"/>
    <m/>
    <m/>
    <x v="0"/>
    <x v="1"/>
    <m/>
    <x v="0"/>
    <x v="1"/>
    <x v="437"/>
    <x v="3"/>
    <x v="0"/>
    <x v="1"/>
    <x v="433"/>
    <x v="3106"/>
  </r>
  <r>
    <x v="1"/>
    <n v="623"/>
    <x v="435"/>
    <x v="1"/>
    <s v="LM"/>
    <s v="S"/>
    <x v="140"/>
    <x v="5"/>
    <x v="555"/>
    <m/>
    <x v="317"/>
    <m/>
    <x v="8"/>
    <x v="0"/>
    <x v="358"/>
    <d v="2012-04-29T00:00:00"/>
    <x v="5"/>
    <x v="0"/>
    <m/>
    <m/>
    <x v="0"/>
    <x v="0"/>
    <m/>
    <x v="0"/>
    <x v="1"/>
    <x v="437"/>
    <x v="8"/>
    <x v="0"/>
    <x v="0"/>
    <x v="358"/>
    <x v="3107"/>
  </r>
  <r>
    <x v="1"/>
    <n v="623"/>
    <x v="435"/>
    <x v="1"/>
    <s v="LM"/>
    <s v="S"/>
    <x v="140"/>
    <x v="5"/>
    <x v="564"/>
    <m/>
    <x v="319"/>
    <m/>
    <x v="1"/>
    <x v="0"/>
    <x v="309"/>
    <d v="2012-06-28T00:00:00"/>
    <x v="7"/>
    <x v="0"/>
    <m/>
    <m/>
    <x v="0"/>
    <x v="1"/>
    <m/>
    <x v="0"/>
    <x v="1"/>
    <x v="437"/>
    <x v="1"/>
    <x v="0"/>
    <x v="0"/>
    <x v="309"/>
    <x v="3108"/>
  </r>
  <r>
    <x v="1"/>
    <n v="623"/>
    <x v="435"/>
    <x v="1"/>
    <s v="LM"/>
    <s v="S"/>
    <x v="140"/>
    <x v="5"/>
    <x v="538"/>
    <m/>
    <x v="315"/>
    <m/>
    <x v="3"/>
    <x v="0"/>
    <x v="306"/>
    <m/>
    <x v="7"/>
    <x v="0"/>
    <m/>
    <m/>
    <x v="0"/>
    <x v="1"/>
    <m/>
    <x v="0"/>
    <x v="1"/>
    <x v="437"/>
    <x v="3"/>
    <x v="0"/>
    <x v="1"/>
    <x v="306"/>
    <x v="3109"/>
  </r>
  <r>
    <x v="1"/>
    <n v="623"/>
    <x v="435"/>
    <x v="1"/>
    <s v="LM"/>
    <s v="S"/>
    <x v="140"/>
    <x v="5"/>
    <x v="657"/>
    <m/>
    <x v="24"/>
    <m/>
    <x v="3"/>
    <x v="0"/>
    <x v="237"/>
    <d v="2012-07-01T00:00:00"/>
    <x v="17"/>
    <x v="0"/>
    <m/>
    <m/>
    <x v="0"/>
    <x v="0"/>
    <m/>
    <x v="0"/>
    <x v="1"/>
    <x v="437"/>
    <x v="3"/>
    <x v="0"/>
    <x v="1"/>
    <x v="237"/>
    <x v="3110"/>
  </r>
  <r>
    <x v="1"/>
    <n v="623"/>
    <x v="435"/>
    <x v="1"/>
    <s v="LM"/>
    <s v="S"/>
    <x v="140"/>
    <x v="5"/>
    <x v="685"/>
    <m/>
    <x v="216"/>
    <m/>
    <x v="3"/>
    <x v="0"/>
    <x v="251"/>
    <d v="2012-11-15T00:00:00"/>
    <x v="13"/>
    <x v="0"/>
    <m/>
    <m/>
    <x v="0"/>
    <x v="1"/>
    <s v="Cicneclube do Barreiro, no Auditório da Bibioteca Municipal, no âmbito da Oficina José Saramago"/>
    <x v="0"/>
    <x v="1"/>
    <x v="437"/>
    <x v="3"/>
    <x v="0"/>
    <x v="1"/>
    <x v="251"/>
    <x v="3111"/>
  </r>
  <r>
    <x v="1"/>
    <n v="623"/>
    <x v="435"/>
    <x v="1"/>
    <s v="LM"/>
    <s v="S"/>
    <x v="140"/>
    <x v="5"/>
    <x v="409"/>
    <m/>
    <x v="58"/>
    <m/>
    <x v="17"/>
    <x v="0"/>
    <x v="239"/>
    <d v="2012-12-08T00:00:00"/>
    <x v="11"/>
    <x v="0"/>
    <m/>
    <m/>
    <x v="0"/>
    <x v="1"/>
    <m/>
    <x v="0"/>
    <x v="1"/>
    <x v="437"/>
    <x v="17"/>
    <x v="0"/>
    <x v="0"/>
    <x v="239"/>
    <x v="3112"/>
  </r>
  <r>
    <x v="1"/>
    <n v="1663"/>
    <x v="1234"/>
    <x v="1"/>
    <s v="LM"/>
    <s v="N"/>
    <x v="830"/>
    <x v="5"/>
    <x v="685"/>
    <m/>
    <x v="216"/>
    <m/>
    <x v="3"/>
    <x v="0"/>
    <x v="251"/>
    <d v="2012-11-15T00:00:00"/>
    <x v="13"/>
    <x v="0"/>
    <m/>
    <m/>
    <x v="0"/>
    <x v="1"/>
    <s v="Cicneclube do Barreiro, no Auditório da Bibioteca Municipal, no âmbito da Oficina José Saramago"/>
    <x v="0"/>
    <x v="1"/>
    <x v="1241"/>
    <x v="3"/>
    <x v="0"/>
    <x v="1"/>
    <x v="251"/>
    <x v="3113"/>
  </r>
  <r>
    <x v="1"/>
    <n v="625"/>
    <x v="437"/>
    <x v="0"/>
    <s v="CM"/>
    <s v="N"/>
    <x v="831"/>
    <x v="2"/>
    <x v="454"/>
    <m/>
    <x v="15"/>
    <m/>
    <x v="3"/>
    <x v="0"/>
    <x v="298"/>
    <m/>
    <x v="8"/>
    <x v="1"/>
    <s v="Ficção"/>
    <m/>
    <x v="310"/>
    <x v="0"/>
    <m/>
    <x v="1"/>
    <x v="0"/>
    <x v="1242"/>
    <x v="3"/>
    <x v="372"/>
    <x v="1"/>
    <x v="298"/>
    <x v="3114"/>
  </r>
  <r>
    <x v="1"/>
    <n v="627"/>
    <x v="1235"/>
    <x v="0"/>
    <s v="CM"/>
    <s v=""/>
    <x v="386"/>
    <x v="2"/>
    <x v="146"/>
    <m/>
    <x v="24"/>
    <m/>
    <x v="3"/>
    <x v="0"/>
    <x v="281"/>
    <d v="2012-05-06T00:00:00"/>
    <x v="4"/>
    <x v="1"/>
    <s v="Competição Internacional Curtas 8 e Competição Nacional Curtas 3"/>
    <m/>
    <x v="0"/>
    <x v="0"/>
    <m/>
    <x v="0"/>
    <x v="0"/>
    <x v="1243"/>
    <x v="3"/>
    <x v="0"/>
    <x v="1"/>
    <x v="281"/>
    <x v="3115"/>
  </r>
  <r>
    <x v="1"/>
    <n v="628"/>
    <x v="438"/>
    <x v="0"/>
    <s v="CM"/>
    <s v="N"/>
    <x v="347"/>
    <x v="5"/>
    <x v="181"/>
    <m/>
    <x v="23"/>
    <m/>
    <x v="3"/>
    <x v="0"/>
    <x v="434"/>
    <m/>
    <x v="15"/>
    <x v="0"/>
    <m/>
    <m/>
    <x v="0"/>
    <x v="1"/>
    <m/>
    <x v="0"/>
    <x v="0"/>
    <x v="440"/>
    <x v="3"/>
    <x v="0"/>
    <x v="1"/>
    <x v="434"/>
    <x v="3116"/>
  </r>
  <r>
    <x v="1"/>
    <n v="628"/>
    <x v="438"/>
    <x v="0"/>
    <s v="CM"/>
    <s v="N"/>
    <x v="347"/>
    <x v="5"/>
    <x v="456"/>
    <m/>
    <x v="24"/>
    <m/>
    <x v="3"/>
    <x v="0"/>
    <x v="300"/>
    <m/>
    <x v="1"/>
    <x v="0"/>
    <m/>
    <s v="Especial Curtas Nomeadas para Melhor Curta Prémios Shortcutz Lisboa 2011"/>
    <x v="0"/>
    <x v="1"/>
    <m/>
    <x v="0"/>
    <x v="0"/>
    <x v="440"/>
    <x v="3"/>
    <x v="0"/>
    <x v="1"/>
    <x v="300"/>
    <x v="3117"/>
  </r>
  <r>
    <x v="1"/>
    <n v="628"/>
    <x v="438"/>
    <x v="0"/>
    <s v="CM"/>
    <s v="N"/>
    <x v="347"/>
    <x v="5"/>
    <x v="428"/>
    <m/>
    <x v="24"/>
    <m/>
    <x v="3"/>
    <x v="0"/>
    <x v="260"/>
    <d v="2012-04-19T00:00:00"/>
    <x v="5"/>
    <x v="0"/>
    <m/>
    <m/>
    <x v="0"/>
    <x v="1"/>
    <m/>
    <x v="0"/>
    <x v="0"/>
    <x v="440"/>
    <x v="3"/>
    <x v="0"/>
    <x v="1"/>
    <x v="260"/>
    <x v="3118"/>
  </r>
  <r>
    <x v="1"/>
    <n v="628"/>
    <x v="438"/>
    <x v="0"/>
    <s v="CM"/>
    <s v="N"/>
    <x v="347"/>
    <x v="5"/>
    <x v="539"/>
    <m/>
    <x v="76"/>
    <m/>
    <x v="3"/>
    <x v="0"/>
    <x v="367"/>
    <d v="2012-05-06T00:00:00"/>
    <x v="6"/>
    <x v="1"/>
    <s v="Lusófono"/>
    <m/>
    <x v="0"/>
    <x v="0"/>
    <m/>
    <x v="0"/>
    <x v="0"/>
    <x v="440"/>
    <x v="3"/>
    <x v="0"/>
    <x v="1"/>
    <x v="367"/>
    <x v="3119"/>
  </r>
  <r>
    <x v="1"/>
    <n v="628"/>
    <x v="438"/>
    <x v="0"/>
    <s v="CM"/>
    <s v="N"/>
    <x v="347"/>
    <x v="5"/>
    <x v="411"/>
    <m/>
    <x v="268"/>
    <m/>
    <x v="0"/>
    <x v="0"/>
    <x v="241"/>
    <d v="2012-05-18T00:00:00"/>
    <x v="6"/>
    <x v="1"/>
    <s v="Mostra Atlântica"/>
    <m/>
    <x v="0"/>
    <x v="0"/>
    <m/>
    <x v="0"/>
    <x v="0"/>
    <x v="440"/>
    <x v="0"/>
    <x v="0"/>
    <x v="0"/>
    <x v="241"/>
    <x v="3120"/>
  </r>
  <r>
    <x v="1"/>
    <n v="629"/>
    <x v="439"/>
    <x v="0"/>
    <s v="LM"/>
    <s v="S"/>
    <x v="348"/>
    <x v="15"/>
    <x v="278"/>
    <m/>
    <x v="194"/>
    <m/>
    <x v="50"/>
    <x v="0"/>
    <x v="376"/>
    <d v="2012-09-22T00:00:00"/>
    <x v="9"/>
    <x v="0"/>
    <m/>
    <s v="The Special Festival Award"/>
    <x v="311"/>
    <x v="0"/>
    <m/>
    <x v="1"/>
    <x v="5"/>
    <x v="441"/>
    <x v="50"/>
    <x v="373"/>
    <x v="0"/>
    <x v="376"/>
    <x v="3121"/>
  </r>
  <r>
    <x v="1"/>
    <n v="631"/>
    <x v="1236"/>
    <x v="2"/>
    <s v="CM"/>
    <s v="S"/>
    <x v="324"/>
    <x v="41"/>
    <x v="146"/>
    <m/>
    <x v="24"/>
    <m/>
    <x v="3"/>
    <x v="0"/>
    <x v="281"/>
    <d v="2012-05-06T00:00:00"/>
    <x v="4"/>
    <x v="1"/>
    <s v="Competição Nacional Curtas 3 "/>
    <s v="Observatório Curtas 2"/>
    <x v="312"/>
    <x v="0"/>
    <m/>
    <x v="1"/>
    <x v="4"/>
    <x v="1244"/>
    <x v="3"/>
    <x v="374"/>
    <x v="1"/>
    <x v="281"/>
    <x v="3122"/>
  </r>
  <r>
    <x v="1"/>
    <n v="631"/>
    <x v="1236"/>
    <x v="2"/>
    <s v="CM"/>
    <s v="S"/>
    <x v="324"/>
    <x v="41"/>
    <x v="122"/>
    <m/>
    <x v="93"/>
    <m/>
    <x v="2"/>
    <x v="0"/>
    <x v="435"/>
    <d v="2012-06-09T00:00:00"/>
    <x v="7"/>
    <x v="1"/>
    <s v="Courts métrages "/>
    <m/>
    <x v="0"/>
    <x v="0"/>
    <m/>
    <x v="0"/>
    <x v="4"/>
    <x v="1244"/>
    <x v="2"/>
    <x v="0"/>
    <x v="0"/>
    <x v="435"/>
    <x v="3123"/>
  </r>
  <r>
    <x v="1"/>
    <n v="631"/>
    <x v="1236"/>
    <x v="2"/>
    <s v="CM"/>
    <s v="S"/>
    <x v="324"/>
    <x v="41"/>
    <x v="324"/>
    <m/>
    <x v="136"/>
    <m/>
    <x v="7"/>
    <x v="0"/>
    <x v="368"/>
    <d v="2012-06-10T00:00:00"/>
    <x v="7"/>
    <x v="1"/>
    <s v="Animated Shorts: Who's yor Dadda?"/>
    <m/>
    <x v="0"/>
    <x v="0"/>
    <m/>
    <x v="0"/>
    <x v="4"/>
    <x v="1244"/>
    <x v="7"/>
    <x v="0"/>
    <x v="0"/>
    <x v="368"/>
    <x v="3124"/>
  </r>
  <r>
    <x v="1"/>
    <n v="631"/>
    <x v="1236"/>
    <x v="2"/>
    <s v="CM"/>
    <s v="S"/>
    <x v="324"/>
    <x v="41"/>
    <x v="68"/>
    <m/>
    <x v="53"/>
    <m/>
    <x v="3"/>
    <x v="0"/>
    <x v="253"/>
    <d v="2012-07-15T00:00:00"/>
    <x v="8"/>
    <x v="1"/>
    <s v="Curtinhas M9"/>
    <m/>
    <x v="313"/>
    <x v="0"/>
    <m/>
    <x v="1"/>
    <x v="4"/>
    <x v="1244"/>
    <x v="3"/>
    <x v="375"/>
    <x v="1"/>
    <x v="253"/>
    <x v="3125"/>
  </r>
  <r>
    <x v="1"/>
    <n v="631"/>
    <x v="1236"/>
    <x v="2"/>
    <s v="CM"/>
    <s v="S"/>
    <x v="324"/>
    <x v="41"/>
    <x v="220"/>
    <m/>
    <x v="154"/>
    <m/>
    <x v="0"/>
    <x v="0"/>
    <x v="333"/>
    <d v="2012-07-29T00:00:00"/>
    <x v="8"/>
    <x v="1"/>
    <s v="Curtas Metragens"/>
    <m/>
    <x v="0"/>
    <x v="0"/>
    <m/>
    <x v="0"/>
    <x v="4"/>
    <x v="1244"/>
    <x v="0"/>
    <x v="0"/>
    <x v="0"/>
    <x v="333"/>
    <x v="3126"/>
  </r>
  <r>
    <x v="1"/>
    <n v="631"/>
    <x v="1236"/>
    <x v="2"/>
    <s v="CM"/>
    <s v="S"/>
    <x v="324"/>
    <x v="41"/>
    <x v="686"/>
    <m/>
    <x v="354"/>
    <m/>
    <x v="42"/>
    <x v="0"/>
    <x v="199"/>
    <d v="2012-08-27T00:00:00"/>
    <x v="16"/>
    <x v="1"/>
    <s v="Competition"/>
    <m/>
    <x v="314"/>
    <x v="0"/>
    <m/>
    <x v="1"/>
    <x v="4"/>
    <x v="1244"/>
    <x v="42"/>
    <x v="376"/>
    <x v="0"/>
    <x v="199"/>
    <x v="3127"/>
  </r>
  <r>
    <x v="1"/>
    <n v="631"/>
    <x v="1236"/>
    <x v="2"/>
    <s v="CM"/>
    <s v="S"/>
    <x v="324"/>
    <x v="41"/>
    <x v="651"/>
    <m/>
    <x v="343"/>
    <m/>
    <x v="33"/>
    <x v="0"/>
    <x v="286"/>
    <d v="2012-09-09T00:00:00"/>
    <x v="9"/>
    <x v="1"/>
    <s v="Grand Competition"/>
    <m/>
    <x v="315"/>
    <x v="0"/>
    <m/>
    <x v="1"/>
    <x v="4"/>
    <x v="1244"/>
    <x v="33"/>
    <x v="377"/>
    <x v="0"/>
    <x v="286"/>
    <x v="3128"/>
  </r>
  <r>
    <x v="1"/>
    <n v="631"/>
    <x v="1236"/>
    <x v="2"/>
    <s v="CM"/>
    <s v="S"/>
    <x v="324"/>
    <x v="41"/>
    <x v="687"/>
    <m/>
    <x v="306"/>
    <m/>
    <x v="2"/>
    <x v="0"/>
    <x v="436"/>
    <d v="2012-10-11T00:00:00"/>
    <x v="10"/>
    <x v="0"/>
    <m/>
    <s v="Programme 5"/>
    <x v="0"/>
    <x v="1"/>
    <m/>
    <x v="0"/>
    <x v="4"/>
    <x v="1244"/>
    <x v="2"/>
    <x v="0"/>
    <x v="0"/>
    <x v="436"/>
    <x v="3129"/>
  </r>
  <r>
    <x v="1"/>
    <n v="631"/>
    <x v="1236"/>
    <x v="2"/>
    <s v="CM"/>
    <s v="S"/>
    <x v="324"/>
    <x v="41"/>
    <x v="353"/>
    <m/>
    <x v="237"/>
    <m/>
    <x v="17"/>
    <x v="0"/>
    <x v="377"/>
    <d v="2012-09-23T00:00:00"/>
    <x v="9"/>
    <x v="1"/>
    <s v="Animated Encounters Competition - ANI 2: The Tricks of Life"/>
    <m/>
    <x v="0"/>
    <x v="0"/>
    <m/>
    <x v="0"/>
    <x v="4"/>
    <x v="1244"/>
    <x v="17"/>
    <x v="0"/>
    <x v="0"/>
    <x v="377"/>
    <x v="3130"/>
  </r>
  <r>
    <x v="1"/>
    <n v="631"/>
    <x v="1236"/>
    <x v="2"/>
    <s v="CM"/>
    <s v="S"/>
    <x v="324"/>
    <x v="41"/>
    <x v="387"/>
    <m/>
    <x v="253"/>
    <m/>
    <x v="0"/>
    <x v="0"/>
    <x v="312"/>
    <d v="2012-09-30T00:00:00"/>
    <x v="9"/>
    <x v="1"/>
    <s v="Mostra Competitiva - Curtas3"/>
    <m/>
    <x v="0"/>
    <x v="0"/>
    <m/>
    <x v="0"/>
    <x v="4"/>
    <x v="1244"/>
    <x v="0"/>
    <x v="0"/>
    <x v="0"/>
    <x v="312"/>
    <x v="3131"/>
  </r>
  <r>
    <x v="1"/>
    <n v="631"/>
    <x v="1236"/>
    <x v="2"/>
    <s v="CM"/>
    <s v="S"/>
    <x v="324"/>
    <x v="41"/>
    <x v="401"/>
    <m/>
    <x v="262"/>
    <m/>
    <x v="63"/>
    <x v="0"/>
    <x v="295"/>
    <d v="2012-10-28T00:00:00"/>
    <x v="14"/>
    <x v="1"/>
    <s v="The Children's Film Festival - School Screening 9-10 years &amp; 11-12 years"/>
    <m/>
    <x v="0"/>
    <x v="0"/>
    <m/>
    <x v="0"/>
    <x v="4"/>
    <x v="1244"/>
    <x v="63"/>
    <x v="0"/>
    <x v="0"/>
    <x v="295"/>
    <x v="3132"/>
  </r>
  <r>
    <x v="1"/>
    <n v="631"/>
    <x v="1236"/>
    <x v="2"/>
    <s v="CM"/>
    <s v="S"/>
    <x v="324"/>
    <x v="41"/>
    <x v="391"/>
    <m/>
    <x v="256"/>
    <m/>
    <x v="9"/>
    <x v="0"/>
    <x v="252"/>
    <d v="2012-11-04T00:00:00"/>
    <x v="0"/>
    <x v="1"/>
    <m/>
    <m/>
    <x v="316"/>
    <x v="0"/>
    <m/>
    <x v="1"/>
    <x v="4"/>
    <x v="1244"/>
    <x v="9"/>
    <x v="378"/>
    <x v="0"/>
    <x v="252"/>
    <x v="3133"/>
  </r>
  <r>
    <x v="1"/>
    <n v="631"/>
    <x v="1236"/>
    <x v="2"/>
    <s v="CM"/>
    <s v="S"/>
    <x v="324"/>
    <x v="41"/>
    <x v="22"/>
    <m/>
    <x v="22"/>
    <m/>
    <x v="3"/>
    <x v="0"/>
    <x v="251"/>
    <d v="2012-11-18T00:00:00"/>
    <x v="13"/>
    <x v="1"/>
    <s v="Secção Competitiva"/>
    <m/>
    <x v="0"/>
    <x v="0"/>
    <m/>
    <x v="0"/>
    <x v="4"/>
    <x v="1244"/>
    <x v="3"/>
    <x v="0"/>
    <x v="1"/>
    <x v="251"/>
    <x v="3134"/>
  </r>
  <r>
    <x v="1"/>
    <n v="631"/>
    <x v="1236"/>
    <x v="2"/>
    <s v="CM"/>
    <s v="S"/>
    <x v="324"/>
    <x v="41"/>
    <x v="480"/>
    <m/>
    <x v="291"/>
    <m/>
    <x v="2"/>
    <x v="0"/>
    <x v="307"/>
    <d v="2012-11-20T00:00:00"/>
    <x v="13"/>
    <x v="0"/>
    <m/>
    <s v="Coups de coeur - Abi Feijó/Regina Pessoa: Oeuvres Croisées"/>
    <x v="0"/>
    <x v="0"/>
    <m/>
    <x v="0"/>
    <x v="4"/>
    <x v="1244"/>
    <x v="2"/>
    <x v="0"/>
    <x v="0"/>
    <x v="307"/>
    <x v="3135"/>
  </r>
  <r>
    <x v="1"/>
    <n v="631"/>
    <x v="1236"/>
    <x v="2"/>
    <s v="CM"/>
    <s v="S"/>
    <x v="324"/>
    <x v="41"/>
    <x v="27"/>
    <m/>
    <x v="25"/>
    <m/>
    <x v="3"/>
    <x v="0"/>
    <x v="307"/>
    <d v="2012-11-18T00:00:00"/>
    <x v="13"/>
    <x v="1"/>
    <s v="Competição Internacional: Curtas Metragens e Competição Nacional: Prémio António Gaio"/>
    <m/>
    <x v="317"/>
    <x v="0"/>
    <m/>
    <x v="1"/>
    <x v="4"/>
    <x v="1244"/>
    <x v="3"/>
    <x v="379"/>
    <x v="1"/>
    <x v="307"/>
    <x v="3136"/>
  </r>
  <r>
    <x v="1"/>
    <n v="631"/>
    <x v="1236"/>
    <x v="2"/>
    <s v="CM"/>
    <s v="S"/>
    <x v="324"/>
    <x v="41"/>
    <x v="127"/>
    <m/>
    <x v="97"/>
    <m/>
    <x v="17"/>
    <x v="0"/>
    <x v="369"/>
    <d v="2012-11-17T00:00:00"/>
    <x v="13"/>
    <x v="1"/>
    <s v="Official Selection: Professional 2"/>
    <m/>
    <x v="0"/>
    <x v="0"/>
    <m/>
    <x v="0"/>
    <x v="4"/>
    <x v="1244"/>
    <x v="17"/>
    <x v="0"/>
    <x v="0"/>
    <x v="369"/>
    <x v="3137"/>
  </r>
  <r>
    <x v="1"/>
    <n v="631"/>
    <x v="1236"/>
    <x v="2"/>
    <s v="CM"/>
    <s v="S"/>
    <x v="324"/>
    <x v="41"/>
    <x v="245"/>
    <m/>
    <x v="172"/>
    <m/>
    <x v="49"/>
    <x v="0"/>
    <x v="379"/>
    <d v="2012-11-18T00:00:00"/>
    <x v="13"/>
    <x v="1"/>
    <s v="Competition Programme 1"/>
    <m/>
    <x v="0"/>
    <x v="0"/>
    <m/>
    <x v="0"/>
    <x v="4"/>
    <x v="1244"/>
    <x v="49"/>
    <x v="0"/>
    <x v="0"/>
    <x v="379"/>
    <x v="3138"/>
  </r>
  <r>
    <x v="1"/>
    <n v="631"/>
    <x v="1236"/>
    <x v="2"/>
    <s v="CM"/>
    <s v="S"/>
    <x v="324"/>
    <x v="41"/>
    <x v="688"/>
    <m/>
    <x v="355"/>
    <m/>
    <x v="67"/>
    <x v="0"/>
    <x v="354"/>
    <d v="2012-11-25T00:00:00"/>
    <x v="13"/>
    <x v="1"/>
    <s v="Short Films in Competition A"/>
    <m/>
    <x v="0"/>
    <x v="0"/>
    <m/>
    <x v="0"/>
    <x v="4"/>
    <x v="1244"/>
    <x v="67"/>
    <x v="0"/>
    <x v="0"/>
    <x v="354"/>
    <x v="3139"/>
  </r>
  <r>
    <x v="1"/>
    <n v="631"/>
    <x v="1236"/>
    <x v="2"/>
    <s v="CM"/>
    <s v="S"/>
    <x v="324"/>
    <x v="41"/>
    <x v="689"/>
    <m/>
    <x v="92"/>
    <m/>
    <x v="16"/>
    <x v="0"/>
    <x v="234"/>
    <d v="2012-11-29T00:00:00"/>
    <x v="13"/>
    <x v="1"/>
    <s v="Anima 2012 Competition"/>
    <m/>
    <x v="0"/>
    <x v="0"/>
    <m/>
    <x v="0"/>
    <x v="4"/>
    <x v="1244"/>
    <x v="16"/>
    <x v="0"/>
    <x v="0"/>
    <x v="234"/>
    <x v="3140"/>
  </r>
  <r>
    <x v="1"/>
    <n v="631"/>
    <x v="1236"/>
    <x v="2"/>
    <s v="CM"/>
    <s v="S"/>
    <x v="324"/>
    <x v="41"/>
    <x v="448"/>
    <m/>
    <x v="59"/>
    <m/>
    <x v="3"/>
    <x v="0"/>
    <x v="289"/>
    <d v="2012-12-02T00:00:00"/>
    <x v="11"/>
    <x v="1"/>
    <s v="Competição Nacional"/>
    <m/>
    <x v="0"/>
    <x v="0"/>
    <m/>
    <x v="0"/>
    <x v="4"/>
    <x v="1244"/>
    <x v="3"/>
    <x v="0"/>
    <x v="1"/>
    <x v="289"/>
    <x v="3141"/>
  </r>
  <r>
    <x v="1"/>
    <n v="631"/>
    <x v="1236"/>
    <x v="2"/>
    <s v="CM"/>
    <s v="S"/>
    <x v="324"/>
    <x v="41"/>
    <x v="37"/>
    <m/>
    <x v="35"/>
    <m/>
    <x v="2"/>
    <x v="0"/>
    <x v="304"/>
    <d v="2012-12-02T00:00:00"/>
    <x v="11"/>
    <x v="1"/>
    <s v="Animation 2"/>
    <s v="Panorama Fenêtre Ouverte Enfant"/>
    <x v="0"/>
    <x v="0"/>
    <m/>
    <x v="0"/>
    <x v="4"/>
    <x v="1244"/>
    <x v="2"/>
    <x v="0"/>
    <x v="0"/>
    <x v="304"/>
    <x v="3142"/>
  </r>
  <r>
    <x v="1"/>
    <n v="631"/>
    <x v="1236"/>
    <x v="2"/>
    <s v="CM"/>
    <s v="S"/>
    <x v="324"/>
    <x v="41"/>
    <x v="690"/>
    <m/>
    <x v="356"/>
    <m/>
    <x v="10"/>
    <x v="0"/>
    <x v="437"/>
    <d v="2012-12-08T00:00:00"/>
    <x v="12"/>
    <x v="1"/>
    <s v="Short Films in Competition"/>
    <m/>
    <x v="0"/>
    <x v="0"/>
    <m/>
    <x v="0"/>
    <x v="4"/>
    <x v="1244"/>
    <x v="10"/>
    <x v="0"/>
    <x v="0"/>
    <x v="437"/>
    <x v="3143"/>
  </r>
  <r>
    <x v="1"/>
    <n v="631"/>
    <x v="1236"/>
    <x v="2"/>
    <s v="CM"/>
    <s v="S"/>
    <x v="324"/>
    <x v="41"/>
    <x v="133"/>
    <m/>
    <x v="101"/>
    <m/>
    <x v="3"/>
    <x v="0"/>
    <x v="331"/>
    <d v="2012-12-09T00:00:00"/>
    <x v="12"/>
    <x v="1"/>
    <s v="Curtas Metragens"/>
    <m/>
    <x v="0"/>
    <x v="0"/>
    <m/>
    <x v="0"/>
    <x v="4"/>
    <x v="1244"/>
    <x v="3"/>
    <x v="0"/>
    <x v="1"/>
    <x v="331"/>
    <x v="3144"/>
  </r>
  <r>
    <x v="1"/>
    <n v="631"/>
    <x v="1236"/>
    <x v="2"/>
    <s v="CM"/>
    <s v="S"/>
    <x v="324"/>
    <x v="41"/>
    <x v="691"/>
    <m/>
    <x v="292"/>
    <m/>
    <x v="22"/>
    <x v="0"/>
    <x v="438"/>
    <d v="2012-12-09T00:00:00"/>
    <x v="12"/>
    <x v="1"/>
    <s v="The Elephant in Competition IV"/>
    <m/>
    <x v="0"/>
    <x v="0"/>
    <m/>
    <x v="0"/>
    <x v="4"/>
    <x v="1244"/>
    <x v="22"/>
    <x v="0"/>
    <x v="0"/>
    <x v="438"/>
    <x v="3145"/>
  </r>
  <r>
    <x v="1"/>
    <n v="631"/>
    <x v="1236"/>
    <x v="2"/>
    <s v="CM"/>
    <s v="S"/>
    <x v="324"/>
    <x v="41"/>
    <x v="692"/>
    <m/>
    <x v="357"/>
    <m/>
    <x v="2"/>
    <x v="0"/>
    <x v="351"/>
    <d v="2012-12-18T00:00:00"/>
    <x v="12"/>
    <x v="1"/>
    <s v="Compétition Internationale de courts métrages d'animation &quot;Fantastique&quot;"/>
    <m/>
    <x v="0"/>
    <x v="0"/>
    <m/>
    <x v="0"/>
    <x v="4"/>
    <x v="1244"/>
    <x v="2"/>
    <x v="0"/>
    <x v="0"/>
    <x v="351"/>
    <x v="3146"/>
  </r>
  <r>
    <x v="1"/>
    <n v="633"/>
    <x v="442"/>
    <x v="0"/>
    <s v="CM"/>
    <s v=""/>
    <x v="0"/>
    <x v="12"/>
    <x v="407"/>
    <m/>
    <x v="154"/>
    <m/>
    <x v="0"/>
    <x v="0"/>
    <x v="237"/>
    <d v="2012-07-08T00:00:00"/>
    <x v="17"/>
    <x v="0"/>
    <m/>
    <m/>
    <x v="0"/>
    <x v="1"/>
    <m/>
    <x v="0"/>
    <x v="0"/>
    <x v="444"/>
    <x v="0"/>
    <x v="0"/>
    <x v="0"/>
    <x v="237"/>
    <x v="3147"/>
  </r>
  <r>
    <x v="1"/>
    <n v="633"/>
    <x v="442"/>
    <x v="0"/>
    <s v="CM"/>
    <s v=""/>
    <x v="0"/>
    <x v="12"/>
    <x v="179"/>
    <m/>
    <x v="133"/>
    <m/>
    <x v="0"/>
    <x v="0"/>
    <x v="233"/>
    <d v="2012-11-01T00:00:00"/>
    <x v="0"/>
    <x v="0"/>
    <m/>
    <s v="Homenagem a Miguel Gomes"/>
    <x v="0"/>
    <x v="0"/>
    <m/>
    <x v="0"/>
    <x v="0"/>
    <x v="444"/>
    <x v="0"/>
    <x v="0"/>
    <x v="0"/>
    <x v="233"/>
    <x v="3148"/>
  </r>
  <r>
    <x v="1"/>
    <n v="633"/>
    <x v="442"/>
    <x v="0"/>
    <s v="CM"/>
    <s v=""/>
    <x v="0"/>
    <x v="12"/>
    <x v="404"/>
    <m/>
    <x v="264"/>
    <m/>
    <x v="15"/>
    <x v="0"/>
    <x v="234"/>
    <d v="2012-12-01T00:00:00"/>
    <x v="11"/>
    <x v="0"/>
    <m/>
    <s v="Onde: Omaggio a Miguel Gomes"/>
    <x v="0"/>
    <x v="0"/>
    <m/>
    <x v="0"/>
    <x v="0"/>
    <x v="444"/>
    <x v="15"/>
    <x v="0"/>
    <x v="0"/>
    <x v="234"/>
    <x v="3149"/>
  </r>
  <r>
    <x v="1"/>
    <n v="636"/>
    <x v="445"/>
    <x v="0"/>
    <s v="LM"/>
    <s v="S"/>
    <x v="194"/>
    <x v="2"/>
    <x v="469"/>
    <m/>
    <x v="24"/>
    <m/>
    <x v="3"/>
    <x v="0"/>
    <x v="243"/>
    <d v="2012-06-17T00:00:00"/>
    <x v="7"/>
    <x v="0"/>
    <m/>
    <m/>
    <x v="0"/>
    <x v="1"/>
    <m/>
    <x v="0"/>
    <x v="5"/>
    <x v="447"/>
    <x v="3"/>
    <x v="0"/>
    <x v="1"/>
    <x v="243"/>
    <x v="3150"/>
  </r>
  <r>
    <x v="1"/>
    <n v="1331"/>
    <x v="1237"/>
    <x v="5"/>
    <s v="CM"/>
    <s v="N"/>
    <x v="456"/>
    <x v="2"/>
    <x v="316"/>
    <m/>
    <x v="11"/>
    <m/>
    <x v="3"/>
    <x v="0"/>
    <x v="199"/>
    <d v="2012-08-25T00:00:00"/>
    <x v="16"/>
    <x v="1"/>
    <s v="Videoclips"/>
    <m/>
    <x v="0"/>
    <x v="0"/>
    <m/>
    <x v="0"/>
    <x v="15"/>
    <x v="1245"/>
    <x v="3"/>
    <x v="0"/>
    <x v="1"/>
    <x v="199"/>
    <x v="3151"/>
  </r>
  <r>
    <x v="1"/>
    <n v="637"/>
    <x v="1238"/>
    <x v="1"/>
    <s v="CM"/>
    <s v="N"/>
    <x v="832"/>
    <x v="2"/>
    <x v="608"/>
    <m/>
    <x v="185"/>
    <m/>
    <x v="0"/>
    <x v="0"/>
    <x v="264"/>
    <d v="2012-06-17T00:00:00"/>
    <x v="7"/>
    <x v="1"/>
    <s v="Mostra Competitiva"/>
    <m/>
    <x v="0"/>
    <x v="0"/>
    <m/>
    <x v="0"/>
    <x v="2"/>
    <x v="1246"/>
    <x v="0"/>
    <x v="0"/>
    <x v="0"/>
    <x v="264"/>
    <x v="3152"/>
  </r>
  <r>
    <x v="1"/>
    <n v="637"/>
    <x v="1238"/>
    <x v="1"/>
    <s v="CM"/>
    <s v="N"/>
    <x v="832"/>
    <x v="2"/>
    <x v="450"/>
    <m/>
    <x v="24"/>
    <m/>
    <x v="3"/>
    <x v="0"/>
    <x v="237"/>
    <m/>
    <x v="7"/>
    <x v="0"/>
    <m/>
    <m/>
    <x v="0"/>
    <x v="1"/>
    <m/>
    <x v="0"/>
    <x v="2"/>
    <x v="1246"/>
    <x v="3"/>
    <x v="0"/>
    <x v="1"/>
    <x v="237"/>
    <x v="3153"/>
  </r>
  <r>
    <x v="1"/>
    <n v="637"/>
    <x v="1238"/>
    <x v="1"/>
    <s v="CM"/>
    <s v="N"/>
    <x v="832"/>
    <x v="2"/>
    <x v="88"/>
    <m/>
    <x v="67"/>
    <m/>
    <x v="3"/>
    <x v="0"/>
    <x v="262"/>
    <d v="2012-10-13T00:00:00"/>
    <x v="14"/>
    <x v="1"/>
    <s v="Competição Lusófona - Curtas Metragens"/>
    <m/>
    <x v="0"/>
    <x v="0"/>
    <m/>
    <x v="0"/>
    <x v="2"/>
    <x v="1246"/>
    <x v="3"/>
    <x v="0"/>
    <x v="1"/>
    <x v="262"/>
    <x v="3154"/>
  </r>
  <r>
    <x v="1"/>
    <n v="637"/>
    <x v="1238"/>
    <x v="1"/>
    <s v="CM"/>
    <s v="N"/>
    <x v="832"/>
    <x v="2"/>
    <x v="219"/>
    <m/>
    <x v="153"/>
    <m/>
    <x v="44"/>
    <x v="0"/>
    <x v="294"/>
    <d v="2012-10-21T00:00:00"/>
    <x v="14"/>
    <x v="1"/>
    <s v="Longa-Metragem Documentário"/>
    <m/>
    <x v="0"/>
    <x v="0"/>
    <m/>
    <x v="0"/>
    <x v="2"/>
    <x v="1246"/>
    <x v="44"/>
    <x v="0"/>
    <x v="0"/>
    <x v="294"/>
    <x v="3155"/>
  </r>
  <r>
    <x v="1"/>
    <n v="641"/>
    <x v="1239"/>
    <x v="0"/>
    <s v="CM"/>
    <s v="N"/>
    <x v="833"/>
    <x v="2"/>
    <x v="412"/>
    <m/>
    <x v="269"/>
    <m/>
    <x v="3"/>
    <x v="0"/>
    <x v="242"/>
    <m/>
    <x v="7"/>
    <x v="1"/>
    <m/>
    <m/>
    <x v="0"/>
    <x v="0"/>
    <m/>
    <x v="0"/>
    <x v="0"/>
    <x v="1247"/>
    <x v="3"/>
    <x v="0"/>
    <x v="1"/>
    <x v="242"/>
    <x v="3156"/>
  </r>
  <r>
    <x v="1"/>
    <n v="642"/>
    <x v="449"/>
    <x v="1"/>
    <s v="LM"/>
    <s v="S"/>
    <x v="162"/>
    <x v="3"/>
    <x v="470"/>
    <m/>
    <x v="289"/>
    <m/>
    <x v="3"/>
    <x v="0"/>
    <x v="316"/>
    <d v="2012-01-25T00:00:00"/>
    <x v="15"/>
    <x v="0"/>
    <m/>
    <m/>
    <x v="0"/>
    <x v="3"/>
    <m/>
    <x v="0"/>
    <x v="1"/>
    <x v="451"/>
    <x v="3"/>
    <x v="0"/>
    <x v="1"/>
    <x v="316"/>
    <x v="3157"/>
  </r>
  <r>
    <x v="1"/>
    <n v="642"/>
    <x v="449"/>
    <x v="1"/>
    <s v="LM"/>
    <s v="S"/>
    <x v="162"/>
    <x v="3"/>
    <x v="425"/>
    <m/>
    <x v="269"/>
    <m/>
    <x v="3"/>
    <x v="0"/>
    <x v="256"/>
    <d v="2012-03-17T00:00:00"/>
    <x v="2"/>
    <x v="0"/>
    <m/>
    <m/>
    <x v="0"/>
    <x v="3"/>
    <m/>
    <x v="0"/>
    <x v="1"/>
    <x v="451"/>
    <x v="3"/>
    <x v="0"/>
    <x v="1"/>
    <x v="256"/>
    <x v="3158"/>
  </r>
  <r>
    <x v="1"/>
    <n v="642"/>
    <x v="449"/>
    <x v="1"/>
    <s v="LM"/>
    <s v="S"/>
    <x v="162"/>
    <x v="3"/>
    <x v="106"/>
    <m/>
    <x v="82"/>
    <m/>
    <x v="21"/>
    <x v="0"/>
    <x v="349"/>
    <d v="2012-09-23T00:00:00"/>
    <x v="9"/>
    <x v="0"/>
    <m/>
    <s v="Janela Aberta"/>
    <x v="0"/>
    <x v="0"/>
    <m/>
    <x v="0"/>
    <x v="1"/>
    <x v="451"/>
    <x v="21"/>
    <x v="0"/>
    <x v="0"/>
    <x v="349"/>
    <x v="3159"/>
  </r>
  <r>
    <x v="1"/>
    <n v="642"/>
    <x v="449"/>
    <x v="1"/>
    <s v="LM"/>
    <s v="S"/>
    <x v="162"/>
    <x v="3"/>
    <x v="537"/>
    <m/>
    <x v="50"/>
    <m/>
    <x v="13"/>
    <x v="0"/>
    <x v="282"/>
    <d v="2012-11-21T00:00:00"/>
    <x v="13"/>
    <x v="1"/>
    <s v="Documentários"/>
    <m/>
    <x v="0"/>
    <x v="0"/>
    <m/>
    <x v="0"/>
    <x v="1"/>
    <x v="451"/>
    <x v="13"/>
    <x v="0"/>
    <x v="0"/>
    <x v="282"/>
    <x v="3160"/>
  </r>
  <r>
    <x v="1"/>
    <n v="642"/>
    <x v="449"/>
    <x v="1"/>
    <s v="LM"/>
    <s v="S"/>
    <x v="162"/>
    <x v="3"/>
    <x v="569"/>
    <m/>
    <x v="92"/>
    <m/>
    <x v="16"/>
    <x v="0"/>
    <x v="385"/>
    <d v="2012-12-18T00:00:00"/>
    <x v="12"/>
    <x v="0"/>
    <m/>
    <m/>
    <x v="0"/>
    <x v="1"/>
    <s v="Kino Pod Baranami e Fundação Lusorizonte"/>
    <x v="0"/>
    <x v="1"/>
    <x v="451"/>
    <x v="16"/>
    <x v="0"/>
    <x v="0"/>
    <x v="385"/>
    <x v="3161"/>
  </r>
  <r>
    <x v="1"/>
    <n v="642"/>
    <x v="449"/>
    <x v="1"/>
    <s v="LM"/>
    <s v="S"/>
    <x v="162"/>
    <x v="3"/>
    <x v="693"/>
    <m/>
    <x v="39"/>
    <m/>
    <x v="3"/>
    <x v="0"/>
    <x v="439"/>
    <m/>
    <x v="12"/>
    <x v="0"/>
    <m/>
    <m/>
    <x v="0"/>
    <x v="1"/>
    <m/>
    <x v="0"/>
    <x v="1"/>
    <x v="451"/>
    <x v="3"/>
    <x v="0"/>
    <x v="1"/>
    <x v="439"/>
    <x v="3162"/>
  </r>
  <r>
    <x v="1"/>
    <n v="643"/>
    <x v="1240"/>
    <x v="1"/>
    <s v="LM"/>
    <s v="N"/>
    <x v="77"/>
    <x v="2"/>
    <x v="450"/>
    <m/>
    <x v="24"/>
    <m/>
    <x v="3"/>
    <x v="0"/>
    <x v="345"/>
    <m/>
    <x v="7"/>
    <x v="0"/>
    <m/>
    <m/>
    <x v="0"/>
    <x v="1"/>
    <m/>
    <x v="0"/>
    <x v="1"/>
    <x v="1248"/>
    <x v="3"/>
    <x v="0"/>
    <x v="1"/>
    <x v="345"/>
    <x v="3163"/>
  </r>
  <r>
    <x v="1"/>
    <n v="645"/>
    <x v="1241"/>
    <x v="0"/>
    <s v="CM"/>
    <s v="N"/>
    <x v="834"/>
    <x v="41"/>
    <x v="146"/>
    <m/>
    <x v="24"/>
    <m/>
    <x v="3"/>
    <x v="0"/>
    <x v="281"/>
    <d v="2012-05-06T00:00:00"/>
    <x v="4"/>
    <x v="1"/>
    <s v="Competição Nacional Curtas 1"/>
    <s v="Cinema Emergente Curtas 2"/>
    <x v="0"/>
    <x v="0"/>
    <m/>
    <x v="0"/>
    <x v="0"/>
    <x v="1249"/>
    <x v="3"/>
    <x v="0"/>
    <x v="1"/>
    <x v="281"/>
    <x v="3164"/>
  </r>
  <r>
    <x v="1"/>
    <n v="645"/>
    <x v="1241"/>
    <x v="0"/>
    <s v="CM"/>
    <s v="N"/>
    <x v="834"/>
    <x v="41"/>
    <x v="162"/>
    <m/>
    <x v="124"/>
    <m/>
    <x v="3"/>
    <x v="0"/>
    <x v="417"/>
    <m/>
    <x v="9"/>
    <x v="0"/>
    <m/>
    <m/>
    <x v="0"/>
    <x v="1"/>
    <m/>
    <x v="0"/>
    <x v="0"/>
    <x v="1249"/>
    <x v="3"/>
    <x v="0"/>
    <x v="1"/>
    <x v="417"/>
    <x v="3165"/>
  </r>
  <r>
    <x v="1"/>
    <n v="646"/>
    <x v="1242"/>
    <x v="0"/>
    <s v="LM"/>
    <s v="S"/>
    <x v="158"/>
    <x v="2"/>
    <x v="435"/>
    <m/>
    <x v="24"/>
    <m/>
    <x v="3"/>
    <x v="0"/>
    <x v="269"/>
    <d v="2012-03-11T00:00:00"/>
    <x v="2"/>
    <x v="0"/>
    <m/>
    <m/>
    <x v="0"/>
    <x v="1"/>
    <m/>
    <x v="0"/>
    <x v="5"/>
    <x v="1250"/>
    <x v="3"/>
    <x v="0"/>
    <x v="1"/>
    <x v="269"/>
    <x v="3166"/>
  </r>
  <r>
    <x v="1"/>
    <n v="1557"/>
    <x v="1243"/>
    <x v="1"/>
    <s v="CM"/>
    <s v="N"/>
    <x v="835"/>
    <x v="41"/>
    <x v="46"/>
    <m/>
    <x v="24"/>
    <m/>
    <x v="3"/>
    <x v="0"/>
    <x v="231"/>
    <d v="2012-12-11T00:00:00"/>
    <x v="12"/>
    <x v="1"/>
    <s v="Prémio de Cinema para Filmes sobre Arte"/>
    <m/>
    <x v="0"/>
    <x v="0"/>
    <m/>
    <x v="0"/>
    <x v="2"/>
    <x v="1251"/>
    <x v="3"/>
    <x v="0"/>
    <x v="1"/>
    <x v="231"/>
    <x v="3167"/>
  </r>
  <r>
    <x v="1"/>
    <n v="1557"/>
    <x v="1243"/>
    <x v="1"/>
    <s v="CM"/>
    <s v="N"/>
    <x v="835"/>
    <x v="41"/>
    <x v="402"/>
    <m/>
    <x v="24"/>
    <m/>
    <x v="3"/>
    <x v="0"/>
    <x v="231"/>
    <d v="2012-12-09T00:00:00"/>
    <x v="12"/>
    <x v="1"/>
    <s v="Categoria Património Imaterial"/>
    <m/>
    <x v="0"/>
    <x v="1"/>
    <m/>
    <x v="0"/>
    <x v="2"/>
    <x v="1251"/>
    <x v="3"/>
    <x v="0"/>
    <x v="1"/>
    <x v="231"/>
    <x v="3168"/>
  </r>
  <r>
    <x v="1"/>
    <n v="649"/>
    <x v="1244"/>
    <x v="0"/>
    <s v="CM"/>
    <s v=""/>
    <x v="836"/>
    <x v="2"/>
    <x v="64"/>
    <m/>
    <x v="23"/>
    <m/>
    <x v="3"/>
    <x v="0"/>
    <x v="386"/>
    <d v="2012-05-26T00:00:00"/>
    <x v="6"/>
    <x v="1"/>
    <m/>
    <m/>
    <x v="0"/>
    <x v="1"/>
    <m/>
    <x v="0"/>
    <x v="0"/>
    <x v="1252"/>
    <x v="3"/>
    <x v="0"/>
    <x v="1"/>
    <x v="386"/>
    <x v="3169"/>
  </r>
  <r>
    <x v="1"/>
    <n v="649"/>
    <x v="1244"/>
    <x v="0"/>
    <s v="CM"/>
    <s v=""/>
    <x v="836"/>
    <x v="2"/>
    <x v="413"/>
    <m/>
    <x v="270"/>
    <m/>
    <x v="3"/>
    <x v="0"/>
    <x v="243"/>
    <d v="2012-06-03T00:00:00"/>
    <x v="7"/>
    <x v="1"/>
    <s v="Universidades"/>
    <m/>
    <x v="7"/>
    <x v="0"/>
    <m/>
    <x v="1"/>
    <x v="0"/>
    <x v="1252"/>
    <x v="3"/>
    <x v="380"/>
    <x v="1"/>
    <x v="243"/>
    <x v="3170"/>
  </r>
  <r>
    <x v="1"/>
    <n v="650"/>
    <x v="1245"/>
    <x v="2"/>
    <s v="CM"/>
    <s v="N"/>
    <x v="644"/>
    <x v="2"/>
    <x v="432"/>
    <m/>
    <x v="39"/>
    <m/>
    <x v="3"/>
    <x v="0"/>
    <x v="265"/>
    <d v="2012-04-21T00:00:00"/>
    <x v="5"/>
    <x v="1"/>
    <s v="Competição Escolas"/>
    <m/>
    <x v="318"/>
    <x v="0"/>
    <m/>
    <x v="1"/>
    <x v="4"/>
    <x v="1253"/>
    <x v="3"/>
    <x v="381"/>
    <x v="1"/>
    <x v="265"/>
    <x v="3171"/>
  </r>
  <r>
    <x v="1"/>
    <n v="651"/>
    <x v="1246"/>
    <x v="2"/>
    <s v="CM"/>
    <s v=""/>
    <x v="92"/>
    <x v="41"/>
    <x v="601"/>
    <m/>
    <x v="330"/>
    <m/>
    <x v="48"/>
    <x v="0"/>
    <x v="269"/>
    <d v="2012-03-15T00:00:00"/>
    <x v="2"/>
    <x v="1"/>
    <s v="Special Effects/Animation"/>
    <m/>
    <x v="0"/>
    <x v="0"/>
    <m/>
    <x v="0"/>
    <x v="4"/>
    <x v="1254"/>
    <x v="48"/>
    <x v="0"/>
    <x v="0"/>
    <x v="269"/>
    <x v="3172"/>
  </r>
  <r>
    <x v="1"/>
    <n v="651"/>
    <x v="1246"/>
    <x v="2"/>
    <s v="CM"/>
    <s v=""/>
    <x v="92"/>
    <x v="41"/>
    <x v="449"/>
    <m/>
    <x v="22"/>
    <m/>
    <x v="3"/>
    <x v="0"/>
    <x v="290"/>
    <m/>
    <x v="7"/>
    <x v="1"/>
    <s v="Livre"/>
    <m/>
    <x v="0"/>
    <x v="0"/>
    <m/>
    <x v="0"/>
    <x v="4"/>
    <x v="1254"/>
    <x v="3"/>
    <x v="0"/>
    <x v="1"/>
    <x v="290"/>
    <x v="3173"/>
  </r>
  <r>
    <x v="1"/>
    <n v="651"/>
    <x v="1246"/>
    <x v="2"/>
    <s v="CM"/>
    <s v=""/>
    <x v="92"/>
    <x v="41"/>
    <x v="67"/>
    <m/>
    <x v="23"/>
    <m/>
    <x v="3"/>
    <x v="0"/>
    <x v="264"/>
    <d v="2012-06-17T00:00:00"/>
    <x v="7"/>
    <x v="1"/>
    <s v="Curtas Animação"/>
    <m/>
    <x v="7"/>
    <x v="0"/>
    <m/>
    <x v="1"/>
    <x v="4"/>
    <x v="1254"/>
    <x v="3"/>
    <x v="382"/>
    <x v="1"/>
    <x v="264"/>
    <x v="3174"/>
  </r>
  <r>
    <x v="1"/>
    <n v="651"/>
    <x v="1246"/>
    <x v="2"/>
    <s v="CM"/>
    <s v=""/>
    <x v="92"/>
    <x v="41"/>
    <x v="694"/>
    <m/>
    <x v="23"/>
    <m/>
    <x v="3"/>
    <x v="0"/>
    <x v="306"/>
    <m/>
    <x v="7"/>
    <x v="1"/>
    <m/>
    <m/>
    <x v="235"/>
    <x v="1"/>
    <m/>
    <x v="1"/>
    <x v="4"/>
    <x v="1254"/>
    <x v="3"/>
    <x v="273"/>
    <x v="1"/>
    <x v="306"/>
    <x v="3175"/>
  </r>
  <r>
    <x v="1"/>
    <n v="651"/>
    <x v="1246"/>
    <x v="2"/>
    <s v="CM"/>
    <s v=""/>
    <x v="92"/>
    <x v="41"/>
    <x v="579"/>
    <m/>
    <x v="325"/>
    <m/>
    <x v="15"/>
    <x v="0"/>
    <x v="392"/>
    <d v="2012-07-28T00:00:00"/>
    <x v="8"/>
    <x v="1"/>
    <s v="Premio Cartoon Club"/>
    <m/>
    <x v="0"/>
    <x v="0"/>
    <m/>
    <x v="0"/>
    <x v="4"/>
    <x v="1254"/>
    <x v="15"/>
    <x v="0"/>
    <x v="0"/>
    <x v="392"/>
    <x v="3176"/>
  </r>
  <r>
    <x v="1"/>
    <n v="651"/>
    <x v="1246"/>
    <x v="2"/>
    <s v="CM"/>
    <s v=""/>
    <x v="92"/>
    <x v="41"/>
    <x v="192"/>
    <m/>
    <x v="140"/>
    <m/>
    <x v="3"/>
    <x v="0"/>
    <x v="250"/>
    <d v="2012-07-29T00:00:00"/>
    <x v="8"/>
    <x v="1"/>
    <s v="Competição AVANCA"/>
    <m/>
    <x v="0"/>
    <x v="0"/>
    <m/>
    <x v="0"/>
    <x v="4"/>
    <x v="1254"/>
    <x v="3"/>
    <x v="0"/>
    <x v="1"/>
    <x v="250"/>
    <x v="3177"/>
  </r>
  <r>
    <x v="1"/>
    <n v="651"/>
    <x v="1246"/>
    <x v="2"/>
    <s v="CM"/>
    <s v=""/>
    <x v="92"/>
    <x v="41"/>
    <x v="235"/>
    <m/>
    <x v="165"/>
    <m/>
    <x v="4"/>
    <x v="0"/>
    <x v="440"/>
    <d v="2012-09-05T00:00:00"/>
    <x v="20"/>
    <x v="0"/>
    <m/>
    <s v="Muestra Paralela: Mundo Animado"/>
    <x v="0"/>
    <x v="0"/>
    <m/>
    <x v="0"/>
    <x v="4"/>
    <x v="1254"/>
    <x v="4"/>
    <x v="0"/>
    <x v="0"/>
    <x v="440"/>
    <x v="3178"/>
  </r>
  <r>
    <x v="1"/>
    <n v="651"/>
    <x v="1246"/>
    <x v="2"/>
    <s v="CM"/>
    <s v=""/>
    <x v="92"/>
    <x v="41"/>
    <x v="70"/>
    <m/>
    <x v="38"/>
    <m/>
    <x v="3"/>
    <x v="0"/>
    <x v="349"/>
    <d v="2012-09-16T00:00:00"/>
    <x v="9"/>
    <x v="1"/>
    <m/>
    <m/>
    <x v="0"/>
    <x v="0"/>
    <m/>
    <x v="0"/>
    <x v="4"/>
    <x v="1254"/>
    <x v="3"/>
    <x v="0"/>
    <x v="1"/>
    <x v="349"/>
    <x v="3179"/>
  </r>
  <r>
    <x v="1"/>
    <n v="651"/>
    <x v="1246"/>
    <x v="2"/>
    <s v="CM"/>
    <s v=""/>
    <x v="92"/>
    <x v="41"/>
    <x v="695"/>
    <m/>
    <x v="358"/>
    <m/>
    <x v="68"/>
    <x v="0"/>
    <x v="349"/>
    <d v="2012-09-23T00:00:00"/>
    <x v="9"/>
    <x v="1"/>
    <s v="Animation"/>
    <m/>
    <x v="0"/>
    <x v="0"/>
    <m/>
    <x v="0"/>
    <x v="4"/>
    <x v="1254"/>
    <x v="68"/>
    <x v="0"/>
    <x v="0"/>
    <x v="349"/>
    <x v="3180"/>
  </r>
  <r>
    <x v="1"/>
    <n v="651"/>
    <x v="1246"/>
    <x v="2"/>
    <s v="CM"/>
    <s v=""/>
    <x v="92"/>
    <x v="41"/>
    <x v="466"/>
    <m/>
    <x v="288"/>
    <m/>
    <x v="10"/>
    <x v="0"/>
    <x v="312"/>
    <d v="2012-09-30T00:00:00"/>
    <x v="9"/>
    <x v="1"/>
    <s v="Animation"/>
    <m/>
    <x v="0"/>
    <x v="0"/>
    <m/>
    <x v="0"/>
    <x v="4"/>
    <x v="1254"/>
    <x v="10"/>
    <x v="0"/>
    <x v="0"/>
    <x v="312"/>
    <x v="3181"/>
  </r>
  <r>
    <x v="1"/>
    <n v="651"/>
    <x v="1246"/>
    <x v="2"/>
    <s v="CM"/>
    <s v=""/>
    <x v="92"/>
    <x v="41"/>
    <x v="653"/>
    <m/>
    <x v="11"/>
    <m/>
    <x v="3"/>
    <x v="0"/>
    <x v="252"/>
    <m/>
    <x v="14"/>
    <x v="1"/>
    <s v="Tema C - Animação"/>
    <m/>
    <x v="297"/>
    <x v="0"/>
    <m/>
    <x v="1"/>
    <x v="4"/>
    <x v="1254"/>
    <x v="3"/>
    <x v="383"/>
    <x v="1"/>
    <x v="252"/>
    <x v="3182"/>
  </r>
  <r>
    <x v="1"/>
    <n v="651"/>
    <x v="1246"/>
    <x v="2"/>
    <s v="CM"/>
    <s v=""/>
    <x v="92"/>
    <x v="41"/>
    <x v="22"/>
    <m/>
    <x v="22"/>
    <m/>
    <x v="3"/>
    <x v="0"/>
    <x v="251"/>
    <d v="2012-11-18T00:00:00"/>
    <x v="13"/>
    <x v="1"/>
    <s v="Secção Competitiva"/>
    <m/>
    <x v="0"/>
    <x v="0"/>
    <m/>
    <x v="0"/>
    <x v="4"/>
    <x v="1254"/>
    <x v="3"/>
    <x v="0"/>
    <x v="1"/>
    <x v="251"/>
    <x v="3183"/>
  </r>
  <r>
    <x v="1"/>
    <n v="651"/>
    <x v="1246"/>
    <x v="2"/>
    <s v="CM"/>
    <s v=""/>
    <x v="92"/>
    <x v="41"/>
    <x v="27"/>
    <m/>
    <x v="25"/>
    <m/>
    <x v="3"/>
    <x v="0"/>
    <x v="307"/>
    <d v="2012-11-18T00:00:00"/>
    <x v="13"/>
    <x v="0"/>
    <m/>
    <s v="Panorama 2"/>
    <x v="0"/>
    <x v="0"/>
    <m/>
    <x v="0"/>
    <x v="4"/>
    <x v="1254"/>
    <x v="3"/>
    <x v="0"/>
    <x v="1"/>
    <x v="307"/>
    <x v="3184"/>
  </r>
  <r>
    <x v="1"/>
    <n v="651"/>
    <x v="1246"/>
    <x v="2"/>
    <s v="CM"/>
    <s v=""/>
    <x v="92"/>
    <x v="41"/>
    <x v="696"/>
    <m/>
    <x v="359"/>
    <m/>
    <x v="16"/>
    <x v="0"/>
    <x v="441"/>
    <d v="2012-11-25T00:00:00"/>
    <x v="13"/>
    <x v="1"/>
    <s v="Animation"/>
    <m/>
    <x v="0"/>
    <x v="0"/>
    <m/>
    <x v="0"/>
    <x v="4"/>
    <x v="1254"/>
    <x v="16"/>
    <x v="0"/>
    <x v="0"/>
    <x v="441"/>
    <x v="3185"/>
  </r>
  <r>
    <x v="1"/>
    <n v="651"/>
    <x v="1246"/>
    <x v="2"/>
    <s v="CM"/>
    <s v=""/>
    <x v="92"/>
    <x v="41"/>
    <x v="697"/>
    <m/>
    <x v="311"/>
    <m/>
    <x v="61"/>
    <x v="0"/>
    <x v="234"/>
    <d v="2012-11-30T00:00:00"/>
    <x v="13"/>
    <x v="1"/>
    <s v="Competencia Internacional - cortometrajes"/>
    <m/>
    <x v="0"/>
    <x v="0"/>
    <m/>
    <x v="0"/>
    <x v="4"/>
    <x v="1254"/>
    <x v="61"/>
    <x v="0"/>
    <x v="0"/>
    <x v="234"/>
    <x v="3186"/>
  </r>
  <r>
    <x v="1"/>
    <n v="651"/>
    <x v="1246"/>
    <x v="2"/>
    <s v="CM"/>
    <s v=""/>
    <x v="92"/>
    <x v="41"/>
    <x v="484"/>
    <m/>
    <x v="292"/>
    <m/>
    <x v="22"/>
    <x v="0"/>
    <x v="327"/>
    <d v="2012-12-14T00:00:00"/>
    <x v="12"/>
    <x v="1"/>
    <m/>
    <m/>
    <x v="0"/>
    <x v="0"/>
    <m/>
    <x v="0"/>
    <x v="4"/>
    <x v="1254"/>
    <x v="22"/>
    <x v="0"/>
    <x v="0"/>
    <x v="327"/>
    <x v="3187"/>
  </r>
  <r>
    <x v="1"/>
    <n v="1422"/>
    <x v="1247"/>
    <x v="0"/>
    <s v="CM"/>
    <s v="N"/>
    <x v="837"/>
    <x v="41"/>
    <x v="68"/>
    <m/>
    <x v="53"/>
    <m/>
    <x v="3"/>
    <x v="0"/>
    <x v="253"/>
    <d v="2012-07-15T00:00:00"/>
    <x v="8"/>
    <x v="0"/>
    <m/>
    <s v="20 Anos: 4x4"/>
    <x v="0"/>
    <x v="0"/>
    <m/>
    <x v="0"/>
    <x v="0"/>
    <x v="1255"/>
    <x v="3"/>
    <x v="0"/>
    <x v="1"/>
    <x v="253"/>
    <x v="3188"/>
  </r>
  <r>
    <x v="1"/>
    <n v="1422"/>
    <x v="1247"/>
    <x v="0"/>
    <s v="CM"/>
    <s v="N"/>
    <x v="837"/>
    <x v="41"/>
    <x v="698"/>
    <m/>
    <x v="360"/>
    <m/>
    <x v="34"/>
    <x v="0"/>
    <x v="381"/>
    <d v="2012-11-11T00:00:00"/>
    <x v="13"/>
    <x v="1"/>
    <s v="International Competition"/>
    <m/>
    <x v="0"/>
    <x v="0"/>
    <m/>
    <x v="0"/>
    <x v="0"/>
    <x v="1255"/>
    <x v="34"/>
    <x v="0"/>
    <x v="0"/>
    <x v="381"/>
    <x v="3189"/>
  </r>
  <r>
    <x v="1"/>
    <n v="1422"/>
    <x v="1247"/>
    <x v="0"/>
    <s v="CM"/>
    <s v="N"/>
    <x v="837"/>
    <x v="41"/>
    <x v="448"/>
    <m/>
    <x v="59"/>
    <m/>
    <x v="3"/>
    <x v="0"/>
    <x v="289"/>
    <d v="2012-12-02T00:00:00"/>
    <x v="11"/>
    <x v="1"/>
    <s v="Competição Nacional"/>
    <m/>
    <x v="0"/>
    <x v="0"/>
    <m/>
    <x v="0"/>
    <x v="0"/>
    <x v="1255"/>
    <x v="3"/>
    <x v="0"/>
    <x v="1"/>
    <x v="289"/>
    <x v="3190"/>
  </r>
  <r>
    <x v="1"/>
    <n v="1591"/>
    <x v="1248"/>
    <x v="1"/>
    <s v="CM"/>
    <s v="N"/>
    <x v="456"/>
    <x v="41"/>
    <x v="501"/>
    <m/>
    <x v="11"/>
    <m/>
    <x v="3"/>
    <x v="0"/>
    <x v="312"/>
    <d v="2012-09-30T00:00:00"/>
    <x v="9"/>
    <x v="0"/>
    <m/>
    <m/>
    <x v="0"/>
    <x v="0"/>
    <m/>
    <x v="0"/>
    <x v="2"/>
    <x v="1256"/>
    <x v="3"/>
    <x v="0"/>
    <x v="1"/>
    <x v="312"/>
    <x v="3191"/>
  </r>
  <r>
    <x v="1"/>
    <n v="1591"/>
    <x v="1248"/>
    <x v="1"/>
    <s v="CM"/>
    <s v="N"/>
    <x v="456"/>
    <x v="41"/>
    <x v="653"/>
    <m/>
    <x v="11"/>
    <m/>
    <x v="3"/>
    <x v="0"/>
    <x v="252"/>
    <m/>
    <x v="14"/>
    <x v="1"/>
    <s v="Tema A - Algarve: História, Tradição, Actualidade, Ria Formosa"/>
    <m/>
    <x v="297"/>
    <x v="0"/>
    <m/>
    <x v="1"/>
    <x v="2"/>
    <x v="1256"/>
    <x v="3"/>
    <x v="384"/>
    <x v="1"/>
    <x v="252"/>
    <x v="3192"/>
  </r>
  <r>
    <x v="1"/>
    <n v="1587"/>
    <x v="1249"/>
    <x v="0"/>
    <s v="CM"/>
    <s v="N"/>
    <x v="838"/>
    <x v="41"/>
    <x v="22"/>
    <m/>
    <x v="22"/>
    <m/>
    <x v="3"/>
    <x v="0"/>
    <x v="251"/>
    <d v="2012-11-18T00:00:00"/>
    <x v="13"/>
    <x v="1"/>
    <s v="Ensaios Visuais"/>
    <m/>
    <x v="0"/>
    <x v="0"/>
    <m/>
    <x v="0"/>
    <x v="0"/>
    <x v="1257"/>
    <x v="3"/>
    <x v="0"/>
    <x v="1"/>
    <x v="251"/>
    <x v="3193"/>
  </r>
  <r>
    <x v="1"/>
    <n v="652"/>
    <x v="1250"/>
    <x v="0"/>
    <s v="LM"/>
    <s v="S"/>
    <x v="461"/>
    <x v="2"/>
    <x v="639"/>
    <m/>
    <x v="17"/>
    <m/>
    <x v="2"/>
    <x v="0"/>
    <x v="322"/>
    <d v="2012-01-30T00:00:00"/>
    <x v="15"/>
    <x v="0"/>
    <m/>
    <m/>
    <x v="0"/>
    <x v="1"/>
    <m/>
    <x v="0"/>
    <x v="5"/>
    <x v="1258"/>
    <x v="2"/>
    <x v="0"/>
    <x v="0"/>
    <x v="322"/>
    <x v="3194"/>
  </r>
  <r>
    <x v="1"/>
    <n v="1403"/>
    <x v="1251"/>
    <x v="1"/>
    <s v="LM"/>
    <s v="N"/>
    <x v="44"/>
    <x v="41"/>
    <x v="25"/>
    <m/>
    <x v="24"/>
    <m/>
    <x v="3"/>
    <x v="0"/>
    <x v="294"/>
    <d v="2012-10-28T00:00:00"/>
    <x v="14"/>
    <x v="1"/>
    <s v="Competição Portuguesa - Longas"/>
    <m/>
    <x v="0"/>
    <x v="0"/>
    <m/>
    <x v="0"/>
    <x v="1"/>
    <x v="1259"/>
    <x v="3"/>
    <x v="0"/>
    <x v="1"/>
    <x v="294"/>
    <x v="3195"/>
  </r>
  <r>
    <x v="1"/>
    <n v="1419"/>
    <x v="1252"/>
    <x v="1"/>
    <s v="CM"/>
    <s v="N"/>
    <x v="37"/>
    <x v="4"/>
    <x v="408"/>
    <m/>
    <x v="266"/>
    <m/>
    <x v="2"/>
    <x v="0"/>
    <x v="238"/>
    <d v="2012-08-25T00:00:00"/>
    <x v="16"/>
    <x v="0"/>
    <m/>
    <s v="Route du Doc: Portugal"/>
    <x v="0"/>
    <x v="1"/>
    <m/>
    <x v="0"/>
    <x v="2"/>
    <x v="1260"/>
    <x v="2"/>
    <x v="0"/>
    <x v="0"/>
    <x v="238"/>
    <x v="3196"/>
  </r>
  <r>
    <x v="1"/>
    <n v="653"/>
    <x v="1253"/>
    <x v="1"/>
    <s v="CM"/>
    <s v=""/>
    <x v="839"/>
    <x v="2"/>
    <x v="63"/>
    <m/>
    <x v="24"/>
    <m/>
    <x v="3"/>
    <x v="0"/>
    <x v="274"/>
    <d v="2012-05-16T00:00:00"/>
    <x v="6"/>
    <x v="0"/>
    <m/>
    <s v="FESTin Musical"/>
    <x v="0"/>
    <x v="0"/>
    <m/>
    <x v="0"/>
    <x v="2"/>
    <x v="1261"/>
    <x v="3"/>
    <x v="0"/>
    <x v="1"/>
    <x v="274"/>
    <x v="3197"/>
  </r>
  <r>
    <x v="1"/>
    <n v="655"/>
    <x v="1254"/>
    <x v="0"/>
    <s v="CM"/>
    <s v=""/>
    <x v="840"/>
    <x v="2"/>
    <x v="146"/>
    <m/>
    <x v="24"/>
    <m/>
    <x v="3"/>
    <x v="0"/>
    <x v="281"/>
    <d v="2012-05-06T00:00:00"/>
    <x v="4"/>
    <x v="0"/>
    <m/>
    <s v="Sessões Especiais - Novíssimos Curtas"/>
    <x v="0"/>
    <x v="0"/>
    <m/>
    <x v="0"/>
    <x v="0"/>
    <x v="1262"/>
    <x v="3"/>
    <x v="0"/>
    <x v="1"/>
    <x v="281"/>
    <x v="3198"/>
  </r>
  <r>
    <x v="1"/>
    <n v="1312"/>
    <x v="1255"/>
    <x v="0"/>
    <s v="CM"/>
    <s v="N"/>
    <x v="841"/>
    <x v="2"/>
    <x v="48"/>
    <m/>
    <x v="24"/>
    <m/>
    <x v="3"/>
    <x v="0"/>
    <x v="276"/>
    <d v="2012-09-16T00:00:00"/>
    <x v="9"/>
    <x v="1"/>
    <s v="Prémio Motelx  - Melhor Curta de Terror Portuguesa"/>
    <m/>
    <x v="0"/>
    <x v="0"/>
    <m/>
    <x v="0"/>
    <x v="0"/>
    <x v="1263"/>
    <x v="3"/>
    <x v="0"/>
    <x v="1"/>
    <x v="276"/>
    <x v="3199"/>
  </r>
  <r>
    <x v="1"/>
    <n v="1454"/>
    <x v="1256"/>
    <x v="2"/>
    <s v="CM"/>
    <s v="N"/>
    <x v="842"/>
    <x v="2"/>
    <x v="502"/>
    <m/>
    <x v="24"/>
    <m/>
    <x v="3"/>
    <x v="0"/>
    <x v="350"/>
    <m/>
    <x v="14"/>
    <x v="1"/>
    <m/>
    <m/>
    <x v="319"/>
    <x v="1"/>
    <m/>
    <x v="1"/>
    <x v="4"/>
    <x v="1264"/>
    <x v="3"/>
    <x v="385"/>
    <x v="1"/>
    <x v="350"/>
    <x v="3200"/>
  </r>
  <r>
    <x v="1"/>
    <n v="1454"/>
    <x v="1256"/>
    <x v="2"/>
    <s v="CM"/>
    <s v="N"/>
    <x v="842"/>
    <x v="2"/>
    <x v="642"/>
    <m/>
    <x v="23"/>
    <m/>
    <x v="3"/>
    <x v="0"/>
    <x v="418"/>
    <m/>
    <x v="13"/>
    <x v="1"/>
    <m/>
    <m/>
    <x v="0"/>
    <x v="1"/>
    <m/>
    <x v="0"/>
    <x v="4"/>
    <x v="1264"/>
    <x v="3"/>
    <x v="0"/>
    <x v="1"/>
    <x v="418"/>
    <x v="3201"/>
  </r>
  <r>
    <x v="1"/>
    <n v="656"/>
    <x v="454"/>
    <x v="1"/>
    <s v="LM"/>
    <s v="N"/>
    <x v="357"/>
    <x v="5"/>
    <x v="677"/>
    <m/>
    <x v="83"/>
    <m/>
    <x v="3"/>
    <x v="0"/>
    <x v="316"/>
    <d v="2012-01-25T00:00:00"/>
    <x v="15"/>
    <x v="0"/>
    <m/>
    <m/>
    <x v="0"/>
    <x v="1"/>
    <m/>
    <x v="0"/>
    <x v="1"/>
    <x v="456"/>
    <x v="3"/>
    <x v="0"/>
    <x v="1"/>
    <x v="316"/>
    <x v="3202"/>
  </r>
  <r>
    <x v="1"/>
    <n v="656"/>
    <x v="454"/>
    <x v="1"/>
    <s v="LM"/>
    <s v="N"/>
    <x v="357"/>
    <x v="5"/>
    <x v="699"/>
    <m/>
    <x v="77"/>
    <m/>
    <x v="3"/>
    <x v="0"/>
    <x v="291"/>
    <m/>
    <x v="15"/>
    <x v="0"/>
    <m/>
    <m/>
    <x v="0"/>
    <x v="1"/>
    <m/>
    <x v="0"/>
    <x v="1"/>
    <x v="456"/>
    <x v="3"/>
    <x v="0"/>
    <x v="1"/>
    <x v="291"/>
    <x v="3203"/>
  </r>
  <r>
    <x v="1"/>
    <n v="656"/>
    <x v="454"/>
    <x v="1"/>
    <s v="LM"/>
    <s v="N"/>
    <x v="357"/>
    <x v="5"/>
    <x v="700"/>
    <m/>
    <x v="79"/>
    <m/>
    <x v="3"/>
    <x v="0"/>
    <x v="315"/>
    <d v="2012-01-22T00:00:00"/>
    <x v="15"/>
    <x v="0"/>
    <m/>
    <m/>
    <x v="0"/>
    <x v="1"/>
    <m/>
    <x v="0"/>
    <x v="1"/>
    <x v="456"/>
    <x v="3"/>
    <x v="0"/>
    <x v="1"/>
    <x v="315"/>
    <x v="3204"/>
  </r>
  <r>
    <x v="1"/>
    <n v="815"/>
    <x v="1257"/>
    <x v="0"/>
    <s v="CM"/>
    <s v="N"/>
    <x v="843"/>
    <x v="41"/>
    <x v="68"/>
    <m/>
    <x v="53"/>
    <m/>
    <x v="3"/>
    <x v="0"/>
    <x v="253"/>
    <d v="2012-07-15T00:00:00"/>
    <x v="8"/>
    <x v="1"/>
    <s v="Competição Nacional"/>
    <m/>
    <x v="0"/>
    <x v="0"/>
    <m/>
    <x v="0"/>
    <x v="0"/>
    <x v="1265"/>
    <x v="3"/>
    <x v="0"/>
    <x v="1"/>
    <x v="253"/>
    <x v="3205"/>
  </r>
  <r>
    <x v="1"/>
    <n v="815"/>
    <x v="1257"/>
    <x v="0"/>
    <s v="CM"/>
    <s v="N"/>
    <x v="843"/>
    <x v="41"/>
    <x v="22"/>
    <m/>
    <x v="22"/>
    <m/>
    <x v="3"/>
    <x v="0"/>
    <x v="251"/>
    <d v="2012-11-18T00:00:00"/>
    <x v="13"/>
    <x v="1"/>
    <s v="Secção Competitiva"/>
    <m/>
    <x v="0"/>
    <x v="0"/>
    <m/>
    <x v="0"/>
    <x v="0"/>
    <x v="1265"/>
    <x v="3"/>
    <x v="0"/>
    <x v="1"/>
    <x v="251"/>
    <x v="3206"/>
  </r>
  <r>
    <x v="1"/>
    <n v="658"/>
    <x v="456"/>
    <x v="1"/>
    <s v="LM"/>
    <s v=""/>
    <x v="30"/>
    <x v="3"/>
    <x v="37"/>
    <m/>
    <x v="35"/>
    <m/>
    <x v="2"/>
    <x v="0"/>
    <x v="304"/>
    <d v="2012-12-02T00:00:00"/>
    <x v="11"/>
    <x v="0"/>
    <m/>
    <s v="Panorama Fenêtre Ouverte Documentaire"/>
    <x v="0"/>
    <x v="0"/>
    <m/>
    <x v="0"/>
    <x v="1"/>
    <x v="458"/>
    <x v="2"/>
    <x v="0"/>
    <x v="0"/>
    <x v="304"/>
    <x v="3207"/>
  </r>
  <r>
    <x v="1"/>
    <n v="660"/>
    <x v="1258"/>
    <x v="1"/>
    <s v="CM"/>
    <s v="N"/>
    <x v="844"/>
    <x v="2"/>
    <x v="424"/>
    <m/>
    <x v="24"/>
    <m/>
    <x v="3"/>
    <x v="0"/>
    <x v="255"/>
    <d v="2012-06-17T00:00:00"/>
    <x v="7"/>
    <x v="0"/>
    <m/>
    <s v="Fora da Competição"/>
    <x v="0"/>
    <x v="0"/>
    <m/>
    <x v="0"/>
    <x v="2"/>
    <x v="1266"/>
    <x v="3"/>
    <x v="0"/>
    <x v="1"/>
    <x v="255"/>
    <x v="3208"/>
  </r>
  <r>
    <x v="1"/>
    <n v="661"/>
    <x v="1259"/>
    <x v="0"/>
    <s v="CM"/>
    <s v="N"/>
    <x v="845"/>
    <x v="2"/>
    <x v="417"/>
    <m/>
    <x v="24"/>
    <m/>
    <x v="3"/>
    <x v="0"/>
    <x v="247"/>
    <m/>
    <x v="1"/>
    <x v="0"/>
    <m/>
    <s v="Extra - CM portuguesas seleccionadas para a 5ª edição dos &quot;Jameson Empire Awards done in 60 seconds&quot;"/>
    <x v="0"/>
    <x v="1"/>
    <m/>
    <x v="0"/>
    <x v="0"/>
    <x v="1267"/>
    <x v="3"/>
    <x v="0"/>
    <x v="1"/>
    <x v="247"/>
    <x v="3209"/>
  </r>
  <r>
    <x v="1"/>
    <n v="661"/>
    <x v="1259"/>
    <x v="0"/>
    <s v="CM"/>
    <s v="N"/>
    <x v="845"/>
    <x v="2"/>
    <x v="418"/>
    <m/>
    <x v="23"/>
    <m/>
    <x v="3"/>
    <x v="0"/>
    <x v="248"/>
    <m/>
    <x v="2"/>
    <x v="0"/>
    <m/>
    <s v="Finalistas portugueses &quot;Jameson Empire Awards done in 60 Seconds&quot;"/>
    <x v="0"/>
    <x v="1"/>
    <m/>
    <x v="0"/>
    <x v="0"/>
    <x v="1267"/>
    <x v="3"/>
    <x v="0"/>
    <x v="1"/>
    <x v="248"/>
    <x v="3210"/>
  </r>
  <r>
    <x v="1"/>
    <n v="662"/>
    <x v="1260"/>
    <x v="1"/>
    <s v="LM"/>
    <s v=""/>
    <x v="846"/>
    <x v="2"/>
    <x v="411"/>
    <m/>
    <x v="268"/>
    <m/>
    <x v="0"/>
    <x v="0"/>
    <x v="241"/>
    <d v="2012-05-18T00:00:00"/>
    <x v="6"/>
    <x v="0"/>
    <m/>
    <s v="Sessão de Abertura"/>
    <x v="0"/>
    <x v="0"/>
    <m/>
    <x v="0"/>
    <x v="1"/>
    <x v="1268"/>
    <x v="0"/>
    <x v="0"/>
    <x v="0"/>
    <x v="241"/>
    <x v="3211"/>
  </r>
  <r>
    <x v="1"/>
    <n v="663"/>
    <x v="458"/>
    <x v="1"/>
    <s v="LM"/>
    <s v="S"/>
    <x v="359"/>
    <x v="3"/>
    <x v="585"/>
    <m/>
    <x v="326"/>
    <m/>
    <x v="2"/>
    <x v="0"/>
    <x v="384"/>
    <d v="2012-01-29T00:00:00"/>
    <x v="15"/>
    <x v="0"/>
    <m/>
    <s v="FIPATEL: Reportages"/>
    <x v="0"/>
    <x v="0"/>
    <m/>
    <x v="0"/>
    <x v="1"/>
    <x v="460"/>
    <x v="2"/>
    <x v="0"/>
    <x v="0"/>
    <x v="384"/>
    <x v="3212"/>
  </r>
  <r>
    <x v="1"/>
    <n v="663"/>
    <x v="458"/>
    <x v="1"/>
    <s v="LM"/>
    <s v="S"/>
    <x v="359"/>
    <x v="3"/>
    <x v="632"/>
    <m/>
    <x v="15"/>
    <m/>
    <x v="3"/>
    <x v="0"/>
    <x v="321"/>
    <d v="2012-05-08T00:00:00"/>
    <x v="4"/>
    <x v="0"/>
    <m/>
    <m/>
    <x v="0"/>
    <x v="1"/>
    <m/>
    <x v="0"/>
    <x v="1"/>
    <x v="460"/>
    <x v="3"/>
    <x v="0"/>
    <x v="1"/>
    <x v="321"/>
    <x v="3213"/>
  </r>
  <r>
    <x v="1"/>
    <n v="663"/>
    <x v="458"/>
    <x v="1"/>
    <s v="LM"/>
    <s v="S"/>
    <x v="359"/>
    <x v="3"/>
    <x v="661"/>
    <m/>
    <x v="39"/>
    <m/>
    <x v="3"/>
    <x v="0"/>
    <x v="442"/>
    <m/>
    <x v="5"/>
    <x v="0"/>
    <m/>
    <s v="Sessão Escolas e Sessão Público"/>
    <x v="0"/>
    <x v="1"/>
    <m/>
    <x v="0"/>
    <x v="1"/>
    <x v="460"/>
    <x v="3"/>
    <x v="0"/>
    <x v="1"/>
    <x v="442"/>
    <x v="3214"/>
  </r>
  <r>
    <x v="1"/>
    <n v="663"/>
    <x v="458"/>
    <x v="1"/>
    <s v="LM"/>
    <s v="S"/>
    <x v="359"/>
    <x v="3"/>
    <x v="701"/>
    <m/>
    <x v="15"/>
    <m/>
    <x v="3"/>
    <x v="0"/>
    <x v="443"/>
    <m/>
    <x v="5"/>
    <x v="0"/>
    <m/>
    <m/>
    <x v="0"/>
    <x v="1"/>
    <m/>
    <x v="0"/>
    <x v="1"/>
    <x v="460"/>
    <x v="3"/>
    <x v="0"/>
    <x v="1"/>
    <x v="443"/>
    <x v="3215"/>
  </r>
  <r>
    <x v="1"/>
    <n v="663"/>
    <x v="458"/>
    <x v="1"/>
    <s v="LM"/>
    <s v="S"/>
    <x v="359"/>
    <x v="3"/>
    <x v="514"/>
    <m/>
    <x v="99"/>
    <m/>
    <x v="3"/>
    <x v="0"/>
    <x v="360"/>
    <d v="2012-05-13T00:00:00"/>
    <x v="6"/>
    <x v="0"/>
    <m/>
    <s v="Olhares Frontais"/>
    <x v="0"/>
    <x v="0"/>
    <m/>
    <x v="0"/>
    <x v="1"/>
    <x v="460"/>
    <x v="3"/>
    <x v="0"/>
    <x v="1"/>
    <x v="360"/>
    <x v="3216"/>
  </r>
  <r>
    <x v="1"/>
    <n v="663"/>
    <x v="458"/>
    <x v="1"/>
    <s v="LM"/>
    <s v="S"/>
    <x v="359"/>
    <x v="3"/>
    <x v="702"/>
    <m/>
    <x v="216"/>
    <m/>
    <x v="3"/>
    <x v="0"/>
    <x v="365"/>
    <m/>
    <x v="6"/>
    <x v="0"/>
    <m/>
    <m/>
    <x v="0"/>
    <x v="1"/>
    <m/>
    <x v="0"/>
    <x v="1"/>
    <x v="460"/>
    <x v="3"/>
    <x v="0"/>
    <x v="1"/>
    <x v="365"/>
    <x v="3217"/>
  </r>
  <r>
    <x v="1"/>
    <n v="663"/>
    <x v="458"/>
    <x v="1"/>
    <s v="LM"/>
    <s v="S"/>
    <x v="359"/>
    <x v="3"/>
    <x v="337"/>
    <m/>
    <x v="37"/>
    <m/>
    <x v="3"/>
    <x v="0"/>
    <x v="301"/>
    <m/>
    <x v="7"/>
    <x v="0"/>
    <m/>
    <m/>
    <x v="0"/>
    <x v="1"/>
    <m/>
    <x v="0"/>
    <x v="1"/>
    <x v="460"/>
    <x v="3"/>
    <x v="0"/>
    <x v="1"/>
    <x v="301"/>
    <x v="3218"/>
  </r>
  <r>
    <x v="1"/>
    <n v="663"/>
    <x v="458"/>
    <x v="1"/>
    <s v="LM"/>
    <s v="S"/>
    <x v="359"/>
    <x v="3"/>
    <x v="58"/>
    <m/>
    <x v="47"/>
    <m/>
    <x v="3"/>
    <x v="0"/>
    <x v="118"/>
    <d v="2012-09-09T00:00:00"/>
    <x v="9"/>
    <x v="0"/>
    <m/>
    <m/>
    <x v="0"/>
    <x v="1"/>
    <m/>
    <x v="0"/>
    <x v="1"/>
    <x v="460"/>
    <x v="3"/>
    <x v="0"/>
    <x v="1"/>
    <x v="118"/>
    <x v="3219"/>
  </r>
  <r>
    <x v="1"/>
    <n v="663"/>
    <x v="458"/>
    <x v="1"/>
    <s v="LM"/>
    <s v="S"/>
    <x v="359"/>
    <x v="3"/>
    <x v="106"/>
    <m/>
    <x v="82"/>
    <m/>
    <x v="21"/>
    <x v="0"/>
    <x v="349"/>
    <d v="2012-09-23T00:00:00"/>
    <x v="9"/>
    <x v="0"/>
    <m/>
    <s v="Janela Aberta"/>
    <x v="0"/>
    <x v="0"/>
    <m/>
    <x v="0"/>
    <x v="1"/>
    <x v="460"/>
    <x v="21"/>
    <x v="0"/>
    <x v="0"/>
    <x v="349"/>
    <x v="3220"/>
  </r>
  <r>
    <x v="1"/>
    <n v="664"/>
    <x v="459"/>
    <x v="0"/>
    <s v="CM"/>
    <s v="N"/>
    <x v="360"/>
    <x v="2"/>
    <x v="703"/>
    <m/>
    <x v="23"/>
    <m/>
    <x v="3"/>
    <x v="0"/>
    <x v="363"/>
    <m/>
    <x v="5"/>
    <x v="1"/>
    <m/>
    <m/>
    <x v="0"/>
    <x v="1"/>
    <m/>
    <x v="0"/>
    <x v="0"/>
    <x v="461"/>
    <x v="3"/>
    <x v="0"/>
    <x v="1"/>
    <x v="363"/>
    <x v="3221"/>
  </r>
  <r>
    <x v="1"/>
    <n v="665"/>
    <x v="1261"/>
    <x v="0"/>
    <s v="LM"/>
    <s v="S"/>
    <x v="847"/>
    <x v="41"/>
    <x v="209"/>
    <m/>
    <x v="72"/>
    <m/>
    <x v="15"/>
    <x v="0"/>
    <x v="444"/>
    <d v="2012-09-08T00:00:00"/>
    <x v="20"/>
    <x v="1"/>
    <s v="Venezia 69"/>
    <m/>
    <x v="0"/>
    <x v="0"/>
    <m/>
    <x v="0"/>
    <x v="5"/>
    <x v="1269"/>
    <x v="15"/>
    <x v="0"/>
    <x v="0"/>
    <x v="444"/>
    <x v="3222"/>
  </r>
  <r>
    <x v="1"/>
    <n v="665"/>
    <x v="1261"/>
    <x v="0"/>
    <s v="LM"/>
    <s v="S"/>
    <x v="847"/>
    <x v="41"/>
    <x v="185"/>
    <m/>
    <x v="136"/>
    <m/>
    <x v="7"/>
    <x v="0"/>
    <x v="286"/>
    <d v="2012-09-16T00:00:00"/>
    <x v="9"/>
    <x v="0"/>
    <m/>
    <s v="Special Presentations"/>
    <x v="0"/>
    <x v="0"/>
    <m/>
    <x v="0"/>
    <x v="5"/>
    <x v="1269"/>
    <x v="7"/>
    <x v="0"/>
    <x v="0"/>
    <x v="286"/>
    <x v="3223"/>
  </r>
  <r>
    <x v="1"/>
    <n v="665"/>
    <x v="1261"/>
    <x v="0"/>
    <s v="LM"/>
    <s v="S"/>
    <x v="847"/>
    <x v="41"/>
    <x v="186"/>
    <m/>
    <x v="137"/>
    <m/>
    <x v="1"/>
    <x v="0"/>
    <x v="380"/>
    <d v="2012-09-29T00:00:00"/>
    <x v="9"/>
    <x v="0"/>
    <m/>
    <s v="Zabaltegi Especiales"/>
    <x v="0"/>
    <x v="0"/>
    <m/>
    <x v="0"/>
    <x v="5"/>
    <x v="1269"/>
    <x v="1"/>
    <x v="0"/>
    <x v="0"/>
    <x v="380"/>
    <x v="3224"/>
  </r>
  <r>
    <x v="1"/>
    <n v="665"/>
    <x v="1261"/>
    <x v="0"/>
    <s v="LM"/>
    <s v="S"/>
    <x v="847"/>
    <x v="41"/>
    <x v="88"/>
    <m/>
    <x v="67"/>
    <m/>
    <x v="3"/>
    <x v="0"/>
    <x v="262"/>
    <d v="2012-10-13T00:00:00"/>
    <x v="14"/>
    <x v="0"/>
    <m/>
    <s v="Panorama Nacional/Internacional"/>
    <x v="0"/>
    <x v="0"/>
    <m/>
    <x v="0"/>
    <x v="5"/>
    <x v="1269"/>
    <x v="3"/>
    <x v="0"/>
    <x v="1"/>
    <x v="262"/>
    <x v="3225"/>
  </r>
  <r>
    <x v="1"/>
    <n v="665"/>
    <x v="1261"/>
    <x v="0"/>
    <s v="LM"/>
    <s v="S"/>
    <x v="847"/>
    <x v="41"/>
    <x v="241"/>
    <m/>
    <x v="58"/>
    <m/>
    <x v="17"/>
    <x v="0"/>
    <x v="338"/>
    <d v="2012-10-21T00:00:00"/>
    <x v="14"/>
    <x v="0"/>
    <m/>
    <s v="Journey"/>
    <x v="0"/>
    <x v="0"/>
    <m/>
    <x v="0"/>
    <x v="5"/>
    <x v="1269"/>
    <x v="17"/>
    <x v="0"/>
    <x v="0"/>
    <x v="338"/>
    <x v="3226"/>
  </r>
  <r>
    <x v="1"/>
    <n v="665"/>
    <x v="1261"/>
    <x v="0"/>
    <s v="LM"/>
    <s v="S"/>
    <x v="847"/>
    <x v="41"/>
    <x v="704"/>
    <m/>
    <x v="23"/>
    <m/>
    <x v="3"/>
    <x v="0"/>
    <x v="285"/>
    <d v="2012-10-19T00:00:00"/>
    <x v="14"/>
    <x v="0"/>
    <m/>
    <m/>
    <x v="0"/>
    <x v="1"/>
    <m/>
    <x v="0"/>
    <x v="5"/>
    <x v="1269"/>
    <x v="3"/>
    <x v="0"/>
    <x v="1"/>
    <x v="285"/>
    <x v="3227"/>
  </r>
  <r>
    <x v="1"/>
    <n v="665"/>
    <x v="1261"/>
    <x v="0"/>
    <s v="LM"/>
    <s v="S"/>
    <x v="847"/>
    <x v="41"/>
    <x v="179"/>
    <m/>
    <x v="133"/>
    <m/>
    <x v="0"/>
    <x v="0"/>
    <x v="233"/>
    <d v="2012-11-01T00:00:00"/>
    <x v="0"/>
    <x v="0"/>
    <m/>
    <s v="Apresentação Especial"/>
    <x v="0"/>
    <x v="0"/>
    <m/>
    <x v="0"/>
    <x v="5"/>
    <x v="1269"/>
    <x v="0"/>
    <x v="0"/>
    <x v="0"/>
    <x v="233"/>
    <x v="3228"/>
  </r>
  <r>
    <x v="1"/>
    <n v="665"/>
    <x v="1261"/>
    <x v="0"/>
    <s v="LM"/>
    <s v="S"/>
    <x v="847"/>
    <x v="41"/>
    <x v="593"/>
    <m/>
    <x v="321"/>
    <m/>
    <x v="3"/>
    <x v="0"/>
    <x v="325"/>
    <m/>
    <x v="13"/>
    <x v="0"/>
    <m/>
    <m/>
    <x v="0"/>
    <x v="1"/>
    <m/>
    <x v="0"/>
    <x v="5"/>
    <x v="1269"/>
    <x v="3"/>
    <x v="0"/>
    <x v="1"/>
    <x v="325"/>
    <x v="3229"/>
  </r>
  <r>
    <x v="1"/>
    <n v="665"/>
    <x v="1261"/>
    <x v="0"/>
    <s v="LM"/>
    <s v="S"/>
    <x v="847"/>
    <x v="41"/>
    <x v="666"/>
    <m/>
    <x v="235"/>
    <m/>
    <x v="1"/>
    <x v="0"/>
    <x v="254"/>
    <d v="2012-11-30T00:00:00"/>
    <x v="13"/>
    <x v="1"/>
    <s v="Selección Oficial"/>
    <m/>
    <x v="0"/>
    <x v="0"/>
    <m/>
    <x v="0"/>
    <x v="5"/>
    <x v="1269"/>
    <x v="1"/>
    <x v="0"/>
    <x v="0"/>
    <x v="254"/>
    <x v="3230"/>
  </r>
  <r>
    <x v="1"/>
    <n v="665"/>
    <x v="1261"/>
    <x v="0"/>
    <s v="LM"/>
    <s v="S"/>
    <x v="847"/>
    <x v="41"/>
    <x v="705"/>
    <m/>
    <x v="11"/>
    <m/>
    <x v="3"/>
    <x v="0"/>
    <x v="408"/>
    <m/>
    <x v="12"/>
    <x v="0"/>
    <m/>
    <m/>
    <x v="0"/>
    <x v="1"/>
    <m/>
    <x v="0"/>
    <x v="5"/>
    <x v="1269"/>
    <x v="3"/>
    <x v="0"/>
    <x v="1"/>
    <x v="408"/>
    <x v="3231"/>
  </r>
  <r>
    <x v="1"/>
    <n v="667"/>
    <x v="461"/>
    <x v="1"/>
    <s v="LM"/>
    <s v="S"/>
    <x v="362"/>
    <x v="1"/>
    <x v="162"/>
    <m/>
    <x v="124"/>
    <m/>
    <x v="3"/>
    <x v="0"/>
    <x v="325"/>
    <d v="2012-11-09T00:00:00"/>
    <x v="13"/>
    <x v="0"/>
    <m/>
    <m/>
    <x v="0"/>
    <x v="1"/>
    <s v="Ano Europeu do Envelhecimento Ativo e da Solidariedade entre Gerações. Programação em colaboração com a CM de Odivelas"/>
    <x v="0"/>
    <x v="1"/>
    <x v="463"/>
    <x v="3"/>
    <x v="0"/>
    <x v="1"/>
    <x v="325"/>
    <x v="3232"/>
  </r>
  <r>
    <x v="1"/>
    <n v="668"/>
    <x v="1262"/>
    <x v="1"/>
    <s v="CM"/>
    <s v=""/>
    <x v="10"/>
    <x v="2"/>
    <x v="469"/>
    <m/>
    <x v="24"/>
    <m/>
    <x v="3"/>
    <x v="0"/>
    <x v="243"/>
    <d v="2012-06-17T00:00:00"/>
    <x v="7"/>
    <x v="0"/>
    <m/>
    <m/>
    <x v="0"/>
    <x v="1"/>
    <m/>
    <x v="0"/>
    <x v="2"/>
    <x v="1270"/>
    <x v="3"/>
    <x v="0"/>
    <x v="1"/>
    <x v="243"/>
    <x v="3233"/>
  </r>
  <r>
    <x v="1"/>
    <n v="669"/>
    <x v="1263"/>
    <x v="2"/>
    <s v="CM"/>
    <s v=""/>
    <x v="33"/>
    <x v="2"/>
    <x v="316"/>
    <m/>
    <x v="11"/>
    <m/>
    <x v="3"/>
    <x v="0"/>
    <x v="199"/>
    <d v="2012-08-25T00:00:00"/>
    <x v="16"/>
    <x v="1"/>
    <s v="Animação"/>
    <m/>
    <x v="0"/>
    <x v="0"/>
    <m/>
    <x v="0"/>
    <x v="4"/>
    <x v="1271"/>
    <x v="3"/>
    <x v="0"/>
    <x v="1"/>
    <x v="199"/>
    <x v="3234"/>
  </r>
  <r>
    <x v="1"/>
    <n v="670"/>
    <x v="462"/>
    <x v="0"/>
    <s v="CM"/>
    <s v="S"/>
    <x v="363"/>
    <x v="5"/>
    <x v="706"/>
    <m/>
    <x v="361"/>
    <m/>
    <x v="15"/>
    <x v="0"/>
    <x v="248"/>
    <d v="2012-03-31T00:00:00"/>
    <x v="2"/>
    <x v="0"/>
    <m/>
    <s v="Corto metraggi . Stile Libero"/>
    <x v="0"/>
    <x v="0"/>
    <m/>
    <x v="0"/>
    <x v="0"/>
    <x v="464"/>
    <x v="15"/>
    <x v="0"/>
    <x v="0"/>
    <x v="248"/>
    <x v="3235"/>
  </r>
  <r>
    <x v="1"/>
    <n v="670"/>
    <x v="462"/>
    <x v="0"/>
    <s v="CM"/>
    <s v="S"/>
    <x v="363"/>
    <x v="5"/>
    <x v="444"/>
    <m/>
    <x v="283"/>
    <m/>
    <x v="3"/>
    <x v="0"/>
    <x v="285"/>
    <d v="2012-10-17T00:00:00"/>
    <x v="14"/>
    <x v="0"/>
    <m/>
    <m/>
    <x v="0"/>
    <x v="1"/>
    <m/>
    <x v="0"/>
    <x v="0"/>
    <x v="464"/>
    <x v="3"/>
    <x v="0"/>
    <x v="1"/>
    <x v="285"/>
    <x v="3236"/>
  </r>
  <r>
    <x v="1"/>
    <n v="672"/>
    <x v="1264"/>
    <x v="4"/>
    <s v="CM"/>
    <s v="N"/>
    <x v="848"/>
    <x v="2"/>
    <x v="424"/>
    <m/>
    <x v="24"/>
    <m/>
    <x v="3"/>
    <x v="0"/>
    <x v="255"/>
    <d v="2012-06-17T00:00:00"/>
    <x v="7"/>
    <x v="1"/>
    <s v="Curta Metragem"/>
    <m/>
    <x v="0"/>
    <x v="0"/>
    <m/>
    <x v="0"/>
    <x v="8"/>
    <x v="1272"/>
    <x v="3"/>
    <x v="0"/>
    <x v="1"/>
    <x v="255"/>
    <x v="3237"/>
  </r>
  <r>
    <x v="1"/>
    <n v="673"/>
    <x v="1265"/>
    <x v="2"/>
    <s v="CM"/>
    <s v="N"/>
    <x v="849"/>
    <x v="2"/>
    <x v="457"/>
    <m/>
    <x v="285"/>
    <m/>
    <x v="3"/>
    <x v="0"/>
    <x v="301"/>
    <d v="2012-06-16T00:00:00"/>
    <x v="7"/>
    <x v="1"/>
    <s v="Curtas-metragens"/>
    <m/>
    <x v="0"/>
    <x v="0"/>
    <m/>
    <x v="0"/>
    <x v="4"/>
    <x v="1273"/>
    <x v="3"/>
    <x v="0"/>
    <x v="1"/>
    <x v="301"/>
    <x v="3238"/>
  </r>
  <r>
    <x v="1"/>
    <n v="675"/>
    <x v="1266"/>
    <x v="1"/>
    <s v="LM"/>
    <s v="N"/>
    <x v="850"/>
    <x v="3"/>
    <x v="475"/>
    <m/>
    <x v="23"/>
    <m/>
    <x v="3"/>
    <x v="0"/>
    <x v="269"/>
    <d v="2012-03-13T00:00:00"/>
    <x v="2"/>
    <x v="0"/>
    <m/>
    <m/>
    <x v="0"/>
    <x v="1"/>
    <m/>
    <x v="0"/>
    <x v="1"/>
    <x v="1274"/>
    <x v="3"/>
    <x v="0"/>
    <x v="1"/>
    <x v="269"/>
    <x v="3239"/>
  </r>
  <r>
    <x v="1"/>
    <n v="675"/>
    <x v="1266"/>
    <x v="1"/>
    <s v="LM"/>
    <s v="N"/>
    <x v="850"/>
    <x v="3"/>
    <x v="514"/>
    <m/>
    <x v="99"/>
    <m/>
    <x v="3"/>
    <x v="0"/>
    <x v="360"/>
    <d v="2012-05-13T00:00:00"/>
    <x v="6"/>
    <x v="1"/>
    <s v="Prémio Primeiro Olhar"/>
    <m/>
    <x v="0"/>
    <x v="0"/>
    <m/>
    <x v="0"/>
    <x v="1"/>
    <x v="1274"/>
    <x v="3"/>
    <x v="0"/>
    <x v="1"/>
    <x v="360"/>
    <x v="3240"/>
  </r>
  <r>
    <x v="1"/>
    <n v="675"/>
    <x v="1266"/>
    <x v="1"/>
    <s v="LM"/>
    <s v="N"/>
    <x v="850"/>
    <x v="3"/>
    <x v="543"/>
    <m/>
    <x v="15"/>
    <m/>
    <x v="3"/>
    <x v="0"/>
    <x v="369"/>
    <d v="2012-12-18T00:00:00"/>
    <x v="11"/>
    <x v="0"/>
    <m/>
    <m/>
    <x v="0"/>
    <x v="1"/>
    <m/>
    <x v="0"/>
    <x v="1"/>
    <x v="1274"/>
    <x v="3"/>
    <x v="0"/>
    <x v="1"/>
    <x v="369"/>
    <x v="3241"/>
  </r>
  <r>
    <x v="1"/>
    <n v="1301"/>
    <x v="1267"/>
    <x v="0"/>
    <s v="CM"/>
    <s v="N"/>
    <x v="851"/>
    <x v="2"/>
    <x v="445"/>
    <m/>
    <x v="284"/>
    <m/>
    <x v="3"/>
    <x v="0"/>
    <x v="286"/>
    <d v="2012-09-08T00:00:00"/>
    <x v="9"/>
    <x v="1"/>
    <m/>
    <m/>
    <x v="0"/>
    <x v="0"/>
    <m/>
    <x v="0"/>
    <x v="0"/>
    <x v="1275"/>
    <x v="3"/>
    <x v="0"/>
    <x v="1"/>
    <x v="286"/>
    <x v="3242"/>
  </r>
  <r>
    <x v="1"/>
    <n v="676"/>
    <x v="1268"/>
    <x v="0"/>
    <s v="CM"/>
    <s v="N"/>
    <x v="852"/>
    <x v="2"/>
    <x v="62"/>
    <m/>
    <x v="23"/>
    <m/>
    <x v="3"/>
    <x v="0"/>
    <x v="302"/>
    <d v="2012-03-04T00:00:00"/>
    <x v="19"/>
    <x v="1"/>
    <s v="Prémio de Cinema Português - Melhor Filme"/>
    <m/>
    <x v="0"/>
    <x v="0"/>
    <m/>
    <x v="0"/>
    <x v="0"/>
    <x v="1276"/>
    <x v="3"/>
    <x v="0"/>
    <x v="1"/>
    <x v="302"/>
    <x v="3243"/>
  </r>
  <r>
    <x v="1"/>
    <n v="679"/>
    <x v="1269"/>
    <x v="3"/>
    <s v="CM"/>
    <s v="N"/>
    <x v="237"/>
    <x v="2"/>
    <x v="62"/>
    <m/>
    <x v="23"/>
    <m/>
    <x v="3"/>
    <x v="0"/>
    <x v="302"/>
    <d v="2012-03-04T00:00:00"/>
    <x v="19"/>
    <x v="1"/>
    <s v="Prémio de Cinema Português - Escolas de Cinema"/>
    <m/>
    <x v="0"/>
    <x v="0"/>
    <m/>
    <x v="0"/>
    <x v="6"/>
    <x v="1277"/>
    <x v="3"/>
    <x v="0"/>
    <x v="1"/>
    <x v="302"/>
    <x v="3244"/>
  </r>
  <r>
    <x v="1"/>
    <n v="683"/>
    <x v="1270"/>
    <x v="4"/>
    <s v="CM"/>
    <s v="N"/>
    <x v="853"/>
    <x v="2"/>
    <x v="637"/>
    <m/>
    <x v="24"/>
    <m/>
    <x v="3"/>
    <x v="0"/>
    <x v="237"/>
    <m/>
    <x v="7"/>
    <x v="1"/>
    <m/>
    <m/>
    <x v="0"/>
    <x v="1"/>
    <m/>
    <x v="0"/>
    <x v="8"/>
    <x v="1278"/>
    <x v="3"/>
    <x v="0"/>
    <x v="1"/>
    <x v="237"/>
    <x v="3245"/>
  </r>
  <r>
    <x v="1"/>
    <n v="685"/>
    <x v="469"/>
    <x v="3"/>
    <s v="CM"/>
    <s v="N"/>
    <x v="368"/>
    <x v="2"/>
    <x v="591"/>
    <m/>
    <x v="23"/>
    <m/>
    <x v="3"/>
    <x v="0"/>
    <x v="297"/>
    <m/>
    <x v="14"/>
    <x v="0"/>
    <m/>
    <s v="Curta Shortcutz Network"/>
    <x v="0"/>
    <x v="1"/>
    <m/>
    <x v="0"/>
    <x v="6"/>
    <x v="471"/>
    <x v="3"/>
    <x v="0"/>
    <x v="1"/>
    <x v="297"/>
    <x v="3246"/>
  </r>
  <r>
    <x v="1"/>
    <n v="686"/>
    <x v="1271"/>
    <x v="1"/>
    <s v="CM"/>
    <s v="N"/>
    <x v="352"/>
    <x v="3"/>
    <x v="514"/>
    <m/>
    <x v="99"/>
    <m/>
    <x v="3"/>
    <x v="0"/>
    <x v="360"/>
    <d v="2012-05-13T00:00:00"/>
    <x v="6"/>
    <x v="1"/>
    <s v="Prémio Primeiro Olhar"/>
    <m/>
    <x v="320"/>
    <x v="0"/>
    <m/>
    <x v="1"/>
    <x v="2"/>
    <x v="1279"/>
    <x v="3"/>
    <x v="386"/>
    <x v="1"/>
    <x v="360"/>
    <x v="3247"/>
  </r>
  <r>
    <x v="1"/>
    <n v="686"/>
    <x v="1271"/>
    <x v="1"/>
    <s v="CM"/>
    <s v="N"/>
    <x v="352"/>
    <x v="3"/>
    <x v="25"/>
    <m/>
    <x v="24"/>
    <m/>
    <x v="3"/>
    <x v="0"/>
    <x v="294"/>
    <d v="2012-10-28T00:00:00"/>
    <x v="14"/>
    <x v="0"/>
    <m/>
    <s v="Verdes Anos"/>
    <x v="0"/>
    <x v="0"/>
    <m/>
    <x v="0"/>
    <x v="2"/>
    <x v="1279"/>
    <x v="3"/>
    <x v="0"/>
    <x v="1"/>
    <x v="294"/>
    <x v="3248"/>
  </r>
  <r>
    <x v="1"/>
    <n v="686"/>
    <x v="1271"/>
    <x v="1"/>
    <s v="CM"/>
    <s v="N"/>
    <x v="352"/>
    <x v="3"/>
    <x v="22"/>
    <m/>
    <x v="22"/>
    <m/>
    <x v="3"/>
    <x v="0"/>
    <x v="251"/>
    <d v="2012-11-18T00:00:00"/>
    <x v="13"/>
    <x v="1"/>
    <s v="Ensaios Visuais"/>
    <m/>
    <x v="0"/>
    <x v="0"/>
    <m/>
    <x v="0"/>
    <x v="2"/>
    <x v="1279"/>
    <x v="3"/>
    <x v="0"/>
    <x v="1"/>
    <x v="251"/>
    <x v="3249"/>
  </r>
  <r>
    <x v="1"/>
    <n v="1533"/>
    <x v="1272"/>
    <x v="0"/>
    <s v="CM"/>
    <s v="N"/>
    <x v="854"/>
    <x v="41"/>
    <x v="133"/>
    <m/>
    <x v="101"/>
    <m/>
    <x v="3"/>
    <x v="0"/>
    <x v="331"/>
    <d v="2012-12-09T00:00:00"/>
    <x v="12"/>
    <x v="1"/>
    <s v="Curtas Metragens"/>
    <m/>
    <x v="321"/>
    <x v="0"/>
    <m/>
    <x v="1"/>
    <x v="0"/>
    <x v="1280"/>
    <x v="3"/>
    <x v="387"/>
    <x v="1"/>
    <x v="331"/>
    <x v="3250"/>
  </r>
  <r>
    <x v="1"/>
    <n v="689"/>
    <x v="1273"/>
    <x v="0"/>
    <s v="CM"/>
    <s v="S"/>
    <x v="293"/>
    <x v="3"/>
    <x v="146"/>
    <m/>
    <x v="24"/>
    <m/>
    <x v="3"/>
    <x v="0"/>
    <x v="281"/>
    <d v="2012-05-06T00:00:00"/>
    <x v="4"/>
    <x v="1"/>
    <s v="Competição Nacional Curtas 4"/>
    <s v="Cinema Emergente Curtas 1"/>
    <x v="322"/>
    <x v="0"/>
    <m/>
    <x v="1"/>
    <x v="0"/>
    <x v="1281"/>
    <x v="3"/>
    <x v="388"/>
    <x v="1"/>
    <x v="281"/>
    <x v="3251"/>
  </r>
  <r>
    <x v="1"/>
    <n v="689"/>
    <x v="1273"/>
    <x v="0"/>
    <s v="CM"/>
    <s v="S"/>
    <x v="293"/>
    <x v="3"/>
    <x v="68"/>
    <m/>
    <x v="53"/>
    <m/>
    <x v="3"/>
    <x v="0"/>
    <x v="253"/>
    <d v="2012-07-15T00:00:00"/>
    <x v="8"/>
    <x v="0"/>
    <m/>
    <s v="Panorama Nacional"/>
    <x v="0"/>
    <x v="0"/>
    <m/>
    <x v="0"/>
    <x v="0"/>
    <x v="1281"/>
    <x v="3"/>
    <x v="0"/>
    <x v="1"/>
    <x v="253"/>
    <x v="3252"/>
  </r>
  <r>
    <x v="1"/>
    <n v="689"/>
    <x v="1273"/>
    <x v="0"/>
    <s v="CM"/>
    <s v="S"/>
    <x v="293"/>
    <x v="3"/>
    <x v="385"/>
    <m/>
    <x v="17"/>
    <m/>
    <x v="2"/>
    <x v="0"/>
    <x v="445"/>
    <d v="2012-09-09T00:00:00"/>
    <x v="9"/>
    <x v="1"/>
    <s v="Compétition Internationale #5"/>
    <m/>
    <x v="0"/>
    <x v="0"/>
    <m/>
    <x v="0"/>
    <x v="0"/>
    <x v="1281"/>
    <x v="2"/>
    <x v="0"/>
    <x v="0"/>
    <x v="445"/>
    <x v="3253"/>
  </r>
  <r>
    <x v="1"/>
    <n v="689"/>
    <x v="1273"/>
    <x v="0"/>
    <s v="CM"/>
    <s v="S"/>
    <x v="293"/>
    <x v="3"/>
    <x v="538"/>
    <m/>
    <x v="315"/>
    <m/>
    <x v="3"/>
    <x v="0"/>
    <x v="338"/>
    <m/>
    <x v="14"/>
    <x v="0"/>
    <m/>
    <m/>
    <x v="0"/>
    <x v="1"/>
    <m/>
    <x v="0"/>
    <x v="0"/>
    <x v="1281"/>
    <x v="3"/>
    <x v="0"/>
    <x v="1"/>
    <x v="338"/>
    <x v="3254"/>
  </r>
  <r>
    <x v="1"/>
    <n v="689"/>
    <x v="1273"/>
    <x v="0"/>
    <s v="CM"/>
    <s v="S"/>
    <x v="293"/>
    <x v="3"/>
    <x v="161"/>
    <m/>
    <x v="35"/>
    <m/>
    <x v="2"/>
    <x v="0"/>
    <x v="252"/>
    <d v="2012-11-03T00:00:00"/>
    <x v="0"/>
    <x v="0"/>
    <m/>
    <s v="Courts métrages panorama"/>
    <x v="0"/>
    <x v="0"/>
    <m/>
    <x v="0"/>
    <x v="0"/>
    <x v="1281"/>
    <x v="2"/>
    <x v="0"/>
    <x v="0"/>
    <x v="252"/>
    <x v="3255"/>
  </r>
  <r>
    <x v="1"/>
    <n v="689"/>
    <x v="1273"/>
    <x v="0"/>
    <s v="CM"/>
    <s v="S"/>
    <x v="293"/>
    <x v="3"/>
    <x v="22"/>
    <m/>
    <x v="22"/>
    <m/>
    <x v="3"/>
    <x v="0"/>
    <x v="251"/>
    <d v="2012-11-18T00:00:00"/>
    <x v="13"/>
    <x v="1"/>
    <s v="Secção Competitiva"/>
    <m/>
    <x v="0"/>
    <x v="0"/>
    <m/>
    <x v="0"/>
    <x v="0"/>
    <x v="1281"/>
    <x v="3"/>
    <x v="0"/>
    <x v="1"/>
    <x v="251"/>
    <x v="3256"/>
  </r>
  <r>
    <x v="1"/>
    <n v="689"/>
    <x v="1273"/>
    <x v="0"/>
    <s v="CM"/>
    <s v="S"/>
    <x v="293"/>
    <x v="3"/>
    <x v="448"/>
    <m/>
    <x v="59"/>
    <m/>
    <x v="3"/>
    <x v="0"/>
    <x v="289"/>
    <d v="2012-12-02T00:00:00"/>
    <x v="11"/>
    <x v="1"/>
    <s v="Competição Nacional"/>
    <m/>
    <x v="0"/>
    <x v="0"/>
    <m/>
    <x v="0"/>
    <x v="0"/>
    <x v="1281"/>
    <x v="3"/>
    <x v="0"/>
    <x v="1"/>
    <x v="289"/>
    <x v="3257"/>
  </r>
  <r>
    <x v="1"/>
    <n v="689"/>
    <x v="1273"/>
    <x v="0"/>
    <s v="CM"/>
    <s v="S"/>
    <x v="293"/>
    <x v="3"/>
    <x v="133"/>
    <m/>
    <x v="101"/>
    <m/>
    <x v="3"/>
    <x v="0"/>
    <x v="331"/>
    <d v="2012-12-09T00:00:00"/>
    <x v="12"/>
    <x v="1"/>
    <s v="Curtas Metragens"/>
    <m/>
    <x v="0"/>
    <x v="0"/>
    <m/>
    <x v="0"/>
    <x v="0"/>
    <x v="1281"/>
    <x v="3"/>
    <x v="0"/>
    <x v="1"/>
    <x v="331"/>
    <x v="3258"/>
  </r>
  <r>
    <x v="1"/>
    <n v="690"/>
    <x v="472"/>
    <x v="1"/>
    <s v="LM"/>
    <s v="S"/>
    <x v="370"/>
    <x v="5"/>
    <x v="707"/>
    <m/>
    <x v="22"/>
    <m/>
    <x v="3"/>
    <x v="0"/>
    <x v="259"/>
    <d v="2012-03-28T00:00:00"/>
    <x v="2"/>
    <x v="0"/>
    <m/>
    <m/>
    <x v="0"/>
    <x v="1"/>
    <m/>
    <x v="0"/>
    <x v="1"/>
    <x v="474"/>
    <x v="3"/>
    <x v="0"/>
    <x v="1"/>
    <x v="259"/>
    <x v="3259"/>
  </r>
  <r>
    <x v="1"/>
    <n v="690"/>
    <x v="472"/>
    <x v="1"/>
    <s v="LM"/>
    <s v="S"/>
    <x v="370"/>
    <x v="5"/>
    <x v="269"/>
    <m/>
    <x v="188"/>
    <m/>
    <x v="55"/>
    <x v="0"/>
    <x v="287"/>
    <d v="2012-04-08T00:00:00"/>
    <x v="3"/>
    <x v="2"/>
    <m/>
    <s v="Panorama Largometrajes Internacionales"/>
    <x v="0"/>
    <x v="0"/>
    <m/>
    <x v="0"/>
    <x v="1"/>
    <x v="474"/>
    <x v="55"/>
    <x v="0"/>
    <x v="0"/>
    <x v="287"/>
    <x v="3260"/>
  </r>
  <r>
    <x v="1"/>
    <n v="690"/>
    <x v="472"/>
    <x v="1"/>
    <s v="LM"/>
    <s v="S"/>
    <x v="370"/>
    <x v="5"/>
    <x v="514"/>
    <m/>
    <x v="99"/>
    <m/>
    <x v="3"/>
    <x v="0"/>
    <x v="360"/>
    <d v="2012-05-13T00:00:00"/>
    <x v="6"/>
    <x v="2"/>
    <m/>
    <s v="Olhares Frontais"/>
    <x v="0"/>
    <x v="0"/>
    <m/>
    <x v="0"/>
    <x v="1"/>
    <x v="474"/>
    <x v="3"/>
    <x v="0"/>
    <x v="1"/>
    <x v="360"/>
    <x v="3261"/>
  </r>
  <r>
    <x v="1"/>
    <n v="690"/>
    <x v="472"/>
    <x v="1"/>
    <s v="LM"/>
    <s v="S"/>
    <x v="370"/>
    <x v="5"/>
    <x v="42"/>
    <m/>
    <x v="39"/>
    <m/>
    <x v="3"/>
    <x v="0"/>
    <x v="435"/>
    <m/>
    <x v="7"/>
    <x v="0"/>
    <m/>
    <m/>
    <x v="0"/>
    <x v="1"/>
    <m/>
    <x v="0"/>
    <x v="1"/>
    <x v="474"/>
    <x v="3"/>
    <x v="0"/>
    <x v="1"/>
    <x v="435"/>
    <x v="3262"/>
  </r>
  <r>
    <x v="1"/>
    <n v="692"/>
    <x v="474"/>
    <x v="0"/>
    <s v="CM"/>
    <s v="N"/>
    <x v="372"/>
    <x v="2"/>
    <x v="412"/>
    <m/>
    <x v="269"/>
    <m/>
    <x v="3"/>
    <x v="0"/>
    <x v="242"/>
    <m/>
    <x v="7"/>
    <x v="1"/>
    <m/>
    <m/>
    <x v="323"/>
    <x v="0"/>
    <m/>
    <x v="1"/>
    <x v="0"/>
    <x v="476"/>
    <x v="3"/>
    <x v="389"/>
    <x v="1"/>
    <x v="242"/>
    <x v="3263"/>
  </r>
  <r>
    <x v="1"/>
    <n v="1368"/>
    <x v="1274"/>
    <x v="0"/>
    <s v="LM"/>
    <s v="N"/>
    <x v="855"/>
    <x v="2"/>
    <x v="676"/>
    <m/>
    <x v="351"/>
    <m/>
    <x v="1"/>
    <x v="0"/>
    <x v="240"/>
    <d v="2012-10-20T00:00:00"/>
    <x v="14"/>
    <x v="0"/>
    <m/>
    <s v="Retrospectivas: Cine y Urbe"/>
    <x v="0"/>
    <x v="0"/>
    <m/>
    <x v="0"/>
    <x v="5"/>
    <x v="1282"/>
    <x v="1"/>
    <x v="0"/>
    <x v="0"/>
    <x v="240"/>
    <x v="3264"/>
  </r>
  <r>
    <x v="1"/>
    <n v="1585"/>
    <x v="1275"/>
    <x v="0"/>
    <s v="CM"/>
    <s v="N"/>
    <x v="856"/>
    <x v="41"/>
    <x v="22"/>
    <m/>
    <x v="22"/>
    <m/>
    <x v="3"/>
    <x v="0"/>
    <x v="251"/>
    <d v="2012-11-18T00:00:00"/>
    <x v="13"/>
    <x v="1"/>
    <s v="Ensaios Visuais"/>
    <m/>
    <x v="0"/>
    <x v="0"/>
    <m/>
    <x v="0"/>
    <x v="0"/>
    <x v="1283"/>
    <x v="3"/>
    <x v="0"/>
    <x v="1"/>
    <x v="251"/>
    <x v="3265"/>
  </r>
  <r>
    <x v="1"/>
    <n v="696"/>
    <x v="1276"/>
    <x v="0"/>
    <s v="CM"/>
    <s v=""/>
    <x v="289"/>
    <x v="15"/>
    <x v="417"/>
    <m/>
    <x v="24"/>
    <m/>
    <x v="3"/>
    <x v="0"/>
    <x v="247"/>
    <m/>
    <x v="1"/>
    <x v="0"/>
    <m/>
    <s v="Curta Convidada"/>
    <x v="0"/>
    <x v="1"/>
    <m/>
    <x v="0"/>
    <x v="0"/>
    <x v="1284"/>
    <x v="3"/>
    <x v="0"/>
    <x v="1"/>
    <x v="247"/>
    <x v="3266"/>
  </r>
  <r>
    <x v="1"/>
    <n v="699"/>
    <x v="480"/>
    <x v="4"/>
    <s v="CM"/>
    <s v="N"/>
    <x v="376"/>
    <x v="2"/>
    <x v="62"/>
    <m/>
    <x v="23"/>
    <m/>
    <x v="3"/>
    <x v="0"/>
    <x v="302"/>
    <d v="2012-03-04T00:00:00"/>
    <x v="19"/>
    <x v="1"/>
    <s v="Prémio de Cinema Português - Escolas de Cinema"/>
    <m/>
    <x v="0"/>
    <x v="0"/>
    <s v="Restart"/>
    <x v="0"/>
    <x v="8"/>
    <x v="482"/>
    <x v="3"/>
    <x v="0"/>
    <x v="1"/>
    <x v="302"/>
    <x v="3267"/>
  </r>
  <r>
    <x v="1"/>
    <n v="700"/>
    <x v="1277"/>
    <x v="1"/>
    <s v="CM"/>
    <s v="S"/>
    <x v="288"/>
    <x v="2"/>
    <x v="162"/>
    <m/>
    <x v="124"/>
    <m/>
    <x v="3"/>
    <x v="0"/>
    <x v="446"/>
    <m/>
    <x v="6"/>
    <x v="0"/>
    <m/>
    <m/>
    <x v="0"/>
    <x v="1"/>
    <m/>
    <x v="0"/>
    <x v="2"/>
    <x v="1285"/>
    <x v="3"/>
    <x v="0"/>
    <x v="1"/>
    <x v="446"/>
    <x v="3268"/>
  </r>
  <r>
    <x v="1"/>
    <n v="1352"/>
    <x v="1278"/>
    <x v="1"/>
    <s v="CM"/>
    <s v="N"/>
    <x v="857"/>
    <x v="2"/>
    <x v="42"/>
    <m/>
    <x v="39"/>
    <m/>
    <x v="3"/>
    <x v="0"/>
    <x v="447"/>
    <m/>
    <x v="8"/>
    <x v="0"/>
    <m/>
    <m/>
    <x v="0"/>
    <x v="1"/>
    <m/>
    <x v="0"/>
    <x v="2"/>
    <x v="1286"/>
    <x v="3"/>
    <x v="0"/>
    <x v="1"/>
    <x v="447"/>
    <x v="3269"/>
  </r>
  <r>
    <x v="1"/>
    <n v="701"/>
    <x v="481"/>
    <x v="0"/>
    <s v="LM"/>
    <s v="S"/>
    <x v="289"/>
    <x v="2"/>
    <x v="522"/>
    <m/>
    <x v="165"/>
    <m/>
    <x v="4"/>
    <x v="0"/>
    <x v="363"/>
    <d v="2012-04-22T00:00:00"/>
    <x v="5"/>
    <x v="0"/>
    <m/>
    <s v="João Canijo"/>
    <x v="0"/>
    <x v="0"/>
    <m/>
    <x v="0"/>
    <x v="5"/>
    <x v="483"/>
    <x v="4"/>
    <x v="0"/>
    <x v="0"/>
    <x v="363"/>
    <x v="3270"/>
  </r>
  <r>
    <x v="1"/>
    <n v="701"/>
    <x v="481"/>
    <x v="0"/>
    <s v="LM"/>
    <s v="S"/>
    <x v="289"/>
    <x v="2"/>
    <x v="441"/>
    <m/>
    <x v="282"/>
    <m/>
    <x v="2"/>
    <x v="0"/>
    <x v="280"/>
    <d v="2012-07-08T00:00:00"/>
    <x v="17"/>
    <x v="0"/>
    <m/>
    <s v="Hommages: João Canijo"/>
    <x v="0"/>
    <x v="0"/>
    <m/>
    <x v="0"/>
    <x v="5"/>
    <x v="483"/>
    <x v="2"/>
    <x v="0"/>
    <x v="0"/>
    <x v="280"/>
    <x v="3271"/>
  </r>
  <r>
    <x v="1"/>
    <n v="1431"/>
    <x v="1279"/>
    <x v="1"/>
    <s v="CM"/>
    <s v="N"/>
    <x v="858"/>
    <x v="41"/>
    <x v="25"/>
    <m/>
    <x v="24"/>
    <m/>
    <x v="3"/>
    <x v="0"/>
    <x v="294"/>
    <d v="2012-10-28T00:00:00"/>
    <x v="14"/>
    <x v="0"/>
    <m/>
    <s v="Verdes Anos"/>
    <x v="0"/>
    <x v="0"/>
    <m/>
    <x v="0"/>
    <x v="2"/>
    <x v="1287"/>
    <x v="3"/>
    <x v="0"/>
    <x v="1"/>
    <x v="294"/>
    <x v="3272"/>
  </r>
  <r>
    <x v="1"/>
    <n v="1386"/>
    <x v="1280"/>
    <x v="1"/>
    <s v="CM"/>
    <s v="N"/>
    <x v="859"/>
    <x v="41"/>
    <x v="88"/>
    <m/>
    <x v="67"/>
    <m/>
    <x v="3"/>
    <x v="0"/>
    <x v="262"/>
    <d v="2012-10-13T00:00:00"/>
    <x v="14"/>
    <x v="1"/>
    <s v="Competição Lusófona - Panorama Regional"/>
    <m/>
    <x v="0"/>
    <x v="0"/>
    <m/>
    <x v="0"/>
    <x v="2"/>
    <x v="1288"/>
    <x v="3"/>
    <x v="0"/>
    <x v="1"/>
    <x v="262"/>
    <x v="3273"/>
  </r>
  <r>
    <x v="1"/>
    <n v="702"/>
    <x v="1281"/>
    <x v="0"/>
    <s v="CM"/>
    <s v="S"/>
    <x v="401"/>
    <x v="3"/>
    <x v="708"/>
    <m/>
    <x v="135"/>
    <m/>
    <x v="2"/>
    <x v="0"/>
    <x v="448"/>
    <d v="2012-05-25T00:00:00"/>
    <x v="6"/>
    <x v="0"/>
    <m/>
    <s v="Clôture"/>
    <x v="0"/>
    <x v="0"/>
    <m/>
    <x v="0"/>
    <x v="0"/>
    <x v="1289"/>
    <x v="2"/>
    <x v="0"/>
    <x v="0"/>
    <x v="448"/>
    <x v="3274"/>
  </r>
  <r>
    <x v="1"/>
    <n v="702"/>
    <x v="1281"/>
    <x v="0"/>
    <s v="CM"/>
    <s v="S"/>
    <x v="401"/>
    <x v="3"/>
    <x v="68"/>
    <m/>
    <x v="53"/>
    <m/>
    <x v="3"/>
    <x v="0"/>
    <x v="253"/>
    <d v="2012-07-15T00:00:00"/>
    <x v="8"/>
    <x v="1"/>
    <s v="Competição Nacional"/>
    <m/>
    <x v="324"/>
    <x v="0"/>
    <m/>
    <x v="1"/>
    <x v="0"/>
    <x v="1289"/>
    <x v="3"/>
    <x v="390"/>
    <x v="1"/>
    <x v="253"/>
    <x v="3275"/>
  </r>
  <r>
    <x v="1"/>
    <n v="702"/>
    <x v="1281"/>
    <x v="0"/>
    <s v="CM"/>
    <s v="S"/>
    <x v="401"/>
    <x v="3"/>
    <x v="148"/>
    <m/>
    <x v="113"/>
    <m/>
    <x v="7"/>
    <x v="0"/>
    <x v="257"/>
    <d v="2012-10-12T00:00:00"/>
    <x v="10"/>
    <x v="0"/>
    <m/>
    <s v="Cinema of Our Time"/>
    <x v="0"/>
    <x v="0"/>
    <m/>
    <x v="0"/>
    <x v="0"/>
    <x v="1289"/>
    <x v="7"/>
    <x v="0"/>
    <x v="0"/>
    <x v="257"/>
    <x v="3276"/>
  </r>
  <r>
    <x v="1"/>
    <n v="702"/>
    <x v="1281"/>
    <x v="0"/>
    <s v="CM"/>
    <s v="S"/>
    <x v="401"/>
    <x v="3"/>
    <x v="709"/>
    <m/>
    <x v="65"/>
    <m/>
    <x v="9"/>
    <x v="0"/>
    <x v="303"/>
    <d v="2012-10-14T00:00:00"/>
    <x v="10"/>
    <x v="0"/>
    <m/>
    <s v="Views from the Avant-Garde: Invisible Attributes - By Sky and on Foot"/>
    <x v="0"/>
    <x v="0"/>
    <m/>
    <x v="0"/>
    <x v="0"/>
    <x v="1289"/>
    <x v="9"/>
    <x v="0"/>
    <x v="0"/>
    <x v="303"/>
    <x v="3277"/>
  </r>
  <r>
    <x v="1"/>
    <n v="702"/>
    <x v="1281"/>
    <x v="0"/>
    <s v="CM"/>
    <s v="S"/>
    <x v="401"/>
    <x v="3"/>
    <x v="491"/>
    <m/>
    <x v="299"/>
    <m/>
    <x v="61"/>
    <x v="0"/>
    <x v="336"/>
    <d v="2012-10-07T00:00:00"/>
    <x v="14"/>
    <x v="0"/>
    <m/>
    <s v="Muestras: Nuevos Caminos"/>
    <x v="0"/>
    <x v="0"/>
    <m/>
    <x v="0"/>
    <x v="0"/>
    <x v="1289"/>
    <x v="61"/>
    <x v="0"/>
    <x v="0"/>
    <x v="336"/>
    <x v="3278"/>
  </r>
  <r>
    <x v="1"/>
    <n v="702"/>
    <x v="1281"/>
    <x v="0"/>
    <s v="CM"/>
    <s v="S"/>
    <x v="401"/>
    <x v="3"/>
    <x v="341"/>
    <m/>
    <x v="231"/>
    <m/>
    <x v="58"/>
    <x v="0"/>
    <x v="378"/>
    <d v="2012-10-20T00:00:00"/>
    <x v="14"/>
    <x v="0"/>
    <m/>
    <s v="EFA Nominated European Shorts "/>
    <x v="0"/>
    <x v="0"/>
    <m/>
    <x v="0"/>
    <x v="0"/>
    <x v="1289"/>
    <x v="58"/>
    <x v="0"/>
    <x v="0"/>
    <x v="378"/>
    <x v="3279"/>
  </r>
  <r>
    <x v="1"/>
    <n v="702"/>
    <x v="1281"/>
    <x v="0"/>
    <s v="CM"/>
    <s v="S"/>
    <x v="401"/>
    <x v="3"/>
    <x v="25"/>
    <m/>
    <x v="24"/>
    <m/>
    <x v="3"/>
    <x v="0"/>
    <x v="294"/>
    <d v="2012-10-28T00:00:00"/>
    <x v="14"/>
    <x v="0"/>
    <m/>
    <s v="Riscos (em memória de Chris Marker, Marcel Hanoun e Stephen Dowskin)"/>
    <x v="0"/>
    <x v="0"/>
    <m/>
    <x v="0"/>
    <x v="0"/>
    <x v="1289"/>
    <x v="3"/>
    <x v="0"/>
    <x v="1"/>
    <x v="294"/>
    <x v="3280"/>
  </r>
  <r>
    <x v="1"/>
    <n v="702"/>
    <x v="1281"/>
    <x v="0"/>
    <s v="CM"/>
    <s v="S"/>
    <x v="401"/>
    <x v="3"/>
    <x v="149"/>
    <m/>
    <x v="114"/>
    <m/>
    <x v="35"/>
    <x v="0"/>
    <x v="339"/>
    <d v="2012-11-07T00:00:00"/>
    <x v="0"/>
    <x v="0"/>
    <m/>
    <s v="Short Film Program2"/>
    <x v="0"/>
    <x v="0"/>
    <m/>
    <x v="0"/>
    <x v="0"/>
    <x v="1289"/>
    <x v="35"/>
    <x v="0"/>
    <x v="0"/>
    <x v="339"/>
    <x v="3281"/>
  </r>
  <r>
    <x v="1"/>
    <n v="702"/>
    <x v="1281"/>
    <x v="0"/>
    <s v="CM"/>
    <s v="S"/>
    <x v="401"/>
    <x v="3"/>
    <x v="80"/>
    <m/>
    <x v="60"/>
    <m/>
    <x v="3"/>
    <x v="0"/>
    <x v="251"/>
    <d v="2012-11-18T00:00:00"/>
    <x v="13"/>
    <x v="0"/>
    <m/>
    <s v="Homenagens: João Pedro Rodrigues e João Rui Guerra da Mata"/>
    <x v="0"/>
    <x v="0"/>
    <m/>
    <x v="0"/>
    <x v="0"/>
    <x v="1289"/>
    <x v="3"/>
    <x v="0"/>
    <x v="1"/>
    <x v="251"/>
    <x v="3282"/>
  </r>
  <r>
    <x v="1"/>
    <n v="702"/>
    <x v="1281"/>
    <x v="0"/>
    <s v="CM"/>
    <s v="S"/>
    <x v="401"/>
    <x v="3"/>
    <x v="710"/>
    <m/>
    <x v="253"/>
    <m/>
    <x v="0"/>
    <x v="0"/>
    <x v="251"/>
    <d v="2012-11-18T00:00:00"/>
    <x v="13"/>
    <x v="1"/>
    <s v="Competição Internacional 3 - Somos Todos Criaturas de Deus"/>
    <m/>
    <x v="325"/>
    <x v="0"/>
    <m/>
    <x v="1"/>
    <x v="0"/>
    <x v="1289"/>
    <x v="0"/>
    <x v="391"/>
    <x v="0"/>
    <x v="251"/>
    <x v="3283"/>
  </r>
  <r>
    <x v="1"/>
    <n v="702"/>
    <x v="1281"/>
    <x v="0"/>
    <s v="CM"/>
    <s v="S"/>
    <x v="401"/>
    <x v="3"/>
    <x v="404"/>
    <m/>
    <x v="264"/>
    <m/>
    <x v="15"/>
    <x v="0"/>
    <x v="234"/>
    <d v="2012-12-01T00:00:00"/>
    <x v="11"/>
    <x v="0"/>
    <m/>
    <s v="TFFdoc: documenti"/>
    <x v="0"/>
    <x v="0"/>
    <m/>
    <x v="0"/>
    <x v="0"/>
    <x v="1289"/>
    <x v="15"/>
    <x v="0"/>
    <x v="0"/>
    <x v="234"/>
    <x v="3284"/>
  </r>
  <r>
    <x v="1"/>
    <n v="702"/>
    <x v="1281"/>
    <x v="0"/>
    <s v="CM"/>
    <s v="S"/>
    <x v="401"/>
    <x v="3"/>
    <x v="448"/>
    <m/>
    <x v="59"/>
    <m/>
    <x v="3"/>
    <x v="0"/>
    <x v="289"/>
    <d v="2012-12-02T00:00:00"/>
    <x v="11"/>
    <x v="1"/>
    <s v="Competição Nacional"/>
    <m/>
    <x v="0"/>
    <x v="0"/>
    <m/>
    <x v="0"/>
    <x v="0"/>
    <x v="1289"/>
    <x v="3"/>
    <x v="0"/>
    <x v="1"/>
    <x v="289"/>
    <x v="3285"/>
  </r>
  <r>
    <x v="1"/>
    <n v="702"/>
    <x v="1281"/>
    <x v="0"/>
    <s v="CM"/>
    <s v="S"/>
    <x v="401"/>
    <x v="3"/>
    <x v="133"/>
    <m/>
    <x v="101"/>
    <m/>
    <x v="3"/>
    <x v="0"/>
    <x v="331"/>
    <d v="2012-12-09T00:00:00"/>
    <x v="12"/>
    <x v="1"/>
    <s v="Curtas Metragens"/>
    <m/>
    <x v="0"/>
    <x v="0"/>
    <m/>
    <x v="0"/>
    <x v="0"/>
    <x v="1289"/>
    <x v="3"/>
    <x v="0"/>
    <x v="1"/>
    <x v="331"/>
    <x v="3286"/>
  </r>
  <r>
    <x v="1"/>
    <n v="703"/>
    <x v="482"/>
    <x v="0"/>
    <s v="LM"/>
    <s v="S"/>
    <x v="377"/>
    <x v="2"/>
    <x v="506"/>
    <m/>
    <x v="24"/>
    <m/>
    <x v="3"/>
    <x v="0"/>
    <x v="449"/>
    <m/>
    <x v="2"/>
    <x v="0"/>
    <m/>
    <m/>
    <x v="0"/>
    <x v="1"/>
    <m/>
    <x v="0"/>
    <x v="5"/>
    <x v="484"/>
    <x v="3"/>
    <x v="0"/>
    <x v="1"/>
    <x v="449"/>
    <x v="3287"/>
  </r>
  <r>
    <x v="1"/>
    <n v="705"/>
    <x v="1282"/>
    <x v="1"/>
    <s v="CM"/>
    <s v="N"/>
    <x v="834"/>
    <x v="2"/>
    <x v="414"/>
    <m/>
    <x v="24"/>
    <m/>
    <x v="3"/>
    <x v="0"/>
    <x v="244"/>
    <d v="2012-02-29T00:00:00"/>
    <x v="1"/>
    <x v="0"/>
    <m/>
    <m/>
    <x v="0"/>
    <x v="1"/>
    <m/>
    <x v="0"/>
    <x v="2"/>
    <x v="1290"/>
    <x v="3"/>
    <x v="0"/>
    <x v="1"/>
    <x v="244"/>
    <x v="3288"/>
  </r>
  <r>
    <x v="1"/>
    <n v="1430"/>
    <x v="1283"/>
    <x v="1"/>
    <s v="CM"/>
    <s v="N"/>
    <x v="860"/>
    <x v="41"/>
    <x v="25"/>
    <m/>
    <x v="24"/>
    <m/>
    <x v="3"/>
    <x v="0"/>
    <x v="294"/>
    <d v="2012-10-28T00:00:00"/>
    <x v="14"/>
    <x v="0"/>
    <m/>
    <s v="Verdes Anos"/>
    <x v="0"/>
    <x v="0"/>
    <m/>
    <x v="0"/>
    <x v="2"/>
    <x v="1291"/>
    <x v="3"/>
    <x v="0"/>
    <x v="1"/>
    <x v="294"/>
    <x v="3289"/>
  </r>
  <r>
    <x v="1"/>
    <n v="710"/>
    <x v="1284"/>
    <x v="1"/>
    <s v="LM"/>
    <s v=""/>
    <x v="55"/>
    <x v="2"/>
    <x v="657"/>
    <m/>
    <x v="24"/>
    <m/>
    <x v="3"/>
    <x v="0"/>
    <x v="237"/>
    <d v="2012-07-01T00:00:00"/>
    <x v="17"/>
    <x v="0"/>
    <m/>
    <m/>
    <x v="0"/>
    <x v="0"/>
    <m/>
    <x v="0"/>
    <x v="1"/>
    <x v="1292"/>
    <x v="3"/>
    <x v="0"/>
    <x v="1"/>
    <x v="237"/>
    <x v="3290"/>
  </r>
  <r>
    <x v="1"/>
    <n v="1602"/>
    <x v="1285"/>
    <x v="2"/>
    <s v="CM"/>
    <s v="N"/>
    <x v="861"/>
    <x v="41"/>
    <x v="22"/>
    <m/>
    <x v="22"/>
    <m/>
    <x v="3"/>
    <x v="0"/>
    <x v="251"/>
    <d v="2012-11-18T00:00:00"/>
    <x v="13"/>
    <x v="1"/>
    <s v="Ensaios Visuais"/>
    <m/>
    <x v="0"/>
    <x v="0"/>
    <m/>
    <x v="0"/>
    <x v="4"/>
    <x v="1293"/>
    <x v="3"/>
    <x v="0"/>
    <x v="1"/>
    <x v="251"/>
    <x v="3291"/>
  </r>
  <r>
    <x v="1"/>
    <n v="713"/>
    <x v="490"/>
    <x v="1"/>
    <s v="CM"/>
    <s v="N"/>
    <x v="383"/>
    <x v="2"/>
    <x v="430"/>
    <m/>
    <x v="24"/>
    <m/>
    <x v="3"/>
    <x v="0"/>
    <x v="263"/>
    <m/>
    <x v="15"/>
    <x v="1"/>
    <m/>
    <m/>
    <x v="326"/>
    <x v="1"/>
    <m/>
    <x v="1"/>
    <x v="2"/>
    <x v="492"/>
    <x v="3"/>
    <x v="392"/>
    <x v="1"/>
    <x v="263"/>
    <x v="3292"/>
  </r>
  <r>
    <x v="1"/>
    <n v="714"/>
    <x v="491"/>
    <x v="0"/>
    <s v="CM"/>
    <s v="N"/>
    <x v="384"/>
    <x v="3"/>
    <x v="413"/>
    <m/>
    <x v="270"/>
    <m/>
    <x v="3"/>
    <x v="0"/>
    <x v="243"/>
    <d v="2012-06-03T00:00:00"/>
    <x v="7"/>
    <x v="1"/>
    <s v="Universidades"/>
    <m/>
    <x v="0"/>
    <x v="0"/>
    <m/>
    <x v="0"/>
    <x v="0"/>
    <x v="493"/>
    <x v="3"/>
    <x v="0"/>
    <x v="1"/>
    <x v="243"/>
    <x v="3293"/>
  </r>
  <r>
    <x v="1"/>
    <n v="1510"/>
    <x v="1286"/>
    <x v="1"/>
    <s v="CM"/>
    <s v="N"/>
    <x v="692"/>
    <x v="2"/>
    <x v="711"/>
    <m/>
    <x v="24"/>
    <m/>
    <x v="3"/>
    <x v="0"/>
    <x v="326"/>
    <m/>
    <x v="13"/>
    <x v="1"/>
    <m/>
    <m/>
    <x v="0"/>
    <x v="1"/>
    <m/>
    <x v="0"/>
    <x v="2"/>
    <x v="1294"/>
    <x v="3"/>
    <x v="0"/>
    <x v="1"/>
    <x v="326"/>
    <x v="3294"/>
  </r>
  <r>
    <x v="1"/>
    <n v="717"/>
    <x v="494"/>
    <x v="1"/>
    <s v="CM"/>
    <s v="N"/>
    <x v="385"/>
    <x v="2"/>
    <x v="425"/>
    <m/>
    <x v="269"/>
    <m/>
    <x v="3"/>
    <x v="0"/>
    <x v="256"/>
    <d v="2012-03-17T00:00:00"/>
    <x v="2"/>
    <x v="0"/>
    <m/>
    <m/>
    <x v="0"/>
    <x v="3"/>
    <m/>
    <x v="0"/>
    <x v="2"/>
    <x v="496"/>
    <x v="3"/>
    <x v="0"/>
    <x v="1"/>
    <x v="256"/>
    <x v="3295"/>
  </r>
  <r>
    <x v="1"/>
    <n v="718"/>
    <x v="495"/>
    <x v="1"/>
    <s v="CM"/>
    <s v="N"/>
    <x v="235"/>
    <x v="1"/>
    <x v="162"/>
    <m/>
    <x v="124"/>
    <m/>
    <x v="3"/>
    <x v="0"/>
    <x v="252"/>
    <m/>
    <x v="14"/>
    <x v="0"/>
    <m/>
    <m/>
    <x v="0"/>
    <x v="1"/>
    <m/>
    <x v="0"/>
    <x v="2"/>
    <x v="497"/>
    <x v="3"/>
    <x v="0"/>
    <x v="1"/>
    <x v="252"/>
    <x v="3296"/>
  </r>
  <r>
    <x v="1"/>
    <n v="721"/>
    <x v="498"/>
    <x v="0"/>
    <s v="CM"/>
    <s v="N"/>
    <x v="388"/>
    <x v="3"/>
    <x v="712"/>
    <m/>
    <x v="26"/>
    <m/>
    <x v="6"/>
    <x v="0"/>
    <x v="361"/>
    <d v="2012-01-15T00:00:00"/>
    <x v="15"/>
    <x v="0"/>
    <s v="International Competition"/>
    <m/>
    <x v="0"/>
    <x v="0"/>
    <m/>
    <x v="0"/>
    <x v="0"/>
    <x v="500"/>
    <x v="6"/>
    <x v="0"/>
    <x v="0"/>
    <x v="361"/>
    <x v="3297"/>
  </r>
  <r>
    <x v="1"/>
    <n v="721"/>
    <x v="498"/>
    <x v="0"/>
    <s v="CM"/>
    <s v="N"/>
    <x v="388"/>
    <x v="3"/>
    <x v="713"/>
    <m/>
    <x v="15"/>
    <m/>
    <x v="3"/>
    <x v="0"/>
    <x v="431"/>
    <d v="2012-02-28T00:00:00"/>
    <x v="18"/>
    <x v="0"/>
    <m/>
    <m/>
    <x v="0"/>
    <x v="1"/>
    <m/>
    <x v="0"/>
    <x v="0"/>
    <x v="500"/>
    <x v="3"/>
    <x v="0"/>
    <x v="1"/>
    <x v="431"/>
    <x v="3298"/>
  </r>
  <r>
    <x v="1"/>
    <n v="721"/>
    <x v="498"/>
    <x v="0"/>
    <s v="CM"/>
    <s v="N"/>
    <x v="388"/>
    <x v="3"/>
    <x v="456"/>
    <m/>
    <x v="24"/>
    <m/>
    <x v="3"/>
    <x v="0"/>
    <x v="390"/>
    <m/>
    <x v="15"/>
    <x v="0"/>
    <m/>
    <m/>
    <x v="0"/>
    <x v="1"/>
    <m/>
    <x v="0"/>
    <x v="0"/>
    <x v="500"/>
    <x v="3"/>
    <x v="0"/>
    <x v="1"/>
    <x v="390"/>
    <x v="3299"/>
  </r>
  <r>
    <x v="1"/>
    <n v="721"/>
    <x v="498"/>
    <x v="0"/>
    <s v="CM"/>
    <s v="N"/>
    <x v="388"/>
    <x v="3"/>
    <x v="612"/>
    <m/>
    <x v="24"/>
    <m/>
    <x v="3"/>
    <x v="0"/>
    <x v="235"/>
    <m/>
    <x v="15"/>
    <x v="0"/>
    <m/>
    <m/>
    <x v="0"/>
    <x v="1"/>
    <m/>
    <x v="0"/>
    <x v="0"/>
    <x v="500"/>
    <x v="3"/>
    <x v="0"/>
    <x v="1"/>
    <x v="235"/>
    <x v="3300"/>
  </r>
  <r>
    <x v="1"/>
    <n v="721"/>
    <x v="498"/>
    <x v="0"/>
    <s v="CM"/>
    <s v="N"/>
    <x v="388"/>
    <x v="3"/>
    <x v="714"/>
    <m/>
    <x v="23"/>
    <m/>
    <x v="3"/>
    <x v="0"/>
    <x v="244"/>
    <m/>
    <x v="1"/>
    <x v="1"/>
    <m/>
    <m/>
    <x v="0"/>
    <x v="1"/>
    <m/>
    <x v="0"/>
    <x v="0"/>
    <x v="500"/>
    <x v="3"/>
    <x v="0"/>
    <x v="1"/>
    <x v="244"/>
    <x v="3301"/>
  </r>
  <r>
    <x v="1"/>
    <n v="721"/>
    <x v="498"/>
    <x v="0"/>
    <s v="CM"/>
    <s v="N"/>
    <x v="388"/>
    <x v="3"/>
    <x v="62"/>
    <m/>
    <x v="23"/>
    <m/>
    <x v="3"/>
    <x v="0"/>
    <x v="302"/>
    <d v="2012-03-04T00:00:00"/>
    <x v="19"/>
    <x v="0"/>
    <m/>
    <s v="Panorama do Cinema Português - Agência da Curta Metragem"/>
    <x v="0"/>
    <x v="0"/>
    <m/>
    <x v="0"/>
    <x v="0"/>
    <x v="500"/>
    <x v="3"/>
    <x v="0"/>
    <x v="1"/>
    <x v="302"/>
    <x v="3302"/>
  </r>
  <r>
    <x v="1"/>
    <n v="721"/>
    <x v="498"/>
    <x v="0"/>
    <s v="CM"/>
    <s v="N"/>
    <x v="388"/>
    <x v="3"/>
    <x v="456"/>
    <m/>
    <x v="24"/>
    <m/>
    <x v="3"/>
    <x v="0"/>
    <x v="300"/>
    <m/>
    <x v="1"/>
    <x v="0"/>
    <m/>
    <s v="Especial Curtas Nomeadas para Melhor Curta Prémios Shortcutz Lisboa 2011"/>
    <x v="0"/>
    <x v="1"/>
    <m/>
    <x v="0"/>
    <x v="0"/>
    <x v="500"/>
    <x v="3"/>
    <x v="0"/>
    <x v="1"/>
    <x v="300"/>
    <x v="3303"/>
  </r>
  <r>
    <x v="1"/>
    <n v="721"/>
    <x v="498"/>
    <x v="0"/>
    <s v="CM"/>
    <s v="N"/>
    <x v="388"/>
    <x v="3"/>
    <x v="473"/>
    <m/>
    <x v="24"/>
    <m/>
    <x v="3"/>
    <x v="0"/>
    <x v="317"/>
    <m/>
    <x v="2"/>
    <x v="0"/>
    <m/>
    <m/>
    <x v="327"/>
    <x v="2"/>
    <m/>
    <x v="1"/>
    <x v="0"/>
    <x v="500"/>
    <x v="3"/>
    <x v="393"/>
    <x v="1"/>
    <x v="317"/>
    <x v="3304"/>
  </r>
  <r>
    <x v="1"/>
    <n v="721"/>
    <x v="498"/>
    <x v="0"/>
    <s v="CM"/>
    <s v="N"/>
    <x v="388"/>
    <x v="3"/>
    <x v="31"/>
    <m/>
    <x v="29"/>
    <m/>
    <x v="2"/>
    <x v="0"/>
    <x v="268"/>
    <d v="2012-03-24T00:00:00"/>
    <x v="2"/>
    <x v="1"/>
    <s v="Courts Métrages - Programme 10"/>
    <m/>
    <x v="0"/>
    <x v="0"/>
    <m/>
    <x v="0"/>
    <x v="0"/>
    <x v="500"/>
    <x v="2"/>
    <x v="0"/>
    <x v="0"/>
    <x v="268"/>
    <x v="3305"/>
  </r>
  <r>
    <x v="1"/>
    <n v="721"/>
    <x v="498"/>
    <x v="0"/>
    <s v="CM"/>
    <s v="N"/>
    <x v="388"/>
    <x v="3"/>
    <x v="715"/>
    <m/>
    <x v="362"/>
    <m/>
    <x v="2"/>
    <x v="0"/>
    <x v="450"/>
    <d v="2012-05-04T00:00:00"/>
    <x v="6"/>
    <x v="1"/>
    <s v="Sélection Classique"/>
    <m/>
    <x v="328"/>
    <x v="0"/>
    <m/>
    <x v="1"/>
    <x v="0"/>
    <x v="500"/>
    <x v="2"/>
    <x v="394"/>
    <x v="0"/>
    <x v="450"/>
    <x v="3306"/>
  </r>
  <r>
    <x v="1"/>
    <n v="721"/>
    <x v="498"/>
    <x v="0"/>
    <s v="CM"/>
    <s v="N"/>
    <x v="388"/>
    <x v="3"/>
    <x v="411"/>
    <m/>
    <x v="268"/>
    <m/>
    <x v="0"/>
    <x v="0"/>
    <x v="241"/>
    <d v="2012-05-18T00:00:00"/>
    <x v="6"/>
    <x v="0"/>
    <m/>
    <s v="Mostra dos Festivais - FIKE"/>
    <x v="0"/>
    <x v="0"/>
    <m/>
    <x v="0"/>
    <x v="0"/>
    <x v="500"/>
    <x v="0"/>
    <x v="0"/>
    <x v="0"/>
    <x v="241"/>
    <x v="3307"/>
  </r>
  <r>
    <x v="1"/>
    <n v="721"/>
    <x v="498"/>
    <x v="0"/>
    <s v="CM"/>
    <s v="N"/>
    <x v="388"/>
    <x v="3"/>
    <x v="716"/>
    <m/>
    <x v="363"/>
    <m/>
    <x v="2"/>
    <x v="0"/>
    <x v="451"/>
    <d v="2012-12-09T00:00:00"/>
    <x v="11"/>
    <x v="1"/>
    <s v="Compétition Internationale 5"/>
    <m/>
    <x v="0"/>
    <x v="0"/>
    <m/>
    <x v="0"/>
    <x v="0"/>
    <x v="500"/>
    <x v="2"/>
    <x v="0"/>
    <x v="0"/>
    <x v="451"/>
    <x v="3308"/>
  </r>
  <r>
    <x v="1"/>
    <n v="721"/>
    <x v="498"/>
    <x v="0"/>
    <s v="CM"/>
    <s v="N"/>
    <x v="388"/>
    <x v="3"/>
    <x v="402"/>
    <m/>
    <x v="24"/>
    <m/>
    <x v="3"/>
    <x v="0"/>
    <x v="231"/>
    <d v="2012-12-09T00:00:00"/>
    <x v="12"/>
    <x v="1"/>
    <s v="Categoria Fundação INATEL"/>
    <m/>
    <x v="329"/>
    <x v="1"/>
    <m/>
    <x v="1"/>
    <x v="0"/>
    <x v="500"/>
    <x v="3"/>
    <x v="395"/>
    <x v="1"/>
    <x v="231"/>
    <x v="3309"/>
  </r>
  <r>
    <x v="1"/>
    <n v="722"/>
    <x v="1287"/>
    <x v="1"/>
    <s v="CM"/>
    <s v=""/>
    <x v="862"/>
    <x v="2"/>
    <x v="432"/>
    <m/>
    <x v="39"/>
    <m/>
    <x v="3"/>
    <x v="0"/>
    <x v="265"/>
    <d v="2012-04-21T00:00:00"/>
    <x v="5"/>
    <x v="1"/>
    <s v="Competição Nacional"/>
    <m/>
    <x v="0"/>
    <x v="0"/>
    <m/>
    <x v="0"/>
    <x v="2"/>
    <x v="1295"/>
    <x v="3"/>
    <x v="0"/>
    <x v="1"/>
    <x v="265"/>
    <x v="3310"/>
  </r>
  <r>
    <x v="1"/>
    <n v="722"/>
    <x v="1287"/>
    <x v="1"/>
    <s v="CM"/>
    <s v=""/>
    <x v="862"/>
    <x v="2"/>
    <x v="368"/>
    <m/>
    <x v="23"/>
    <m/>
    <x v="3"/>
    <x v="0"/>
    <x v="452"/>
    <m/>
    <x v="6"/>
    <x v="0"/>
    <m/>
    <m/>
    <x v="0"/>
    <x v="1"/>
    <m/>
    <x v="0"/>
    <x v="2"/>
    <x v="1295"/>
    <x v="3"/>
    <x v="0"/>
    <x v="1"/>
    <x v="452"/>
    <x v="3311"/>
  </r>
  <r>
    <x v="1"/>
    <n v="722"/>
    <x v="1287"/>
    <x v="1"/>
    <s v="CM"/>
    <s v=""/>
    <x v="862"/>
    <x v="2"/>
    <x v="618"/>
    <m/>
    <x v="23"/>
    <m/>
    <x v="3"/>
    <x v="0"/>
    <x v="453"/>
    <m/>
    <x v="16"/>
    <x v="0"/>
    <m/>
    <m/>
    <x v="0"/>
    <x v="1"/>
    <m/>
    <x v="0"/>
    <x v="2"/>
    <x v="1295"/>
    <x v="3"/>
    <x v="0"/>
    <x v="1"/>
    <x v="453"/>
    <x v="3312"/>
  </r>
  <r>
    <x v="1"/>
    <n v="722"/>
    <x v="1287"/>
    <x v="1"/>
    <s v="CM"/>
    <s v=""/>
    <x v="862"/>
    <x v="2"/>
    <x v="22"/>
    <m/>
    <x v="22"/>
    <m/>
    <x v="3"/>
    <x v="0"/>
    <x v="251"/>
    <d v="2012-11-18T00:00:00"/>
    <x v="13"/>
    <x v="1"/>
    <s v="Secção Competitiva"/>
    <m/>
    <x v="0"/>
    <x v="0"/>
    <m/>
    <x v="0"/>
    <x v="2"/>
    <x v="1295"/>
    <x v="3"/>
    <x v="0"/>
    <x v="1"/>
    <x v="251"/>
    <x v="3313"/>
  </r>
  <r>
    <x v="1"/>
    <n v="1435"/>
    <x v="1288"/>
    <x v="1"/>
    <s v="CM"/>
    <s v="N"/>
    <x v="863"/>
    <x v="41"/>
    <x v="25"/>
    <m/>
    <x v="24"/>
    <m/>
    <x v="3"/>
    <x v="0"/>
    <x v="294"/>
    <d v="2012-10-28T00:00:00"/>
    <x v="14"/>
    <x v="0"/>
    <m/>
    <s v="Verdes Anos"/>
    <x v="0"/>
    <x v="0"/>
    <m/>
    <x v="0"/>
    <x v="2"/>
    <x v="1296"/>
    <x v="3"/>
    <x v="0"/>
    <x v="1"/>
    <x v="294"/>
    <x v="3314"/>
  </r>
  <r>
    <x v="1"/>
    <n v="723"/>
    <x v="499"/>
    <x v="1"/>
    <s v="LM"/>
    <s v="N"/>
    <x v="188"/>
    <x v="5"/>
    <x v="711"/>
    <m/>
    <x v="24"/>
    <m/>
    <x v="3"/>
    <x v="0"/>
    <x v="326"/>
    <m/>
    <x v="13"/>
    <x v="0"/>
    <m/>
    <s v="Convidado Eduardo Morais"/>
    <x v="0"/>
    <x v="1"/>
    <m/>
    <x v="0"/>
    <x v="1"/>
    <x v="501"/>
    <x v="3"/>
    <x v="0"/>
    <x v="1"/>
    <x v="326"/>
    <x v="3315"/>
  </r>
  <r>
    <x v="1"/>
    <n v="723"/>
    <x v="499"/>
    <x v="1"/>
    <s v="LM"/>
    <s v="N"/>
    <x v="188"/>
    <x v="5"/>
    <x v="693"/>
    <m/>
    <x v="39"/>
    <m/>
    <x v="3"/>
    <x v="0"/>
    <x v="454"/>
    <m/>
    <x v="12"/>
    <x v="0"/>
    <m/>
    <m/>
    <x v="0"/>
    <x v="1"/>
    <m/>
    <x v="0"/>
    <x v="1"/>
    <x v="501"/>
    <x v="3"/>
    <x v="0"/>
    <x v="1"/>
    <x v="454"/>
    <x v="3316"/>
  </r>
  <r>
    <x v="1"/>
    <n v="1322"/>
    <x v="1289"/>
    <x v="1"/>
    <s v="CM"/>
    <s v="N"/>
    <x v="864"/>
    <x v="2"/>
    <x v="316"/>
    <m/>
    <x v="11"/>
    <m/>
    <x v="3"/>
    <x v="0"/>
    <x v="199"/>
    <d v="2012-08-25T00:00:00"/>
    <x v="16"/>
    <x v="1"/>
    <s v="Documentário"/>
    <m/>
    <x v="0"/>
    <x v="0"/>
    <m/>
    <x v="0"/>
    <x v="2"/>
    <x v="1297"/>
    <x v="3"/>
    <x v="0"/>
    <x v="1"/>
    <x v="199"/>
    <x v="3317"/>
  </r>
  <r>
    <x v="1"/>
    <n v="724"/>
    <x v="500"/>
    <x v="2"/>
    <s v="CM"/>
    <s v="S"/>
    <x v="389"/>
    <x v="2"/>
    <x v="26"/>
    <m/>
    <x v="24"/>
    <m/>
    <x v="3"/>
    <x v="0"/>
    <x v="268"/>
    <d v="2012-03-25T00:00:00"/>
    <x v="2"/>
    <x v="1"/>
    <s v="Competição Internacional"/>
    <m/>
    <x v="0"/>
    <x v="0"/>
    <m/>
    <x v="0"/>
    <x v="4"/>
    <x v="502"/>
    <x v="3"/>
    <x v="0"/>
    <x v="1"/>
    <x v="268"/>
    <x v="3318"/>
  </r>
  <r>
    <x v="1"/>
    <n v="1383"/>
    <x v="1290"/>
    <x v="1"/>
    <s v="CM"/>
    <s v="N"/>
    <x v="3"/>
    <x v="2"/>
    <x v="88"/>
    <m/>
    <x v="67"/>
    <m/>
    <x v="3"/>
    <x v="0"/>
    <x v="262"/>
    <d v="2012-10-13T00:00:00"/>
    <x v="14"/>
    <x v="1"/>
    <s v="Competição Lusófona - Curtas Metragens"/>
    <m/>
    <x v="0"/>
    <x v="0"/>
    <m/>
    <x v="0"/>
    <x v="2"/>
    <x v="1298"/>
    <x v="3"/>
    <x v="0"/>
    <x v="1"/>
    <x v="262"/>
    <x v="3319"/>
  </r>
  <r>
    <x v="1"/>
    <n v="1563"/>
    <x v="1291"/>
    <x v="1"/>
    <s v="CM"/>
    <s v="N"/>
    <x v="865"/>
    <x v="41"/>
    <x v="402"/>
    <m/>
    <x v="24"/>
    <m/>
    <x v="3"/>
    <x v="0"/>
    <x v="231"/>
    <d v="2012-12-09T00:00:00"/>
    <x v="12"/>
    <x v="1"/>
    <s v="Categoria Património Imaterial"/>
    <m/>
    <x v="0"/>
    <x v="1"/>
    <m/>
    <x v="0"/>
    <x v="2"/>
    <x v="1299"/>
    <x v="3"/>
    <x v="0"/>
    <x v="1"/>
    <x v="231"/>
    <x v="3320"/>
  </r>
  <r>
    <x v="1"/>
    <n v="727"/>
    <x v="503"/>
    <x v="0"/>
    <s v="CM"/>
    <s v="S"/>
    <x v="80"/>
    <x v="5"/>
    <x v="407"/>
    <m/>
    <x v="154"/>
    <m/>
    <x v="0"/>
    <x v="0"/>
    <x v="237"/>
    <d v="2012-07-08T00:00:00"/>
    <x v="17"/>
    <x v="0"/>
    <m/>
    <m/>
    <x v="0"/>
    <x v="1"/>
    <m/>
    <x v="0"/>
    <x v="0"/>
    <x v="505"/>
    <x v="0"/>
    <x v="0"/>
    <x v="0"/>
    <x v="237"/>
    <x v="3321"/>
  </r>
  <r>
    <x v="1"/>
    <n v="729"/>
    <x v="1292"/>
    <x v="4"/>
    <s v="CM"/>
    <s v="N"/>
    <x v="866"/>
    <x v="2"/>
    <x v="449"/>
    <m/>
    <x v="22"/>
    <m/>
    <x v="3"/>
    <x v="0"/>
    <x v="290"/>
    <m/>
    <x v="7"/>
    <x v="1"/>
    <s v="Movimento"/>
    <m/>
    <x v="0"/>
    <x v="0"/>
    <m/>
    <x v="0"/>
    <x v="8"/>
    <x v="1300"/>
    <x v="3"/>
    <x v="0"/>
    <x v="1"/>
    <x v="290"/>
    <x v="3322"/>
  </r>
  <r>
    <x v="1"/>
    <n v="730"/>
    <x v="1292"/>
    <x v="4"/>
    <s v="CM"/>
    <s v="N"/>
    <x v="867"/>
    <x v="2"/>
    <x v="449"/>
    <m/>
    <x v="22"/>
    <m/>
    <x v="3"/>
    <x v="0"/>
    <x v="290"/>
    <m/>
    <x v="7"/>
    <x v="1"/>
    <s v="Movimento"/>
    <m/>
    <x v="0"/>
    <x v="0"/>
    <m/>
    <x v="0"/>
    <x v="8"/>
    <x v="1301"/>
    <x v="3"/>
    <x v="0"/>
    <x v="1"/>
    <x v="290"/>
    <x v="3323"/>
  </r>
  <r>
    <x v="1"/>
    <n v="731"/>
    <x v="1293"/>
    <x v="1"/>
    <s v="LM"/>
    <s v=""/>
    <x v="868"/>
    <x v="2"/>
    <x v="146"/>
    <m/>
    <x v="24"/>
    <m/>
    <x v="3"/>
    <x v="0"/>
    <x v="281"/>
    <d v="2012-05-06T00:00:00"/>
    <x v="4"/>
    <x v="0"/>
    <m/>
    <s v="IndieMusic Longas Metragens"/>
    <x v="0"/>
    <x v="0"/>
    <m/>
    <x v="0"/>
    <x v="1"/>
    <x v="1302"/>
    <x v="3"/>
    <x v="0"/>
    <x v="1"/>
    <x v="281"/>
    <x v="3324"/>
  </r>
  <r>
    <x v="1"/>
    <n v="731"/>
    <x v="1293"/>
    <x v="1"/>
    <s v="LM"/>
    <s v=""/>
    <x v="868"/>
    <x v="2"/>
    <x v="179"/>
    <m/>
    <x v="133"/>
    <m/>
    <x v="0"/>
    <x v="0"/>
    <x v="233"/>
    <d v="2012-11-01T00:00:00"/>
    <x v="0"/>
    <x v="1"/>
    <s v="Competição Novos Diretores"/>
    <m/>
    <x v="0"/>
    <x v="0"/>
    <m/>
    <x v="0"/>
    <x v="1"/>
    <x v="1302"/>
    <x v="0"/>
    <x v="0"/>
    <x v="0"/>
    <x v="233"/>
    <x v="3325"/>
  </r>
  <r>
    <x v="1"/>
    <n v="737"/>
    <x v="510"/>
    <x v="1"/>
    <s v="CM"/>
    <s v="N"/>
    <x v="395"/>
    <x v="2"/>
    <x v="470"/>
    <m/>
    <x v="289"/>
    <m/>
    <x v="3"/>
    <x v="0"/>
    <x v="316"/>
    <d v="2012-01-25T00:00:00"/>
    <x v="15"/>
    <x v="0"/>
    <m/>
    <m/>
    <x v="0"/>
    <x v="3"/>
    <m/>
    <x v="0"/>
    <x v="2"/>
    <x v="512"/>
    <x v="3"/>
    <x v="0"/>
    <x v="1"/>
    <x v="316"/>
    <x v="3326"/>
  </r>
  <r>
    <x v="1"/>
    <n v="737"/>
    <x v="510"/>
    <x v="1"/>
    <s v="CM"/>
    <s v="N"/>
    <x v="395"/>
    <x v="2"/>
    <x v="425"/>
    <m/>
    <x v="269"/>
    <m/>
    <x v="3"/>
    <x v="0"/>
    <x v="256"/>
    <d v="2012-03-17T00:00:00"/>
    <x v="2"/>
    <x v="0"/>
    <m/>
    <m/>
    <x v="0"/>
    <x v="3"/>
    <m/>
    <x v="0"/>
    <x v="2"/>
    <x v="512"/>
    <x v="3"/>
    <x v="0"/>
    <x v="1"/>
    <x v="256"/>
    <x v="3327"/>
  </r>
  <r>
    <x v="1"/>
    <n v="737"/>
    <x v="510"/>
    <x v="1"/>
    <s v="CM"/>
    <s v="N"/>
    <x v="395"/>
    <x v="2"/>
    <x v="519"/>
    <m/>
    <x v="24"/>
    <m/>
    <x v="3"/>
    <x v="0"/>
    <x v="319"/>
    <d v="2012-04-21T00:00:00"/>
    <x v="5"/>
    <x v="0"/>
    <m/>
    <m/>
    <x v="0"/>
    <x v="1"/>
    <m/>
    <x v="0"/>
    <x v="2"/>
    <x v="512"/>
    <x v="3"/>
    <x v="0"/>
    <x v="1"/>
    <x v="319"/>
    <x v="3328"/>
  </r>
  <r>
    <x v="1"/>
    <n v="737"/>
    <x v="510"/>
    <x v="1"/>
    <s v="CM"/>
    <s v="N"/>
    <x v="395"/>
    <x v="2"/>
    <x v="514"/>
    <m/>
    <x v="99"/>
    <m/>
    <x v="3"/>
    <x v="0"/>
    <x v="360"/>
    <d v="2012-05-13T00:00:00"/>
    <x v="6"/>
    <x v="1"/>
    <s v="Prémio Primeiro Olhar"/>
    <m/>
    <x v="0"/>
    <x v="0"/>
    <m/>
    <x v="0"/>
    <x v="2"/>
    <x v="512"/>
    <x v="3"/>
    <x v="0"/>
    <x v="1"/>
    <x v="360"/>
    <x v="3329"/>
  </r>
  <r>
    <x v="1"/>
    <n v="737"/>
    <x v="510"/>
    <x v="1"/>
    <s v="CM"/>
    <s v="N"/>
    <x v="395"/>
    <x v="2"/>
    <x v="64"/>
    <m/>
    <x v="23"/>
    <m/>
    <x v="3"/>
    <x v="0"/>
    <x v="386"/>
    <d v="2012-05-26T00:00:00"/>
    <x v="6"/>
    <x v="1"/>
    <m/>
    <m/>
    <x v="110"/>
    <x v="1"/>
    <m/>
    <x v="1"/>
    <x v="2"/>
    <x v="512"/>
    <x v="3"/>
    <x v="152"/>
    <x v="1"/>
    <x v="386"/>
    <x v="3330"/>
  </r>
  <r>
    <x v="1"/>
    <n v="738"/>
    <x v="511"/>
    <x v="1"/>
    <s v="CM"/>
    <s v="N"/>
    <x v="396"/>
    <x v="2"/>
    <x v="62"/>
    <m/>
    <x v="23"/>
    <m/>
    <x v="3"/>
    <x v="0"/>
    <x v="302"/>
    <d v="2012-03-04T00:00:00"/>
    <x v="19"/>
    <x v="1"/>
    <s v="Prémio de Cinema Português - Escolas de Cinema"/>
    <m/>
    <x v="1"/>
    <x v="0"/>
    <m/>
    <x v="1"/>
    <x v="2"/>
    <x v="513"/>
    <x v="3"/>
    <x v="396"/>
    <x v="1"/>
    <x v="302"/>
    <x v="3331"/>
  </r>
  <r>
    <x v="1"/>
    <n v="740"/>
    <x v="513"/>
    <x v="0"/>
    <s v="CM"/>
    <s v="N"/>
    <x v="397"/>
    <x v="2"/>
    <x v="670"/>
    <m/>
    <x v="23"/>
    <m/>
    <x v="3"/>
    <x v="0"/>
    <x v="316"/>
    <m/>
    <x v="15"/>
    <x v="1"/>
    <m/>
    <m/>
    <x v="326"/>
    <x v="1"/>
    <m/>
    <x v="1"/>
    <x v="0"/>
    <x v="515"/>
    <x v="3"/>
    <x v="392"/>
    <x v="1"/>
    <x v="316"/>
    <x v="3332"/>
  </r>
  <r>
    <x v="1"/>
    <n v="740"/>
    <x v="513"/>
    <x v="0"/>
    <s v="CM"/>
    <s v="N"/>
    <x v="397"/>
    <x v="2"/>
    <x v="680"/>
    <m/>
    <x v="24"/>
    <m/>
    <x v="3"/>
    <x v="0"/>
    <x v="431"/>
    <m/>
    <x v="15"/>
    <x v="1"/>
    <m/>
    <m/>
    <x v="0"/>
    <x v="1"/>
    <m/>
    <x v="0"/>
    <x v="0"/>
    <x v="515"/>
    <x v="3"/>
    <x v="0"/>
    <x v="1"/>
    <x v="431"/>
    <x v="3333"/>
  </r>
  <r>
    <x v="1"/>
    <n v="740"/>
    <x v="513"/>
    <x v="0"/>
    <s v="CM"/>
    <s v="N"/>
    <x v="397"/>
    <x v="2"/>
    <x v="178"/>
    <m/>
    <x v="25"/>
    <m/>
    <x v="3"/>
    <x v="0"/>
    <x v="293"/>
    <d v="2012-07-08T00:00:00"/>
    <x v="8"/>
    <x v="0"/>
    <m/>
    <s v="Panorama Light&amp;Sound - Shortcutz"/>
    <x v="0"/>
    <x v="0"/>
    <m/>
    <x v="0"/>
    <x v="0"/>
    <x v="515"/>
    <x v="3"/>
    <x v="0"/>
    <x v="1"/>
    <x v="293"/>
    <x v="3334"/>
  </r>
  <r>
    <x v="1"/>
    <n v="741"/>
    <x v="514"/>
    <x v="0"/>
    <s v="LM"/>
    <s v="S"/>
    <x v="200"/>
    <x v="5"/>
    <x v="639"/>
    <m/>
    <x v="17"/>
    <m/>
    <x v="2"/>
    <x v="0"/>
    <x v="322"/>
    <d v="2012-01-30T00:00:00"/>
    <x v="15"/>
    <x v="0"/>
    <m/>
    <m/>
    <x v="0"/>
    <x v="1"/>
    <m/>
    <x v="0"/>
    <x v="5"/>
    <x v="516"/>
    <x v="2"/>
    <x v="0"/>
    <x v="0"/>
    <x v="322"/>
    <x v="3335"/>
  </r>
  <r>
    <x v="1"/>
    <n v="742"/>
    <x v="514"/>
    <x v="0"/>
    <s v="Série"/>
    <s v=""/>
    <x v="200"/>
    <x v="2"/>
    <x v="717"/>
    <m/>
    <x v="17"/>
    <m/>
    <x v="2"/>
    <x v="0"/>
    <x v="299"/>
    <m/>
    <x v="1"/>
    <x v="1"/>
    <s v="Prix Télévision"/>
    <m/>
    <x v="330"/>
    <x v="2"/>
    <m/>
    <x v="1"/>
    <x v="16"/>
    <x v="516"/>
    <x v="2"/>
    <x v="397"/>
    <x v="0"/>
    <x v="299"/>
    <x v="3336"/>
  </r>
  <r>
    <x v="1"/>
    <n v="741"/>
    <x v="514"/>
    <x v="0"/>
    <s v="LM"/>
    <s v="S"/>
    <x v="200"/>
    <x v="5"/>
    <x v="717"/>
    <m/>
    <x v="17"/>
    <m/>
    <x v="2"/>
    <x v="0"/>
    <x v="299"/>
    <m/>
    <x v="1"/>
    <x v="1"/>
    <s v="Prix DVD/Blu-Ray"/>
    <m/>
    <x v="331"/>
    <x v="2"/>
    <m/>
    <x v="1"/>
    <x v="5"/>
    <x v="516"/>
    <x v="2"/>
    <x v="398"/>
    <x v="0"/>
    <x v="299"/>
    <x v="3337"/>
  </r>
  <r>
    <x v="1"/>
    <n v="741"/>
    <x v="514"/>
    <x v="0"/>
    <s v="LM"/>
    <s v="S"/>
    <x v="200"/>
    <x v="5"/>
    <x v="555"/>
    <m/>
    <x v="317"/>
    <m/>
    <x v="8"/>
    <x v="0"/>
    <x v="358"/>
    <d v="2012-04-29T00:00:00"/>
    <x v="5"/>
    <x v="0"/>
    <m/>
    <m/>
    <x v="0"/>
    <x v="0"/>
    <m/>
    <x v="0"/>
    <x v="5"/>
    <x v="516"/>
    <x v="8"/>
    <x v="0"/>
    <x v="0"/>
    <x v="358"/>
    <x v="3338"/>
  </r>
  <r>
    <x v="1"/>
    <n v="741"/>
    <x v="514"/>
    <x v="0"/>
    <s v="LM"/>
    <s v="S"/>
    <x v="200"/>
    <x v="5"/>
    <x v="469"/>
    <m/>
    <x v="24"/>
    <m/>
    <x v="3"/>
    <x v="0"/>
    <x v="243"/>
    <d v="2012-06-17T00:00:00"/>
    <x v="7"/>
    <x v="0"/>
    <m/>
    <m/>
    <x v="0"/>
    <x v="1"/>
    <m/>
    <x v="0"/>
    <x v="5"/>
    <x v="516"/>
    <x v="3"/>
    <x v="0"/>
    <x v="1"/>
    <x v="243"/>
    <x v="3339"/>
  </r>
  <r>
    <x v="1"/>
    <n v="741"/>
    <x v="514"/>
    <x v="0"/>
    <s v="LM"/>
    <s v="S"/>
    <x v="200"/>
    <x v="5"/>
    <x v="718"/>
    <m/>
    <x v="311"/>
    <m/>
    <x v="61"/>
    <x v="0"/>
    <x v="455"/>
    <d v="2012-08-25T00:00:00"/>
    <x v="16"/>
    <x v="0"/>
    <m/>
    <s v="Jorge Arrriagada - Entre Imagénes y Acordes"/>
    <x v="0"/>
    <x v="0"/>
    <m/>
    <x v="0"/>
    <x v="5"/>
    <x v="516"/>
    <x v="61"/>
    <x v="0"/>
    <x v="0"/>
    <x v="455"/>
    <x v="3340"/>
  </r>
  <r>
    <x v="1"/>
    <n v="1347"/>
    <x v="1294"/>
    <x v="0"/>
    <s v="CM"/>
    <s v="N"/>
    <x v="602"/>
    <x v="2"/>
    <x v="679"/>
    <m/>
    <x v="352"/>
    <m/>
    <x v="0"/>
    <x v="0"/>
    <x v="430"/>
    <d v="2012-09-29T00:00:00"/>
    <x v="9"/>
    <x v="1"/>
    <s v="Ficção"/>
    <m/>
    <x v="332"/>
    <x v="0"/>
    <m/>
    <x v="1"/>
    <x v="0"/>
    <x v="1303"/>
    <x v="0"/>
    <x v="399"/>
    <x v="0"/>
    <x v="430"/>
    <x v="3341"/>
  </r>
  <r>
    <x v="1"/>
    <n v="1347"/>
    <x v="1294"/>
    <x v="0"/>
    <s v="CM"/>
    <s v="N"/>
    <x v="602"/>
    <x v="2"/>
    <x v="537"/>
    <m/>
    <x v="50"/>
    <m/>
    <x v="13"/>
    <x v="0"/>
    <x v="282"/>
    <d v="2012-11-21T00:00:00"/>
    <x v="13"/>
    <x v="1"/>
    <s v="Curtas-Metragens"/>
    <m/>
    <x v="0"/>
    <x v="0"/>
    <m/>
    <x v="0"/>
    <x v="0"/>
    <x v="1303"/>
    <x v="13"/>
    <x v="0"/>
    <x v="0"/>
    <x v="282"/>
    <x v="3342"/>
  </r>
  <r>
    <x v="1"/>
    <n v="743"/>
    <x v="1295"/>
    <x v="0"/>
    <s v="CM"/>
    <s v="N"/>
    <x v="869"/>
    <x v="2"/>
    <x v="431"/>
    <m/>
    <x v="277"/>
    <m/>
    <x v="14"/>
    <x v="0"/>
    <x v="243"/>
    <d v="2012-06-02T00:00:00"/>
    <x v="7"/>
    <x v="0"/>
    <m/>
    <m/>
    <x v="0"/>
    <x v="0"/>
    <m/>
    <x v="0"/>
    <x v="0"/>
    <x v="1304"/>
    <x v="14"/>
    <x v="0"/>
    <x v="0"/>
    <x v="243"/>
    <x v="3343"/>
  </r>
  <r>
    <x v="1"/>
    <n v="1481"/>
    <x v="1296"/>
    <x v="1"/>
    <s v="CM"/>
    <s v=""/>
    <x v="870"/>
    <x v="47"/>
    <x v="88"/>
    <m/>
    <x v="67"/>
    <m/>
    <x v="3"/>
    <x v="0"/>
    <x v="262"/>
    <d v="2012-10-13T00:00:00"/>
    <x v="14"/>
    <x v="0"/>
    <m/>
    <s v="António Escudeiro: Um Eco-Cineasta"/>
    <x v="0"/>
    <x v="0"/>
    <m/>
    <x v="0"/>
    <x v="2"/>
    <x v="1305"/>
    <x v="3"/>
    <x v="0"/>
    <x v="1"/>
    <x v="262"/>
    <x v="3344"/>
  </r>
  <r>
    <x v="1"/>
    <n v="745"/>
    <x v="516"/>
    <x v="0"/>
    <s v="CM"/>
    <s v="N"/>
    <x v="9"/>
    <x v="5"/>
    <x v="719"/>
    <m/>
    <x v="364"/>
    <m/>
    <x v="9"/>
    <x v="0"/>
    <x v="394"/>
    <d v="2012-03-24T00:00:00"/>
    <x v="2"/>
    <x v="1"/>
    <s v="Screening 1 - Opening Films"/>
    <m/>
    <x v="333"/>
    <x v="0"/>
    <m/>
    <x v="1"/>
    <x v="0"/>
    <x v="518"/>
    <x v="9"/>
    <x v="400"/>
    <x v="0"/>
    <x v="394"/>
    <x v="3345"/>
  </r>
  <r>
    <x v="1"/>
    <n v="745"/>
    <x v="516"/>
    <x v="0"/>
    <s v="CM"/>
    <s v="N"/>
    <x v="9"/>
    <x v="5"/>
    <x v="720"/>
    <m/>
    <x v="365"/>
    <m/>
    <x v="15"/>
    <x v="0"/>
    <x v="442"/>
    <d v="2012-04-28T00:00:00"/>
    <x v="5"/>
    <x v="1"/>
    <s v="International Films"/>
    <m/>
    <x v="0"/>
    <x v="0"/>
    <m/>
    <x v="0"/>
    <x v="0"/>
    <x v="518"/>
    <x v="15"/>
    <x v="0"/>
    <x v="0"/>
    <x v="442"/>
    <x v="3346"/>
  </r>
  <r>
    <x v="1"/>
    <n v="745"/>
    <x v="516"/>
    <x v="0"/>
    <s v="CM"/>
    <s v="N"/>
    <x v="9"/>
    <x v="5"/>
    <x v="721"/>
    <m/>
    <x v="17"/>
    <m/>
    <x v="2"/>
    <x v="0"/>
    <x v="456"/>
    <m/>
    <x v="7"/>
    <x v="1"/>
    <m/>
    <m/>
    <x v="334"/>
    <x v="0"/>
    <m/>
    <x v="1"/>
    <x v="0"/>
    <x v="518"/>
    <x v="2"/>
    <x v="401"/>
    <x v="0"/>
    <x v="456"/>
    <x v="3347"/>
  </r>
  <r>
    <x v="1"/>
    <n v="745"/>
    <x v="516"/>
    <x v="0"/>
    <s v="CM"/>
    <s v="N"/>
    <x v="9"/>
    <x v="5"/>
    <x v="722"/>
    <m/>
    <x v="366"/>
    <m/>
    <x v="35"/>
    <x v="0"/>
    <x v="406"/>
    <d v="2012-06-16T00:00:00"/>
    <x v="7"/>
    <x v="1"/>
    <s v="Wettbewerb"/>
    <m/>
    <x v="0"/>
    <x v="0"/>
    <m/>
    <x v="0"/>
    <x v="0"/>
    <x v="518"/>
    <x v="35"/>
    <x v="0"/>
    <x v="0"/>
    <x v="406"/>
    <x v="3348"/>
  </r>
  <r>
    <x v="1"/>
    <n v="745"/>
    <x v="516"/>
    <x v="0"/>
    <s v="CM"/>
    <s v="N"/>
    <x v="9"/>
    <x v="5"/>
    <x v="429"/>
    <m/>
    <x v="276"/>
    <m/>
    <x v="6"/>
    <x v="0"/>
    <x v="261"/>
    <d v="2012-10-01T00:00:00"/>
    <x v="10"/>
    <x v="1"/>
    <s v="Under 10 minute short film section"/>
    <m/>
    <x v="335"/>
    <x v="0"/>
    <m/>
    <x v="1"/>
    <x v="0"/>
    <x v="518"/>
    <x v="6"/>
    <x v="402"/>
    <x v="0"/>
    <x v="261"/>
    <x v="3349"/>
  </r>
  <r>
    <x v="1"/>
    <n v="1319"/>
    <x v="1297"/>
    <x v="0"/>
    <s v="CM"/>
    <s v="N"/>
    <x v="871"/>
    <x v="2"/>
    <x v="316"/>
    <m/>
    <x v="11"/>
    <m/>
    <x v="3"/>
    <x v="0"/>
    <x v="199"/>
    <d v="2012-08-25T00:00:00"/>
    <x v="16"/>
    <x v="1"/>
    <s v="Ficção"/>
    <m/>
    <x v="0"/>
    <x v="0"/>
    <m/>
    <x v="0"/>
    <x v="0"/>
    <x v="1306"/>
    <x v="3"/>
    <x v="0"/>
    <x v="1"/>
    <x v="199"/>
    <x v="3350"/>
  </r>
  <r>
    <x v="1"/>
    <n v="746"/>
    <x v="517"/>
    <x v="1"/>
    <s v="CM"/>
    <s v="N"/>
    <x v="399"/>
    <x v="2"/>
    <x v="539"/>
    <m/>
    <x v="76"/>
    <m/>
    <x v="3"/>
    <x v="0"/>
    <x v="367"/>
    <d v="2012-05-06T00:00:00"/>
    <x v="6"/>
    <x v="1"/>
    <s v="Lusófono"/>
    <m/>
    <x v="0"/>
    <x v="0"/>
    <m/>
    <x v="0"/>
    <x v="2"/>
    <x v="519"/>
    <x v="3"/>
    <x v="0"/>
    <x v="1"/>
    <x v="367"/>
    <x v="3351"/>
  </r>
  <r>
    <x v="1"/>
    <n v="746"/>
    <x v="517"/>
    <x v="1"/>
    <s v="CM"/>
    <s v="N"/>
    <x v="399"/>
    <x v="2"/>
    <x v="88"/>
    <m/>
    <x v="67"/>
    <m/>
    <x v="3"/>
    <x v="0"/>
    <x v="262"/>
    <d v="2012-10-13T00:00:00"/>
    <x v="14"/>
    <x v="1"/>
    <s v="Competição Lusófona - Panorama Regional"/>
    <m/>
    <x v="336"/>
    <x v="0"/>
    <m/>
    <x v="1"/>
    <x v="2"/>
    <x v="519"/>
    <x v="3"/>
    <x v="403"/>
    <x v="1"/>
    <x v="262"/>
    <x v="3352"/>
  </r>
  <r>
    <x v="1"/>
    <n v="1467"/>
    <x v="1298"/>
    <x v="1"/>
    <s v="CM"/>
    <s v="N"/>
    <x v="872"/>
    <x v="41"/>
    <x v="520"/>
    <m/>
    <x v="46"/>
    <m/>
    <x v="3"/>
    <x v="0"/>
    <x v="297"/>
    <d v="2012-10-27T00:00:00"/>
    <x v="14"/>
    <x v="1"/>
    <s v="Filme Publicitário"/>
    <m/>
    <x v="337"/>
    <x v="0"/>
    <m/>
    <x v="1"/>
    <x v="2"/>
    <x v="1307"/>
    <x v="3"/>
    <x v="404"/>
    <x v="1"/>
    <x v="297"/>
    <x v="3353"/>
  </r>
  <r>
    <x v="1"/>
    <n v="1567"/>
    <x v="1299"/>
    <x v="1"/>
    <s v="CM"/>
    <s v="N"/>
    <x v="873"/>
    <x v="41"/>
    <x v="402"/>
    <m/>
    <x v="24"/>
    <m/>
    <x v="3"/>
    <x v="0"/>
    <x v="231"/>
    <d v="2012-12-09T00:00:00"/>
    <x v="12"/>
    <x v="1"/>
    <s v="Categoria Património Imaterial"/>
    <m/>
    <x v="0"/>
    <x v="1"/>
    <m/>
    <x v="0"/>
    <x v="2"/>
    <x v="1308"/>
    <x v="3"/>
    <x v="0"/>
    <x v="1"/>
    <x v="231"/>
    <x v="3354"/>
  </r>
  <r>
    <x v="1"/>
    <n v="749"/>
    <x v="1300"/>
    <x v="1"/>
    <s v="LM"/>
    <s v="N"/>
    <x v="874"/>
    <x v="41"/>
    <x v="129"/>
    <m/>
    <x v="12"/>
    <m/>
    <x v="2"/>
    <x v="0"/>
    <x v="343"/>
    <d v="2012-07-09T00:00:00"/>
    <x v="8"/>
    <x v="1"/>
    <s v="Compétition Internationale e Compétition Premier Film"/>
    <m/>
    <x v="338"/>
    <x v="0"/>
    <m/>
    <x v="1"/>
    <x v="1"/>
    <x v="1309"/>
    <x v="2"/>
    <x v="405"/>
    <x v="0"/>
    <x v="343"/>
    <x v="3355"/>
  </r>
  <r>
    <x v="1"/>
    <n v="749"/>
    <x v="1300"/>
    <x v="1"/>
    <s v="LM"/>
    <s v="N"/>
    <x v="874"/>
    <x v="41"/>
    <x v="442"/>
    <m/>
    <x v="6"/>
    <m/>
    <x v="4"/>
    <x v="0"/>
    <x v="282"/>
    <d v="2012-11-25T00:00:00"/>
    <x v="13"/>
    <x v="0"/>
    <m/>
    <s v="Focos: España Alterada"/>
    <x v="0"/>
    <x v="0"/>
    <m/>
    <x v="0"/>
    <x v="1"/>
    <x v="1309"/>
    <x v="4"/>
    <x v="0"/>
    <x v="0"/>
    <x v="282"/>
    <x v="3356"/>
  </r>
  <r>
    <x v="1"/>
    <n v="1578"/>
    <x v="1301"/>
    <x v="0"/>
    <s v="LM"/>
    <s v="N"/>
    <x v="875"/>
    <x v="41"/>
    <x v="22"/>
    <m/>
    <x v="22"/>
    <m/>
    <x v="3"/>
    <x v="0"/>
    <x v="251"/>
    <d v="2012-11-18T00:00:00"/>
    <x v="13"/>
    <x v="1"/>
    <s v="Secção Competitiva"/>
    <m/>
    <x v="0"/>
    <x v="0"/>
    <m/>
    <x v="0"/>
    <x v="5"/>
    <x v="1310"/>
    <x v="3"/>
    <x v="0"/>
    <x v="1"/>
    <x v="251"/>
    <x v="3357"/>
  </r>
  <r>
    <x v="1"/>
    <n v="750"/>
    <x v="520"/>
    <x v="0"/>
    <s v="LM"/>
    <s v="S"/>
    <x v="401"/>
    <x v="1"/>
    <x v="469"/>
    <m/>
    <x v="24"/>
    <m/>
    <x v="3"/>
    <x v="0"/>
    <x v="243"/>
    <d v="2012-06-17T00:00:00"/>
    <x v="7"/>
    <x v="0"/>
    <m/>
    <m/>
    <x v="0"/>
    <x v="1"/>
    <m/>
    <x v="0"/>
    <x v="5"/>
    <x v="522"/>
    <x v="3"/>
    <x v="0"/>
    <x v="1"/>
    <x v="243"/>
    <x v="3358"/>
  </r>
  <r>
    <x v="1"/>
    <n v="750"/>
    <x v="520"/>
    <x v="0"/>
    <s v="LM"/>
    <s v="S"/>
    <x v="401"/>
    <x v="1"/>
    <x v="538"/>
    <m/>
    <x v="315"/>
    <m/>
    <x v="3"/>
    <x v="0"/>
    <x v="298"/>
    <m/>
    <x v="8"/>
    <x v="0"/>
    <m/>
    <m/>
    <x v="0"/>
    <x v="1"/>
    <m/>
    <x v="0"/>
    <x v="5"/>
    <x v="522"/>
    <x v="3"/>
    <x v="0"/>
    <x v="1"/>
    <x v="298"/>
    <x v="3359"/>
  </r>
  <r>
    <x v="1"/>
    <n v="753"/>
    <x v="523"/>
    <x v="1"/>
    <s v="LM"/>
    <s v="S"/>
    <x v="47"/>
    <x v="2"/>
    <x v="468"/>
    <m/>
    <x v="18"/>
    <m/>
    <x v="3"/>
    <x v="0"/>
    <x v="315"/>
    <d v="2012-01-22T00:00:00"/>
    <x v="15"/>
    <x v="0"/>
    <m/>
    <m/>
    <x v="0"/>
    <x v="1"/>
    <m/>
    <x v="0"/>
    <x v="1"/>
    <x v="525"/>
    <x v="3"/>
    <x v="0"/>
    <x v="1"/>
    <x v="315"/>
    <x v="3360"/>
  </r>
  <r>
    <x v="1"/>
    <n v="753"/>
    <x v="523"/>
    <x v="1"/>
    <s v="LM"/>
    <s v="S"/>
    <x v="47"/>
    <x v="2"/>
    <x v="723"/>
    <m/>
    <x v="216"/>
    <m/>
    <x v="3"/>
    <x v="0"/>
    <x v="457"/>
    <d v="2012-10-30T00:00:00"/>
    <x v="14"/>
    <x v="0"/>
    <m/>
    <m/>
    <x v="0"/>
    <x v="1"/>
    <m/>
    <x v="0"/>
    <x v="1"/>
    <x v="525"/>
    <x v="3"/>
    <x v="0"/>
    <x v="1"/>
    <x v="457"/>
    <x v="3361"/>
  </r>
  <r>
    <x v="1"/>
    <n v="1345"/>
    <x v="1302"/>
    <x v="1"/>
    <s v="LM"/>
    <s v="N"/>
    <x v="876"/>
    <x v="2"/>
    <x v="724"/>
    <m/>
    <x v="367"/>
    <m/>
    <x v="3"/>
    <x v="0"/>
    <x v="312"/>
    <d v="2012-09-29T00:00:00"/>
    <x v="9"/>
    <x v="0"/>
    <m/>
    <s v="Moon Harvest e Canal Brasil"/>
    <x v="0"/>
    <x v="0"/>
    <m/>
    <x v="0"/>
    <x v="1"/>
    <x v="1311"/>
    <x v="3"/>
    <x v="0"/>
    <x v="1"/>
    <x v="312"/>
    <x v="3362"/>
  </r>
  <r>
    <x v="1"/>
    <n v="1608"/>
    <x v="524"/>
    <x v="2"/>
    <s v="CM"/>
    <s v=""/>
    <x v="404"/>
    <x v="15"/>
    <x v="22"/>
    <m/>
    <x v="22"/>
    <m/>
    <x v="3"/>
    <x v="0"/>
    <x v="251"/>
    <d v="2012-11-18T00:00:00"/>
    <x v="13"/>
    <x v="0"/>
    <m/>
    <s v="Caminhos Juniores"/>
    <x v="0"/>
    <x v="0"/>
    <m/>
    <x v="0"/>
    <x v="4"/>
    <x v="526"/>
    <x v="3"/>
    <x v="0"/>
    <x v="1"/>
    <x v="251"/>
    <x v="3363"/>
  </r>
  <r>
    <x v="1"/>
    <n v="755"/>
    <x v="525"/>
    <x v="0"/>
    <s v="LM"/>
    <s v="N"/>
    <x v="63"/>
    <x v="31"/>
    <x v="534"/>
    <m/>
    <x v="65"/>
    <m/>
    <x v="9"/>
    <x v="0"/>
    <x v="365"/>
    <d v="2012-05-26T00:00:00"/>
    <x v="6"/>
    <x v="0"/>
    <m/>
    <m/>
    <x v="0"/>
    <x v="1"/>
    <m/>
    <x v="0"/>
    <x v="5"/>
    <x v="527"/>
    <x v="9"/>
    <x v="0"/>
    <x v="0"/>
    <x v="365"/>
    <x v="3364"/>
  </r>
  <r>
    <x v="1"/>
    <n v="755"/>
    <x v="525"/>
    <x v="0"/>
    <s v="LM"/>
    <s v="N"/>
    <x v="63"/>
    <x v="31"/>
    <x v="533"/>
    <m/>
    <x v="314"/>
    <m/>
    <x v="9"/>
    <x v="0"/>
    <x v="236"/>
    <d v="2012-06-28T00:00:00"/>
    <x v="7"/>
    <x v="0"/>
    <m/>
    <m/>
    <x v="0"/>
    <x v="1"/>
    <m/>
    <x v="0"/>
    <x v="5"/>
    <x v="527"/>
    <x v="9"/>
    <x v="0"/>
    <x v="0"/>
    <x v="236"/>
    <x v="3365"/>
  </r>
  <r>
    <x v="1"/>
    <n v="757"/>
    <x v="527"/>
    <x v="1"/>
    <s v="LM"/>
    <s v="S"/>
    <x v="235"/>
    <x v="1"/>
    <x v="162"/>
    <m/>
    <x v="124"/>
    <m/>
    <x v="3"/>
    <x v="0"/>
    <x v="244"/>
    <m/>
    <x v="1"/>
    <x v="0"/>
    <m/>
    <m/>
    <x v="0"/>
    <x v="1"/>
    <m/>
    <x v="0"/>
    <x v="1"/>
    <x v="529"/>
    <x v="3"/>
    <x v="0"/>
    <x v="1"/>
    <x v="244"/>
    <x v="3366"/>
  </r>
  <r>
    <x v="1"/>
    <n v="758"/>
    <x v="1303"/>
    <x v="0"/>
    <s v="CM"/>
    <s v="N"/>
    <x v="877"/>
    <x v="2"/>
    <x v="146"/>
    <m/>
    <x v="24"/>
    <m/>
    <x v="3"/>
    <x v="0"/>
    <x v="281"/>
    <d v="2012-05-06T00:00:00"/>
    <x v="4"/>
    <x v="0"/>
    <m/>
    <s v="Sessões Especiais - Novíssimos Curtas"/>
    <x v="0"/>
    <x v="0"/>
    <m/>
    <x v="0"/>
    <x v="0"/>
    <x v="1312"/>
    <x v="3"/>
    <x v="0"/>
    <x v="1"/>
    <x v="281"/>
    <x v="3367"/>
  </r>
  <r>
    <x v="1"/>
    <n v="758"/>
    <x v="1303"/>
    <x v="0"/>
    <s v="CM"/>
    <s v="N"/>
    <x v="877"/>
    <x v="2"/>
    <x v="64"/>
    <m/>
    <x v="23"/>
    <m/>
    <x v="3"/>
    <x v="0"/>
    <x v="386"/>
    <d v="2012-05-26T00:00:00"/>
    <x v="6"/>
    <x v="1"/>
    <m/>
    <m/>
    <x v="339"/>
    <x v="1"/>
    <m/>
    <x v="1"/>
    <x v="0"/>
    <x v="1312"/>
    <x v="3"/>
    <x v="406"/>
    <x v="1"/>
    <x v="386"/>
    <x v="3368"/>
  </r>
  <r>
    <x v="1"/>
    <n v="758"/>
    <x v="1303"/>
    <x v="0"/>
    <s v="CM"/>
    <s v="N"/>
    <x v="877"/>
    <x v="2"/>
    <x v="724"/>
    <m/>
    <x v="367"/>
    <m/>
    <x v="3"/>
    <x v="0"/>
    <x v="312"/>
    <d v="2012-09-29T00:00:00"/>
    <x v="9"/>
    <x v="1"/>
    <s v="Curtas da Casa"/>
    <m/>
    <x v="340"/>
    <x v="0"/>
    <m/>
    <x v="1"/>
    <x v="0"/>
    <x v="1312"/>
    <x v="3"/>
    <x v="407"/>
    <x v="1"/>
    <x v="312"/>
    <x v="3369"/>
  </r>
  <r>
    <x v="1"/>
    <n v="758"/>
    <x v="1303"/>
    <x v="0"/>
    <s v="CM"/>
    <s v="N"/>
    <x v="877"/>
    <x v="2"/>
    <x v="725"/>
    <m/>
    <x v="23"/>
    <m/>
    <x v="3"/>
    <x v="0"/>
    <x v="325"/>
    <m/>
    <x v="13"/>
    <x v="1"/>
    <m/>
    <m/>
    <x v="341"/>
    <x v="1"/>
    <m/>
    <x v="1"/>
    <x v="0"/>
    <x v="1312"/>
    <x v="3"/>
    <x v="408"/>
    <x v="1"/>
    <x v="325"/>
    <x v="3370"/>
  </r>
  <r>
    <x v="1"/>
    <n v="759"/>
    <x v="528"/>
    <x v="2"/>
    <s v="CM"/>
    <s v="S"/>
    <x v="406"/>
    <x v="3"/>
    <x v="601"/>
    <m/>
    <x v="330"/>
    <m/>
    <x v="48"/>
    <x v="0"/>
    <x v="269"/>
    <d v="2012-03-15T00:00:00"/>
    <x v="2"/>
    <x v="0"/>
    <m/>
    <s v="Special Effects/Animarion"/>
    <x v="0"/>
    <x v="0"/>
    <m/>
    <x v="0"/>
    <x v="4"/>
    <x v="530"/>
    <x v="48"/>
    <x v="0"/>
    <x v="0"/>
    <x v="269"/>
    <x v="3371"/>
  </r>
  <r>
    <x v="1"/>
    <n v="759"/>
    <x v="528"/>
    <x v="2"/>
    <s v="CM"/>
    <s v="S"/>
    <x v="406"/>
    <x v="3"/>
    <x v="26"/>
    <m/>
    <x v="24"/>
    <m/>
    <x v="3"/>
    <x v="0"/>
    <x v="268"/>
    <d v="2012-03-24T00:00:00"/>
    <x v="2"/>
    <x v="1"/>
    <s v="Competição Portugueses"/>
    <m/>
    <x v="0"/>
    <x v="0"/>
    <m/>
    <x v="0"/>
    <x v="4"/>
    <x v="530"/>
    <x v="3"/>
    <x v="0"/>
    <x v="1"/>
    <x v="268"/>
    <x v="3372"/>
  </r>
  <r>
    <x v="1"/>
    <n v="759"/>
    <x v="528"/>
    <x v="2"/>
    <s v="CM"/>
    <s v="S"/>
    <x v="406"/>
    <x v="3"/>
    <x v="413"/>
    <m/>
    <x v="270"/>
    <m/>
    <x v="3"/>
    <x v="0"/>
    <x v="243"/>
    <d v="2012-06-03T00:00:00"/>
    <x v="7"/>
    <x v="1"/>
    <s v="Geral"/>
    <m/>
    <x v="0"/>
    <x v="0"/>
    <m/>
    <x v="0"/>
    <x v="4"/>
    <x v="530"/>
    <x v="3"/>
    <x v="0"/>
    <x v="1"/>
    <x v="243"/>
    <x v="3373"/>
  </r>
  <r>
    <x v="1"/>
    <n v="759"/>
    <x v="528"/>
    <x v="2"/>
    <s v="CM"/>
    <s v="S"/>
    <x v="406"/>
    <x v="3"/>
    <x v="726"/>
    <m/>
    <x v="208"/>
    <m/>
    <x v="1"/>
    <x v="0"/>
    <x v="290"/>
    <d v="2012-06-16T00:00:00"/>
    <x v="7"/>
    <x v="1"/>
    <s v="Concurso Iberoamericano de Cortometrajes"/>
    <m/>
    <x v="0"/>
    <x v="0"/>
    <m/>
    <x v="0"/>
    <x v="4"/>
    <x v="530"/>
    <x v="1"/>
    <x v="0"/>
    <x v="0"/>
    <x v="290"/>
    <x v="3374"/>
  </r>
  <r>
    <x v="1"/>
    <n v="759"/>
    <x v="528"/>
    <x v="2"/>
    <s v="CM"/>
    <s v="S"/>
    <x v="406"/>
    <x v="3"/>
    <x v="579"/>
    <m/>
    <x v="325"/>
    <m/>
    <x v="15"/>
    <x v="0"/>
    <x v="392"/>
    <d v="2012-07-28T00:00:00"/>
    <x v="8"/>
    <x v="1"/>
    <s v="Premio Cartoon Club"/>
    <m/>
    <x v="0"/>
    <x v="0"/>
    <m/>
    <x v="0"/>
    <x v="4"/>
    <x v="530"/>
    <x v="15"/>
    <x v="0"/>
    <x v="0"/>
    <x v="392"/>
    <x v="3375"/>
  </r>
  <r>
    <x v="1"/>
    <n v="759"/>
    <x v="528"/>
    <x v="2"/>
    <s v="CM"/>
    <s v="S"/>
    <x v="406"/>
    <x v="3"/>
    <x v="653"/>
    <m/>
    <x v="11"/>
    <m/>
    <x v="3"/>
    <x v="0"/>
    <x v="252"/>
    <m/>
    <x v="14"/>
    <x v="1"/>
    <s v="Tema C - Animação"/>
    <m/>
    <x v="39"/>
    <x v="0"/>
    <m/>
    <x v="1"/>
    <x v="4"/>
    <x v="530"/>
    <x v="3"/>
    <x v="409"/>
    <x v="1"/>
    <x v="252"/>
    <x v="3376"/>
  </r>
  <r>
    <x v="1"/>
    <n v="759"/>
    <x v="528"/>
    <x v="2"/>
    <s v="CM"/>
    <s v="S"/>
    <x v="406"/>
    <x v="3"/>
    <x v="37"/>
    <m/>
    <x v="35"/>
    <m/>
    <x v="2"/>
    <x v="0"/>
    <x v="304"/>
    <d v="2012-12-02T00:00:00"/>
    <x v="11"/>
    <x v="1"/>
    <s v="Animation 2"/>
    <m/>
    <x v="0"/>
    <x v="0"/>
    <m/>
    <x v="0"/>
    <x v="4"/>
    <x v="530"/>
    <x v="2"/>
    <x v="0"/>
    <x v="0"/>
    <x v="304"/>
    <x v="3377"/>
  </r>
  <r>
    <x v="1"/>
    <n v="759"/>
    <x v="528"/>
    <x v="2"/>
    <s v="CM"/>
    <s v="S"/>
    <x v="406"/>
    <x v="3"/>
    <x v="727"/>
    <m/>
    <x v="157"/>
    <m/>
    <x v="45"/>
    <x v="0"/>
    <x v="438"/>
    <d v="2012-12-07T00:00:00"/>
    <x v="12"/>
    <x v="1"/>
    <s v="International Competition"/>
    <m/>
    <x v="342"/>
    <x v="0"/>
    <m/>
    <x v="1"/>
    <x v="4"/>
    <x v="530"/>
    <x v="45"/>
    <x v="410"/>
    <x v="0"/>
    <x v="438"/>
    <x v="3378"/>
  </r>
  <r>
    <x v="1"/>
    <n v="1353"/>
    <x v="1304"/>
    <x v="1"/>
    <s v="CM"/>
    <s v="N"/>
    <x v="857"/>
    <x v="2"/>
    <x v="42"/>
    <m/>
    <x v="39"/>
    <m/>
    <x v="3"/>
    <x v="0"/>
    <x v="447"/>
    <m/>
    <x v="8"/>
    <x v="0"/>
    <m/>
    <m/>
    <x v="0"/>
    <x v="1"/>
    <m/>
    <x v="0"/>
    <x v="2"/>
    <x v="1313"/>
    <x v="3"/>
    <x v="0"/>
    <x v="1"/>
    <x v="447"/>
    <x v="3379"/>
  </r>
  <r>
    <x v="1"/>
    <n v="762"/>
    <x v="1305"/>
    <x v="4"/>
    <s v="CM"/>
    <s v="N"/>
    <x v="878"/>
    <x v="2"/>
    <x v="449"/>
    <m/>
    <x v="22"/>
    <m/>
    <x v="3"/>
    <x v="0"/>
    <x v="290"/>
    <m/>
    <x v="7"/>
    <x v="1"/>
    <s v="Movimento"/>
    <m/>
    <x v="0"/>
    <x v="0"/>
    <m/>
    <x v="0"/>
    <x v="8"/>
    <x v="1314"/>
    <x v="3"/>
    <x v="0"/>
    <x v="1"/>
    <x v="290"/>
    <x v="3380"/>
  </r>
  <r>
    <x v="1"/>
    <n v="763"/>
    <x v="1306"/>
    <x v="0"/>
    <s v="CM"/>
    <s v="N"/>
    <x v="419"/>
    <x v="41"/>
    <x v="146"/>
    <m/>
    <x v="24"/>
    <m/>
    <x v="3"/>
    <x v="0"/>
    <x v="281"/>
    <d v="2012-05-06T00:00:00"/>
    <x v="4"/>
    <x v="1"/>
    <s v="Competição Internacional Curtas 6 e Competição Nacional Curtas 1"/>
    <m/>
    <x v="343"/>
    <x v="0"/>
    <m/>
    <x v="1"/>
    <x v="0"/>
    <x v="1315"/>
    <x v="3"/>
    <x v="411"/>
    <x v="1"/>
    <x v="281"/>
    <x v="3381"/>
  </r>
  <r>
    <x v="1"/>
    <n v="763"/>
    <x v="1306"/>
    <x v="0"/>
    <s v="CM"/>
    <s v="N"/>
    <x v="419"/>
    <x v="41"/>
    <x v="68"/>
    <m/>
    <x v="53"/>
    <m/>
    <x v="3"/>
    <x v="0"/>
    <x v="253"/>
    <d v="2012-07-15T00:00:00"/>
    <x v="8"/>
    <x v="1"/>
    <s v="Take One!"/>
    <m/>
    <x v="7"/>
    <x v="0"/>
    <m/>
    <x v="1"/>
    <x v="0"/>
    <x v="1315"/>
    <x v="3"/>
    <x v="75"/>
    <x v="1"/>
    <x v="253"/>
    <x v="3382"/>
  </r>
  <r>
    <x v="1"/>
    <n v="763"/>
    <x v="1306"/>
    <x v="0"/>
    <s v="CM"/>
    <s v="N"/>
    <x v="419"/>
    <x v="41"/>
    <x v="219"/>
    <m/>
    <x v="153"/>
    <m/>
    <x v="44"/>
    <x v="0"/>
    <x v="294"/>
    <d v="2012-10-21T00:00:00"/>
    <x v="14"/>
    <x v="1"/>
    <s v="Curta-Metragem"/>
    <m/>
    <x v="0"/>
    <x v="0"/>
    <m/>
    <x v="0"/>
    <x v="0"/>
    <x v="1315"/>
    <x v="44"/>
    <x v="0"/>
    <x v="0"/>
    <x v="294"/>
    <x v="3383"/>
  </r>
  <r>
    <x v="1"/>
    <n v="763"/>
    <x v="1306"/>
    <x v="0"/>
    <s v="CM"/>
    <s v="N"/>
    <x v="419"/>
    <x v="41"/>
    <x v="629"/>
    <m/>
    <x v="143"/>
    <m/>
    <x v="43"/>
    <x v="0"/>
    <x v="411"/>
    <d v="2012-10-28T00:00:00"/>
    <x v="14"/>
    <x v="1"/>
    <s v="International Competition: Student Films"/>
    <m/>
    <x v="0"/>
    <x v="0"/>
    <m/>
    <x v="0"/>
    <x v="0"/>
    <x v="1315"/>
    <x v="43"/>
    <x v="0"/>
    <x v="0"/>
    <x v="411"/>
    <x v="3384"/>
  </r>
  <r>
    <x v="1"/>
    <n v="763"/>
    <x v="1306"/>
    <x v="0"/>
    <s v="CM"/>
    <s v="N"/>
    <x v="419"/>
    <x v="41"/>
    <x v="80"/>
    <m/>
    <x v="60"/>
    <m/>
    <x v="3"/>
    <x v="0"/>
    <x v="251"/>
    <d v="2012-11-18T00:00:00"/>
    <x v="13"/>
    <x v="1"/>
    <s v="Encontros - Competição Curtas Meragens MEO "/>
    <m/>
    <x v="0"/>
    <x v="0"/>
    <m/>
    <x v="0"/>
    <x v="0"/>
    <x v="1315"/>
    <x v="3"/>
    <x v="0"/>
    <x v="1"/>
    <x v="251"/>
    <x v="3385"/>
  </r>
  <r>
    <x v="1"/>
    <n v="763"/>
    <x v="1306"/>
    <x v="0"/>
    <s v="CM"/>
    <s v="N"/>
    <x v="419"/>
    <x v="41"/>
    <x v="484"/>
    <m/>
    <x v="292"/>
    <m/>
    <x v="22"/>
    <x v="0"/>
    <x v="327"/>
    <d v="2012-12-14T00:00:00"/>
    <x v="12"/>
    <x v="1"/>
    <m/>
    <m/>
    <x v="0"/>
    <x v="0"/>
    <m/>
    <x v="0"/>
    <x v="0"/>
    <x v="1315"/>
    <x v="22"/>
    <x v="0"/>
    <x v="0"/>
    <x v="327"/>
    <x v="3386"/>
  </r>
  <r>
    <x v="1"/>
    <n v="1559"/>
    <x v="1307"/>
    <x v="0"/>
    <s v="CM"/>
    <s v="N"/>
    <x v="879"/>
    <x v="3"/>
    <x v="402"/>
    <m/>
    <x v="24"/>
    <m/>
    <x v="3"/>
    <x v="0"/>
    <x v="231"/>
    <d v="2012-12-09T00:00:00"/>
    <x v="12"/>
    <x v="1"/>
    <s v="Categoria Fundação INATEL e Prémio Jovem Realizador"/>
    <m/>
    <x v="0"/>
    <x v="1"/>
    <m/>
    <x v="0"/>
    <x v="0"/>
    <x v="1316"/>
    <x v="3"/>
    <x v="0"/>
    <x v="1"/>
    <x v="231"/>
    <x v="3387"/>
  </r>
  <r>
    <x v="1"/>
    <n v="765"/>
    <x v="532"/>
    <x v="0"/>
    <s v="CM"/>
    <s v="N"/>
    <x v="409"/>
    <x v="2"/>
    <x v="665"/>
    <m/>
    <x v="24"/>
    <m/>
    <x v="3"/>
    <x v="0"/>
    <x v="400"/>
    <m/>
    <x v="15"/>
    <x v="1"/>
    <m/>
    <m/>
    <x v="0"/>
    <x v="1"/>
    <m/>
    <x v="0"/>
    <x v="0"/>
    <x v="534"/>
    <x v="3"/>
    <x v="0"/>
    <x v="1"/>
    <x v="400"/>
    <x v="3388"/>
  </r>
  <r>
    <x v="1"/>
    <n v="765"/>
    <x v="532"/>
    <x v="0"/>
    <s v="CM"/>
    <s v="N"/>
    <x v="409"/>
    <x v="2"/>
    <x v="437"/>
    <m/>
    <x v="49"/>
    <m/>
    <x v="3"/>
    <x v="0"/>
    <x v="291"/>
    <m/>
    <x v="15"/>
    <x v="0"/>
    <m/>
    <m/>
    <x v="0"/>
    <x v="1"/>
    <m/>
    <x v="0"/>
    <x v="0"/>
    <x v="534"/>
    <x v="3"/>
    <x v="0"/>
    <x v="1"/>
    <x v="291"/>
    <x v="3389"/>
  </r>
  <r>
    <x v="1"/>
    <n v="765"/>
    <x v="532"/>
    <x v="0"/>
    <s v="CM"/>
    <s v="N"/>
    <x v="409"/>
    <x v="2"/>
    <x v="62"/>
    <m/>
    <x v="23"/>
    <m/>
    <x v="3"/>
    <x v="0"/>
    <x v="302"/>
    <d v="2012-03-04T00:00:00"/>
    <x v="19"/>
    <x v="1"/>
    <s v="Prémio de Cinema Português - Escolas de Cinema"/>
    <m/>
    <x v="0"/>
    <x v="0"/>
    <m/>
    <x v="0"/>
    <x v="0"/>
    <x v="534"/>
    <x v="3"/>
    <x v="0"/>
    <x v="1"/>
    <x v="302"/>
    <x v="3390"/>
  </r>
  <r>
    <x v="1"/>
    <n v="765"/>
    <x v="532"/>
    <x v="0"/>
    <s v="CM"/>
    <s v="N"/>
    <x v="409"/>
    <x v="2"/>
    <x v="63"/>
    <m/>
    <x v="24"/>
    <m/>
    <x v="3"/>
    <x v="0"/>
    <x v="274"/>
    <d v="2012-05-16T00:00:00"/>
    <x v="6"/>
    <x v="1"/>
    <s v="Competição Curtas Metragens"/>
    <m/>
    <x v="0"/>
    <x v="0"/>
    <m/>
    <x v="0"/>
    <x v="0"/>
    <x v="534"/>
    <x v="3"/>
    <x v="0"/>
    <x v="1"/>
    <x v="274"/>
    <x v="3391"/>
  </r>
  <r>
    <x v="1"/>
    <n v="765"/>
    <x v="532"/>
    <x v="0"/>
    <s v="CM"/>
    <s v="N"/>
    <x v="409"/>
    <x v="2"/>
    <x v="268"/>
    <m/>
    <x v="0"/>
    <m/>
    <x v="0"/>
    <x v="0"/>
    <x v="309"/>
    <d v="2012-06-24T00:00:00"/>
    <x v="7"/>
    <x v="0"/>
    <m/>
    <s v="Mostra Temática: Cinesul Fantástico"/>
    <x v="0"/>
    <x v="0"/>
    <m/>
    <x v="0"/>
    <x v="0"/>
    <x v="534"/>
    <x v="0"/>
    <x v="0"/>
    <x v="0"/>
    <x v="309"/>
    <x v="3392"/>
  </r>
  <r>
    <x v="1"/>
    <n v="765"/>
    <x v="532"/>
    <x v="0"/>
    <s v="CM"/>
    <s v="N"/>
    <x v="409"/>
    <x v="2"/>
    <x v="316"/>
    <m/>
    <x v="11"/>
    <m/>
    <x v="3"/>
    <x v="0"/>
    <x v="199"/>
    <d v="2012-08-25T00:00:00"/>
    <x v="16"/>
    <x v="1"/>
    <s v="Ficção"/>
    <m/>
    <x v="0"/>
    <x v="0"/>
    <m/>
    <x v="0"/>
    <x v="0"/>
    <x v="534"/>
    <x v="3"/>
    <x v="0"/>
    <x v="1"/>
    <x v="199"/>
    <x v="3393"/>
  </r>
  <r>
    <x v="1"/>
    <n v="765"/>
    <x v="532"/>
    <x v="0"/>
    <s v="CM"/>
    <s v="N"/>
    <x v="409"/>
    <x v="2"/>
    <x v="445"/>
    <m/>
    <x v="284"/>
    <m/>
    <x v="3"/>
    <x v="0"/>
    <x v="286"/>
    <d v="2012-09-08T00:00:00"/>
    <x v="9"/>
    <x v="1"/>
    <m/>
    <m/>
    <x v="344"/>
    <x v="0"/>
    <m/>
    <x v="1"/>
    <x v="0"/>
    <x v="534"/>
    <x v="3"/>
    <x v="412"/>
    <x v="1"/>
    <x v="286"/>
    <x v="3394"/>
  </r>
  <r>
    <x v="1"/>
    <n v="765"/>
    <x v="532"/>
    <x v="0"/>
    <s v="CM"/>
    <s v="N"/>
    <x v="409"/>
    <x v="2"/>
    <x v="48"/>
    <m/>
    <x v="24"/>
    <m/>
    <x v="3"/>
    <x v="0"/>
    <x v="276"/>
    <d v="2012-09-16T00:00:00"/>
    <x v="9"/>
    <x v="1"/>
    <s v="Prémio Motelx  - Melhor Curta de Terror Portuguesa"/>
    <m/>
    <x v="0"/>
    <x v="0"/>
    <m/>
    <x v="0"/>
    <x v="0"/>
    <x v="534"/>
    <x v="3"/>
    <x v="0"/>
    <x v="1"/>
    <x v="276"/>
    <x v="3395"/>
  </r>
  <r>
    <x v="1"/>
    <n v="765"/>
    <x v="532"/>
    <x v="0"/>
    <s v="CM"/>
    <s v="N"/>
    <x v="409"/>
    <x v="2"/>
    <x v="466"/>
    <m/>
    <x v="288"/>
    <m/>
    <x v="10"/>
    <x v="0"/>
    <x v="312"/>
    <d v="2012-09-30T00:00:00"/>
    <x v="9"/>
    <x v="1"/>
    <s v="Fiction"/>
    <m/>
    <x v="0"/>
    <x v="0"/>
    <m/>
    <x v="0"/>
    <x v="0"/>
    <x v="534"/>
    <x v="10"/>
    <x v="0"/>
    <x v="0"/>
    <x v="312"/>
    <x v="3396"/>
  </r>
  <r>
    <x v="1"/>
    <n v="765"/>
    <x v="532"/>
    <x v="0"/>
    <s v="CM"/>
    <s v="N"/>
    <x v="409"/>
    <x v="2"/>
    <x v="219"/>
    <m/>
    <x v="153"/>
    <m/>
    <x v="44"/>
    <x v="0"/>
    <x v="294"/>
    <d v="2012-10-21T00:00:00"/>
    <x v="14"/>
    <x v="1"/>
    <s v="Curta-Metragem"/>
    <m/>
    <x v="0"/>
    <x v="0"/>
    <m/>
    <x v="0"/>
    <x v="0"/>
    <x v="534"/>
    <x v="44"/>
    <x v="0"/>
    <x v="0"/>
    <x v="294"/>
    <x v="3397"/>
  </r>
  <r>
    <x v="1"/>
    <n v="765"/>
    <x v="532"/>
    <x v="0"/>
    <s v="CM"/>
    <s v="N"/>
    <x v="409"/>
    <x v="2"/>
    <x v="439"/>
    <m/>
    <x v="281"/>
    <m/>
    <x v="3"/>
    <x v="0"/>
    <x v="277"/>
    <d v="2012-11-03T00:00:00"/>
    <x v="0"/>
    <x v="0"/>
    <m/>
    <m/>
    <x v="0"/>
    <x v="0"/>
    <m/>
    <x v="0"/>
    <x v="0"/>
    <x v="534"/>
    <x v="3"/>
    <x v="0"/>
    <x v="1"/>
    <x v="277"/>
    <x v="3398"/>
  </r>
  <r>
    <x v="1"/>
    <n v="765"/>
    <x v="532"/>
    <x v="0"/>
    <s v="CM"/>
    <s v="N"/>
    <x v="409"/>
    <x v="2"/>
    <x v="37"/>
    <m/>
    <x v="35"/>
    <m/>
    <x v="2"/>
    <x v="0"/>
    <x v="304"/>
    <d v="2012-12-02T00:00:00"/>
    <x v="11"/>
    <x v="0"/>
    <m/>
    <s v="Panorama Fenêtre Ouverte Universitaire"/>
    <x v="0"/>
    <x v="0"/>
    <m/>
    <x v="0"/>
    <x v="0"/>
    <x v="534"/>
    <x v="2"/>
    <x v="0"/>
    <x v="0"/>
    <x v="304"/>
    <x v="3399"/>
  </r>
  <r>
    <x v="1"/>
    <n v="768"/>
    <x v="1308"/>
    <x v="4"/>
    <s v="CM"/>
    <s v="N"/>
    <x v="880"/>
    <x v="2"/>
    <x v="449"/>
    <m/>
    <x v="22"/>
    <m/>
    <x v="3"/>
    <x v="0"/>
    <x v="290"/>
    <m/>
    <x v="7"/>
    <x v="1"/>
    <s v="Livre"/>
    <m/>
    <x v="0"/>
    <x v="0"/>
    <m/>
    <x v="0"/>
    <x v="8"/>
    <x v="1317"/>
    <x v="3"/>
    <x v="0"/>
    <x v="1"/>
    <x v="290"/>
    <x v="3400"/>
  </r>
  <r>
    <x v="1"/>
    <n v="769"/>
    <x v="535"/>
    <x v="2"/>
    <s v="CM"/>
    <s v="S"/>
    <x v="411"/>
    <x v="3"/>
    <x v="62"/>
    <m/>
    <x v="23"/>
    <m/>
    <x v="3"/>
    <x v="0"/>
    <x v="302"/>
    <d v="2012-03-04T00:00:00"/>
    <x v="19"/>
    <x v="0"/>
    <m/>
    <s v="Panorama doCinema Portugês - Casa da Animação"/>
    <x v="0"/>
    <x v="0"/>
    <m/>
    <x v="0"/>
    <x v="4"/>
    <x v="537"/>
    <x v="3"/>
    <x v="0"/>
    <x v="1"/>
    <x v="302"/>
    <x v="3401"/>
  </r>
  <r>
    <x v="1"/>
    <n v="769"/>
    <x v="535"/>
    <x v="2"/>
    <s v="CM"/>
    <s v="S"/>
    <x v="411"/>
    <x v="3"/>
    <x v="26"/>
    <m/>
    <x v="24"/>
    <m/>
    <x v="3"/>
    <x v="0"/>
    <x v="268"/>
    <d v="2012-03-24T00:00:00"/>
    <x v="2"/>
    <x v="1"/>
    <s v="Competição Portugueses"/>
    <m/>
    <x v="0"/>
    <x v="0"/>
    <m/>
    <x v="0"/>
    <x v="4"/>
    <x v="537"/>
    <x v="3"/>
    <x v="0"/>
    <x v="1"/>
    <x v="268"/>
    <x v="3402"/>
  </r>
  <r>
    <x v="1"/>
    <n v="769"/>
    <x v="535"/>
    <x v="2"/>
    <s v="CM"/>
    <s v="S"/>
    <x v="411"/>
    <x v="3"/>
    <x v="507"/>
    <m/>
    <x v="305"/>
    <m/>
    <x v="15"/>
    <x v="0"/>
    <x v="323"/>
    <d v="2012-03-25T00:00:00"/>
    <x v="2"/>
    <x v="1"/>
    <s v="Cortometraggi "/>
    <m/>
    <x v="0"/>
    <x v="4"/>
    <m/>
    <x v="0"/>
    <x v="4"/>
    <x v="537"/>
    <x v="15"/>
    <x v="0"/>
    <x v="0"/>
    <x v="323"/>
    <x v="3403"/>
  </r>
  <r>
    <x v="1"/>
    <n v="769"/>
    <x v="535"/>
    <x v="2"/>
    <s v="CM"/>
    <s v="S"/>
    <x v="411"/>
    <x v="3"/>
    <x v="22"/>
    <m/>
    <x v="22"/>
    <m/>
    <x v="3"/>
    <x v="0"/>
    <x v="251"/>
    <d v="2012-11-18T00:00:00"/>
    <x v="13"/>
    <x v="1"/>
    <s v="Secção Competitiva"/>
    <m/>
    <x v="0"/>
    <x v="0"/>
    <m/>
    <x v="0"/>
    <x v="4"/>
    <x v="537"/>
    <x v="3"/>
    <x v="0"/>
    <x v="1"/>
    <x v="251"/>
    <x v="3404"/>
  </r>
  <r>
    <x v="1"/>
    <n v="771"/>
    <x v="1309"/>
    <x v="2"/>
    <s v="CM"/>
    <s v=""/>
    <x v="881"/>
    <x v="2"/>
    <x v="200"/>
    <m/>
    <x v="145"/>
    <m/>
    <x v="2"/>
    <x v="0"/>
    <x v="332"/>
    <d v="2012-03-25T00:00:00"/>
    <x v="2"/>
    <x v="0"/>
    <m/>
    <s v="Panorama Animation Portugaise"/>
    <x v="0"/>
    <x v="0"/>
    <m/>
    <x v="0"/>
    <x v="4"/>
    <x v="1318"/>
    <x v="2"/>
    <x v="0"/>
    <x v="0"/>
    <x v="332"/>
    <x v="3405"/>
  </r>
  <r>
    <x v="1"/>
    <n v="1369"/>
    <x v="1310"/>
    <x v="0"/>
    <s v="LM"/>
    <s v="N"/>
    <x v="882"/>
    <x v="2"/>
    <x v="676"/>
    <m/>
    <x v="351"/>
    <m/>
    <x v="1"/>
    <x v="0"/>
    <x v="240"/>
    <d v="2012-10-20T00:00:00"/>
    <x v="14"/>
    <x v="0"/>
    <m/>
    <s v="Retrospectivas: Cine y Urbe"/>
    <x v="0"/>
    <x v="0"/>
    <m/>
    <x v="0"/>
    <x v="5"/>
    <x v="1319"/>
    <x v="1"/>
    <x v="0"/>
    <x v="0"/>
    <x v="240"/>
    <x v="3406"/>
  </r>
  <r>
    <x v="1"/>
    <n v="775"/>
    <x v="1311"/>
    <x v="0"/>
    <s v="CM"/>
    <s v="N"/>
    <x v="690"/>
    <x v="3"/>
    <x v="62"/>
    <m/>
    <x v="23"/>
    <m/>
    <x v="3"/>
    <x v="0"/>
    <x v="302"/>
    <d v="2012-03-04T00:00:00"/>
    <x v="19"/>
    <x v="1"/>
    <s v="Prémio de Cinema Português - Melhor Filme"/>
    <m/>
    <x v="345"/>
    <x v="0"/>
    <m/>
    <x v="1"/>
    <x v="0"/>
    <x v="1320"/>
    <x v="3"/>
    <x v="413"/>
    <x v="1"/>
    <x v="302"/>
    <x v="3407"/>
  </r>
  <r>
    <x v="1"/>
    <n v="775"/>
    <x v="1311"/>
    <x v="0"/>
    <s v="CM"/>
    <s v="N"/>
    <x v="690"/>
    <x v="3"/>
    <x v="63"/>
    <m/>
    <x v="24"/>
    <m/>
    <x v="3"/>
    <x v="0"/>
    <x v="274"/>
    <d v="2012-05-16T00:00:00"/>
    <x v="6"/>
    <x v="0"/>
    <m/>
    <s v="Inclusão Social pelo Cinema"/>
    <x v="0"/>
    <x v="0"/>
    <m/>
    <x v="0"/>
    <x v="0"/>
    <x v="1320"/>
    <x v="3"/>
    <x v="0"/>
    <x v="1"/>
    <x v="274"/>
    <x v="3408"/>
  </r>
  <r>
    <x v="1"/>
    <n v="775"/>
    <x v="1311"/>
    <x v="0"/>
    <s v="CM"/>
    <s v="N"/>
    <x v="690"/>
    <x v="3"/>
    <x v="316"/>
    <m/>
    <x v="11"/>
    <m/>
    <x v="3"/>
    <x v="0"/>
    <x v="199"/>
    <d v="2012-08-25T00:00:00"/>
    <x v="16"/>
    <x v="1"/>
    <s v="Ficção"/>
    <m/>
    <x v="0"/>
    <x v="0"/>
    <m/>
    <x v="0"/>
    <x v="0"/>
    <x v="1320"/>
    <x v="3"/>
    <x v="0"/>
    <x v="1"/>
    <x v="199"/>
    <x v="3409"/>
  </r>
  <r>
    <x v="1"/>
    <n v="775"/>
    <x v="1311"/>
    <x v="0"/>
    <s v="CM"/>
    <s v="N"/>
    <x v="690"/>
    <x v="3"/>
    <x v="386"/>
    <m/>
    <x v="252"/>
    <m/>
    <x v="2"/>
    <x v="0"/>
    <x v="445"/>
    <d v="2012-09-08T00:00:00"/>
    <x v="9"/>
    <x v="1"/>
    <s v="Série 3 - Vive la Révolution"/>
    <m/>
    <x v="0"/>
    <x v="0"/>
    <m/>
    <x v="0"/>
    <x v="0"/>
    <x v="1320"/>
    <x v="2"/>
    <x v="0"/>
    <x v="0"/>
    <x v="445"/>
    <x v="3410"/>
  </r>
  <r>
    <x v="1"/>
    <n v="775"/>
    <x v="1311"/>
    <x v="0"/>
    <s v="CM"/>
    <s v="N"/>
    <x v="690"/>
    <x v="3"/>
    <x v="88"/>
    <m/>
    <x v="67"/>
    <m/>
    <x v="3"/>
    <x v="0"/>
    <x v="262"/>
    <d v="2012-10-13T00:00:00"/>
    <x v="14"/>
    <x v="0"/>
    <m/>
    <s v="Inclusão Social pelo Cinema"/>
    <x v="0"/>
    <x v="0"/>
    <m/>
    <x v="0"/>
    <x v="0"/>
    <x v="1320"/>
    <x v="3"/>
    <x v="0"/>
    <x v="1"/>
    <x v="262"/>
    <x v="3411"/>
  </r>
  <r>
    <x v="1"/>
    <n v="775"/>
    <x v="1311"/>
    <x v="0"/>
    <s v="CM"/>
    <s v="N"/>
    <x v="690"/>
    <x v="3"/>
    <x v="448"/>
    <m/>
    <x v="59"/>
    <m/>
    <x v="3"/>
    <x v="0"/>
    <x v="289"/>
    <d v="2012-12-02T00:00:00"/>
    <x v="11"/>
    <x v="1"/>
    <s v="Competição Nacional"/>
    <m/>
    <x v="346"/>
    <x v="0"/>
    <m/>
    <x v="1"/>
    <x v="0"/>
    <x v="1320"/>
    <x v="3"/>
    <x v="414"/>
    <x v="1"/>
    <x v="289"/>
    <x v="3412"/>
  </r>
  <r>
    <x v="1"/>
    <n v="1517"/>
    <x v="1312"/>
    <x v="1"/>
    <s v="CM"/>
    <s v="N"/>
    <x v="883"/>
    <x v="41"/>
    <x v="489"/>
    <m/>
    <x v="297"/>
    <m/>
    <x v="3"/>
    <x v="0"/>
    <x v="267"/>
    <d v="2012-11-17T00:00:00"/>
    <x v="13"/>
    <x v="1"/>
    <s v="Memórias, Gestos e Espaços"/>
    <m/>
    <x v="0"/>
    <x v="0"/>
    <m/>
    <x v="0"/>
    <x v="2"/>
    <x v="1321"/>
    <x v="3"/>
    <x v="0"/>
    <x v="1"/>
    <x v="267"/>
    <x v="3413"/>
  </r>
  <r>
    <x v="1"/>
    <n v="1579"/>
    <x v="1313"/>
    <x v="0"/>
    <s v="CM"/>
    <s v="S"/>
    <x v="884"/>
    <x v="5"/>
    <x v="22"/>
    <m/>
    <x v="22"/>
    <m/>
    <x v="3"/>
    <x v="0"/>
    <x v="251"/>
    <d v="2012-11-18T00:00:00"/>
    <x v="13"/>
    <x v="1"/>
    <s v="Secção Competitiva"/>
    <m/>
    <x v="0"/>
    <x v="0"/>
    <m/>
    <x v="0"/>
    <x v="0"/>
    <x v="1322"/>
    <x v="3"/>
    <x v="0"/>
    <x v="1"/>
    <x v="251"/>
    <x v="3414"/>
  </r>
  <r>
    <x v="1"/>
    <n v="776"/>
    <x v="1314"/>
    <x v="0"/>
    <s v="CM"/>
    <s v="N"/>
    <x v="885"/>
    <x v="2"/>
    <x v="728"/>
    <m/>
    <x v="23"/>
    <m/>
    <x v="3"/>
    <x v="0"/>
    <x v="260"/>
    <m/>
    <x v="5"/>
    <x v="1"/>
    <m/>
    <m/>
    <x v="0"/>
    <x v="1"/>
    <m/>
    <x v="0"/>
    <x v="0"/>
    <x v="1323"/>
    <x v="3"/>
    <x v="0"/>
    <x v="1"/>
    <x v="260"/>
    <x v="3415"/>
  </r>
  <r>
    <x v="1"/>
    <n v="1317"/>
    <x v="1315"/>
    <x v="1"/>
    <s v="CM"/>
    <s v="N"/>
    <x v="525"/>
    <x v="2"/>
    <x v="368"/>
    <m/>
    <x v="23"/>
    <m/>
    <x v="3"/>
    <x v="0"/>
    <x v="347"/>
    <m/>
    <x v="7"/>
    <x v="0"/>
    <m/>
    <m/>
    <x v="0"/>
    <x v="1"/>
    <m/>
    <x v="0"/>
    <x v="2"/>
    <x v="1324"/>
    <x v="3"/>
    <x v="0"/>
    <x v="1"/>
    <x v="347"/>
    <x v="3416"/>
  </r>
  <r>
    <x v="1"/>
    <n v="1317"/>
    <x v="1315"/>
    <x v="1"/>
    <s v="CM"/>
    <s v="N"/>
    <x v="525"/>
    <x v="2"/>
    <x v="25"/>
    <m/>
    <x v="24"/>
    <m/>
    <x v="3"/>
    <x v="0"/>
    <x v="294"/>
    <d v="2012-10-28T00:00:00"/>
    <x v="14"/>
    <x v="0"/>
    <m/>
    <s v="Heart Beat"/>
    <x v="0"/>
    <x v="0"/>
    <m/>
    <x v="0"/>
    <x v="2"/>
    <x v="1324"/>
    <x v="3"/>
    <x v="0"/>
    <x v="1"/>
    <x v="294"/>
    <x v="3417"/>
  </r>
  <r>
    <x v="1"/>
    <n v="777"/>
    <x v="1316"/>
    <x v="4"/>
    <s v="CM"/>
    <s v="N"/>
    <x v="886"/>
    <x v="2"/>
    <x v="714"/>
    <m/>
    <x v="23"/>
    <m/>
    <x v="3"/>
    <x v="0"/>
    <x v="244"/>
    <m/>
    <x v="1"/>
    <x v="1"/>
    <m/>
    <m/>
    <x v="0"/>
    <x v="1"/>
    <m/>
    <x v="0"/>
    <x v="8"/>
    <x v="1325"/>
    <x v="3"/>
    <x v="0"/>
    <x v="1"/>
    <x v="244"/>
    <x v="3418"/>
  </r>
  <r>
    <x v="1"/>
    <n v="778"/>
    <x v="1317"/>
    <x v="0"/>
    <s v="CM"/>
    <s v="N"/>
    <x v="887"/>
    <x v="2"/>
    <x v="729"/>
    <m/>
    <x v="23"/>
    <m/>
    <x v="3"/>
    <x v="0"/>
    <x v="292"/>
    <m/>
    <x v="1"/>
    <x v="1"/>
    <m/>
    <m/>
    <x v="0"/>
    <x v="1"/>
    <m/>
    <x v="0"/>
    <x v="0"/>
    <x v="1326"/>
    <x v="3"/>
    <x v="0"/>
    <x v="1"/>
    <x v="292"/>
    <x v="3419"/>
  </r>
  <r>
    <x v="1"/>
    <n v="779"/>
    <x v="1318"/>
    <x v="0"/>
    <s v="CM"/>
    <s v="N"/>
    <x v="888"/>
    <x v="3"/>
    <x v="730"/>
    <m/>
    <x v="11"/>
    <m/>
    <x v="3"/>
    <x v="0"/>
    <x v="458"/>
    <m/>
    <x v="7"/>
    <x v="1"/>
    <m/>
    <m/>
    <x v="0"/>
    <x v="1"/>
    <m/>
    <x v="0"/>
    <x v="0"/>
    <x v="1327"/>
    <x v="3"/>
    <x v="0"/>
    <x v="1"/>
    <x v="458"/>
    <x v="3420"/>
  </r>
  <r>
    <x v="1"/>
    <n v="779"/>
    <x v="1318"/>
    <x v="0"/>
    <s v="CM"/>
    <s v="N"/>
    <x v="888"/>
    <x v="3"/>
    <x v="730"/>
    <m/>
    <x v="11"/>
    <m/>
    <x v="3"/>
    <x v="0"/>
    <x v="458"/>
    <m/>
    <x v="7"/>
    <x v="1"/>
    <m/>
    <m/>
    <x v="0"/>
    <x v="1"/>
    <m/>
    <x v="0"/>
    <x v="0"/>
    <x v="1327"/>
    <x v="3"/>
    <x v="0"/>
    <x v="1"/>
    <x v="458"/>
    <x v="3421"/>
  </r>
  <r>
    <x v="1"/>
    <n v="780"/>
    <x v="540"/>
    <x v="1"/>
    <s v="CM"/>
    <s v="N"/>
    <x v="414"/>
    <x v="2"/>
    <x v="162"/>
    <m/>
    <x v="124"/>
    <m/>
    <x v="3"/>
    <x v="0"/>
    <x v="311"/>
    <m/>
    <x v="2"/>
    <x v="0"/>
    <m/>
    <m/>
    <x v="0"/>
    <x v="1"/>
    <m/>
    <x v="0"/>
    <x v="2"/>
    <x v="542"/>
    <x v="3"/>
    <x v="0"/>
    <x v="1"/>
    <x v="311"/>
    <x v="3422"/>
  </r>
  <r>
    <x v="1"/>
    <n v="1498"/>
    <x v="1319"/>
    <x v="2"/>
    <s v="CM"/>
    <s v="N"/>
    <x v="889"/>
    <x v="41"/>
    <x v="22"/>
    <m/>
    <x v="22"/>
    <m/>
    <x v="3"/>
    <x v="0"/>
    <x v="251"/>
    <d v="2012-11-18T00:00:00"/>
    <x v="13"/>
    <x v="1"/>
    <s v="Secção Competitiva"/>
    <s v="Caminhos Juniores"/>
    <x v="0"/>
    <x v="0"/>
    <m/>
    <x v="0"/>
    <x v="4"/>
    <x v="1328"/>
    <x v="3"/>
    <x v="0"/>
    <x v="1"/>
    <x v="251"/>
    <x v="3423"/>
  </r>
  <r>
    <x v="1"/>
    <n v="1498"/>
    <x v="1319"/>
    <x v="2"/>
    <s v="CM"/>
    <s v="N"/>
    <x v="889"/>
    <x v="41"/>
    <x v="27"/>
    <m/>
    <x v="25"/>
    <m/>
    <x v="3"/>
    <x v="0"/>
    <x v="307"/>
    <d v="2012-11-18T00:00:00"/>
    <x v="13"/>
    <x v="1"/>
    <s v="Competição Nacional: Jovem Cineasta Português (-18)"/>
    <m/>
    <x v="0"/>
    <x v="0"/>
    <m/>
    <x v="0"/>
    <x v="4"/>
    <x v="1328"/>
    <x v="3"/>
    <x v="0"/>
    <x v="1"/>
    <x v="307"/>
    <x v="3424"/>
  </r>
  <r>
    <x v="1"/>
    <n v="784"/>
    <x v="1320"/>
    <x v="1"/>
    <s v="CM"/>
    <s v="N"/>
    <x v="381"/>
    <x v="2"/>
    <x v="519"/>
    <m/>
    <x v="24"/>
    <m/>
    <x v="3"/>
    <x v="0"/>
    <x v="319"/>
    <d v="2012-04-21T00:00:00"/>
    <x v="5"/>
    <x v="0"/>
    <m/>
    <m/>
    <x v="0"/>
    <x v="1"/>
    <m/>
    <x v="0"/>
    <x v="2"/>
    <x v="1329"/>
    <x v="3"/>
    <x v="0"/>
    <x v="1"/>
    <x v="319"/>
    <x v="3425"/>
  </r>
  <r>
    <x v="1"/>
    <n v="1524"/>
    <x v="1321"/>
    <x v="1"/>
    <s v="LM"/>
    <s v="S"/>
    <x v="348"/>
    <x v="1"/>
    <x v="309"/>
    <m/>
    <x v="174"/>
    <m/>
    <x v="1"/>
    <x v="0"/>
    <x v="326"/>
    <d v="2012-11-25T00:00:00"/>
    <x v="13"/>
    <x v="0"/>
    <m/>
    <s v="Secciones Paralelas: Pedro Costa"/>
    <x v="0"/>
    <x v="0"/>
    <m/>
    <x v="0"/>
    <x v="1"/>
    <x v="1330"/>
    <x v="1"/>
    <x v="0"/>
    <x v="0"/>
    <x v="326"/>
    <x v="3426"/>
  </r>
  <r>
    <x v="1"/>
    <n v="788"/>
    <x v="547"/>
    <x v="0"/>
    <s v="CM"/>
    <s v="N"/>
    <x v="419"/>
    <x v="2"/>
    <x v="181"/>
    <m/>
    <x v="23"/>
    <m/>
    <x v="3"/>
    <x v="0"/>
    <x v="459"/>
    <m/>
    <x v="15"/>
    <x v="0"/>
    <m/>
    <m/>
    <x v="0"/>
    <x v="1"/>
    <m/>
    <x v="0"/>
    <x v="0"/>
    <x v="549"/>
    <x v="3"/>
    <x v="0"/>
    <x v="1"/>
    <x v="459"/>
    <x v="3427"/>
  </r>
  <r>
    <x v="1"/>
    <n v="849"/>
    <x v="1322"/>
    <x v="0"/>
    <s v="CM"/>
    <s v="N"/>
    <x v="890"/>
    <x v="2"/>
    <x v="464"/>
    <m/>
    <x v="40"/>
    <m/>
    <x v="3"/>
    <x v="0"/>
    <x v="311"/>
    <d v="2012-04-01T00:00:00"/>
    <x v="3"/>
    <x v="1"/>
    <s v="Competição Nacional de Curtas Experimentais"/>
    <m/>
    <x v="0"/>
    <x v="0"/>
    <m/>
    <x v="0"/>
    <x v="0"/>
    <x v="1331"/>
    <x v="3"/>
    <x v="0"/>
    <x v="1"/>
    <x v="311"/>
    <x v="3428"/>
  </r>
  <r>
    <x v="1"/>
    <n v="849"/>
    <x v="1322"/>
    <x v="0"/>
    <s v="CM"/>
    <s v="N"/>
    <x v="890"/>
    <x v="2"/>
    <x v="479"/>
    <m/>
    <x v="24"/>
    <m/>
    <x v="3"/>
    <x v="0"/>
    <x v="320"/>
    <m/>
    <x v="5"/>
    <x v="1"/>
    <m/>
    <m/>
    <x v="0"/>
    <x v="1"/>
    <m/>
    <x v="0"/>
    <x v="0"/>
    <x v="1331"/>
    <x v="3"/>
    <x v="0"/>
    <x v="1"/>
    <x v="320"/>
    <x v="3429"/>
  </r>
  <r>
    <x v="1"/>
    <n v="1334"/>
    <x v="1323"/>
    <x v="2"/>
    <s v="Série"/>
    <s v="N"/>
    <x v="891"/>
    <x v="2"/>
    <x v="68"/>
    <m/>
    <x v="53"/>
    <m/>
    <x v="3"/>
    <x v="0"/>
    <x v="253"/>
    <d v="2012-07-15T00:00:00"/>
    <x v="8"/>
    <x v="1"/>
    <s v="Curtinhas M3"/>
    <m/>
    <x v="0"/>
    <x v="0"/>
    <m/>
    <x v="0"/>
    <x v="9"/>
    <x v="1332"/>
    <x v="3"/>
    <x v="0"/>
    <x v="1"/>
    <x v="253"/>
    <x v="3430"/>
  </r>
  <r>
    <x v="1"/>
    <n v="1334"/>
    <x v="1323"/>
    <x v="2"/>
    <s v="Série"/>
    <s v="N"/>
    <x v="891"/>
    <x v="2"/>
    <x v="220"/>
    <m/>
    <x v="154"/>
    <m/>
    <x v="0"/>
    <x v="0"/>
    <x v="333"/>
    <d v="2012-07-29T00:00:00"/>
    <x v="8"/>
    <x v="1"/>
    <s v="Curta Infantil"/>
    <m/>
    <x v="0"/>
    <x v="0"/>
    <m/>
    <x v="0"/>
    <x v="9"/>
    <x v="1332"/>
    <x v="0"/>
    <x v="0"/>
    <x v="0"/>
    <x v="333"/>
    <x v="3431"/>
  </r>
  <r>
    <x v="1"/>
    <n v="1523"/>
    <x v="1324"/>
    <x v="0"/>
    <s v="LM"/>
    <s v="S"/>
    <x v="348"/>
    <x v="20"/>
    <x v="309"/>
    <m/>
    <x v="174"/>
    <m/>
    <x v="1"/>
    <x v="0"/>
    <x v="326"/>
    <d v="2012-11-25T00:00:00"/>
    <x v="13"/>
    <x v="0"/>
    <m/>
    <s v="Secciones Paralelas: Pedro Costa"/>
    <x v="0"/>
    <x v="0"/>
    <m/>
    <x v="0"/>
    <x v="5"/>
    <x v="1333"/>
    <x v="1"/>
    <x v="0"/>
    <x v="0"/>
    <x v="326"/>
    <x v="3432"/>
  </r>
  <r>
    <x v="1"/>
    <n v="792"/>
    <x v="1325"/>
    <x v="2"/>
    <s v="Série"/>
    <s v="N"/>
    <x v="189"/>
    <x v="2"/>
    <x v="26"/>
    <m/>
    <x v="24"/>
    <m/>
    <x v="3"/>
    <x v="0"/>
    <x v="268"/>
    <d v="2012-03-24T00:00:00"/>
    <x v="2"/>
    <x v="1"/>
    <s v="Competição Portugueses"/>
    <m/>
    <x v="0"/>
    <x v="0"/>
    <m/>
    <x v="0"/>
    <x v="9"/>
    <x v="1334"/>
    <x v="3"/>
    <x v="0"/>
    <x v="1"/>
    <x v="268"/>
    <x v="3433"/>
  </r>
  <r>
    <x v="1"/>
    <n v="796"/>
    <x v="554"/>
    <x v="4"/>
    <s v="CM"/>
    <s v="N"/>
    <x v="423"/>
    <x v="2"/>
    <x v="549"/>
    <m/>
    <x v="24"/>
    <m/>
    <x v="3"/>
    <x v="0"/>
    <x v="318"/>
    <m/>
    <x v="1"/>
    <x v="0"/>
    <m/>
    <m/>
    <x v="0"/>
    <x v="1"/>
    <m/>
    <x v="0"/>
    <x v="8"/>
    <x v="556"/>
    <x v="3"/>
    <x v="0"/>
    <x v="1"/>
    <x v="318"/>
    <x v="3434"/>
  </r>
  <r>
    <x v="1"/>
    <n v="797"/>
    <x v="1326"/>
    <x v="0"/>
    <s v="CM"/>
    <s v="N"/>
    <x v="127"/>
    <x v="41"/>
    <x v="146"/>
    <m/>
    <x v="24"/>
    <m/>
    <x v="3"/>
    <x v="0"/>
    <x v="281"/>
    <d v="2012-05-06T00:00:00"/>
    <x v="4"/>
    <x v="1"/>
    <s v="Competição Nacional Curtas 5"/>
    <s v="Cinema Emergente Curtas 4"/>
    <x v="0"/>
    <x v="0"/>
    <m/>
    <x v="0"/>
    <x v="0"/>
    <x v="1335"/>
    <x v="3"/>
    <x v="0"/>
    <x v="1"/>
    <x v="281"/>
    <x v="3435"/>
  </r>
  <r>
    <x v="1"/>
    <n v="797"/>
    <x v="1326"/>
    <x v="0"/>
    <s v="CM"/>
    <s v="N"/>
    <x v="127"/>
    <x v="41"/>
    <x v="448"/>
    <m/>
    <x v="59"/>
    <m/>
    <x v="3"/>
    <x v="0"/>
    <x v="289"/>
    <d v="2012-12-02T00:00:00"/>
    <x v="11"/>
    <x v="1"/>
    <s v="Competição Nacional"/>
    <m/>
    <x v="347"/>
    <x v="0"/>
    <m/>
    <x v="1"/>
    <x v="0"/>
    <x v="1335"/>
    <x v="3"/>
    <x v="415"/>
    <x v="1"/>
    <x v="289"/>
    <x v="3436"/>
  </r>
  <r>
    <x v="1"/>
    <n v="797"/>
    <x v="1326"/>
    <x v="0"/>
    <s v="CM"/>
    <s v="N"/>
    <x v="127"/>
    <x v="41"/>
    <x v="402"/>
    <m/>
    <x v="24"/>
    <m/>
    <x v="3"/>
    <x v="0"/>
    <x v="231"/>
    <d v="2012-12-09T00:00:00"/>
    <x v="12"/>
    <x v="1"/>
    <s v="Categoria Fundação INATEL e Prémio Jovem Realizador"/>
    <m/>
    <x v="0"/>
    <x v="1"/>
    <m/>
    <x v="0"/>
    <x v="0"/>
    <x v="1335"/>
    <x v="3"/>
    <x v="0"/>
    <x v="1"/>
    <x v="231"/>
    <x v="3437"/>
  </r>
  <r>
    <x v="1"/>
    <n v="405"/>
    <x v="1327"/>
    <x v="1"/>
    <s v="CM"/>
    <s v="N"/>
    <x v="892"/>
    <x v="3"/>
    <x v="432"/>
    <m/>
    <x v="39"/>
    <m/>
    <x v="3"/>
    <x v="0"/>
    <x v="265"/>
    <d v="2012-04-21T00:00:00"/>
    <x v="5"/>
    <x v="1"/>
    <s v="Competição Regional"/>
    <m/>
    <x v="0"/>
    <x v="0"/>
    <m/>
    <x v="0"/>
    <x v="2"/>
    <x v="1336"/>
    <x v="3"/>
    <x v="0"/>
    <x v="1"/>
    <x v="265"/>
    <x v="3438"/>
  </r>
  <r>
    <x v="1"/>
    <n v="798"/>
    <x v="555"/>
    <x v="0"/>
    <s v="LM"/>
    <s v="S"/>
    <x v="289"/>
    <x v="2"/>
    <x v="522"/>
    <m/>
    <x v="165"/>
    <m/>
    <x v="4"/>
    <x v="0"/>
    <x v="363"/>
    <d v="2012-04-22T00:00:00"/>
    <x v="5"/>
    <x v="0"/>
    <m/>
    <s v="João Canijo"/>
    <x v="0"/>
    <x v="0"/>
    <m/>
    <x v="0"/>
    <x v="5"/>
    <x v="557"/>
    <x v="4"/>
    <x v="0"/>
    <x v="0"/>
    <x v="363"/>
    <x v="3439"/>
  </r>
  <r>
    <x v="1"/>
    <n v="798"/>
    <x v="555"/>
    <x v="0"/>
    <s v="LM"/>
    <s v="S"/>
    <x v="289"/>
    <x v="2"/>
    <x v="441"/>
    <m/>
    <x v="282"/>
    <m/>
    <x v="2"/>
    <x v="0"/>
    <x v="280"/>
    <d v="2012-07-08T00:00:00"/>
    <x v="17"/>
    <x v="0"/>
    <m/>
    <s v="Hommages: João Canijo"/>
    <x v="0"/>
    <x v="0"/>
    <m/>
    <x v="0"/>
    <x v="5"/>
    <x v="557"/>
    <x v="2"/>
    <x v="0"/>
    <x v="0"/>
    <x v="280"/>
    <x v="3440"/>
  </r>
  <r>
    <x v="1"/>
    <n v="798"/>
    <x v="555"/>
    <x v="0"/>
    <s v="LM"/>
    <s v="S"/>
    <x v="289"/>
    <x v="2"/>
    <x v="666"/>
    <m/>
    <x v="235"/>
    <m/>
    <x v="1"/>
    <x v="0"/>
    <x v="254"/>
    <d v="2012-11-30T00:00:00"/>
    <x v="13"/>
    <x v="0"/>
    <m/>
    <s v="Retrospectiva: João Canijo"/>
    <x v="0"/>
    <x v="0"/>
    <m/>
    <x v="0"/>
    <x v="5"/>
    <x v="557"/>
    <x v="1"/>
    <x v="0"/>
    <x v="0"/>
    <x v="254"/>
    <x v="3441"/>
  </r>
  <r>
    <x v="1"/>
    <n v="799"/>
    <x v="556"/>
    <x v="3"/>
    <s v="CM"/>
    <s v="N"/>
    <x v="238"/>
    <x v="3"/>
    <x v="62"/>
    <m/>
    <x v="23"/>
    <m/>
    <x v="3"/>
    <x v="0"/>
    <x v="302"/>
    <d v="2012-03-04T00:00:00"/>
    <x v="19"/>
    <x v="0"/>
    <m/>
    <s v="Panorama do Cinema Português - Cineclube de Avanca"/>
    <x v="0"/>
    <x v="0"/>
    <m/>
    <x v="0"/>
    <x v="6"/>
    <x v="558"/>
    <x v="3"/>
    <x v="0"/>
    <x v="1"/>
    <x v="302"/>
    <x v="3442"/>
  </r>
  <r>
    <x v="1"/>
    <n v="800"/>
    <x v="557"/>
    <x v="0"/>
    <s v="CM"/>
    <s v="N"/>
    <x v="238"/>
    <x v="3"/>
    <x v="62"/>
    <m/>
    <x v="23"/>
    <m/>
    <x v="3"/>
    <x v="0"/>
    <x v="302"/>
    <d v="2012-03-04T00:00:00"/>
    <x v="19"/>
    <x v="0"/>
    <m/>
    <s v="Panorama do Cinema Português - Cineclube de Avanca"/>
    <x v="0"/>
    <x v="0"/>
    <m/>
    <x v="0"/>
    <x v="0"/>
    <x v="559"/>
    <x v="3"/>
    <x v="0"/>
    <x v="1"/>
    <x v="302"/>
    <x v="3443"/>
  </r>
  <r>
    <x v="1"/>
    <n v="800"/>
    <x v="557"/>
    <x v="0"/>
    <s v="CM"/>
    <s v="N"/>
    <x v="238"/>
    <x v="3"/>
    <x v="601"/>
    <m/>
    <x v="330"/>
    <m/>
    <x v="48"/>
    <x v="0"/>
    <x v="269"/>
    <d v="2012-03-15T00:00:00"/>
    <x v="2"/>
    <x v="0"/>
    <m/>
    <s v="Short Film"/>
    <x v="0"/>
    <x v="0"/>
    <m/>
    <x v="0"/>
    <x v="0"/>
    <x v="559"/>
    <x v="48"/>
    <x v="0"/>
    <x v="0"/>
    <x v="269"/>
    <x v="3444"/>
  </r>
  <r>
    <x v="1"/>
    <n v="800"/>
    <x v="557"/>
    <x v="0"/>
    <s v="CM"/>
    <s v="N"/>
    <x v="238"/>
    <x v="3"/>
    <x v="193"/>
    <m/>
    <x v="17"/>
    <m/>
    <x v="2"/>
    <x v="0"/>
    <x v="311"/>
    <d v="2012-04-01T00:00:00"/>
    <x v="3"/>
    <x v="1"/>
    <s v="European Dramatic Short: Screening Session 8"/>
    <m/>
    <x v="0"/>
    <x v="0"/>
    <m/>
    <x v="0"/>
    <x v="0"/>
    <x v="559"/>
    <x v="2"/>
    <x v="0"/>
    <x v="0"/>
    <x v="311"/>
    <x v="3445"/>
  </r>
  <r>
    <x v="1"/>
    <n v="800"/>
    <x v="557"/>
    <x v="0"/>
    <s v="CM"/>
    <s v="N"/>
    <x v="238"/>
    <x v="3"/>
    <x v="445"/>
    <m/>
    <x v="284"/>
    <m/>
    <x v="3"/>
    <x v="0"/>
    <x v="286"/>
    <d v="2012-09-08T00:00:00"/>
    <x v="9"/>
    <x v="1"/>
    <m/>
    <m/>
    <x v="131"/>
    <x v="0"/>
    <m/>
    <x v="1"/>
    <x v="0"/>
    <x v="559"/>
    <x v="3"/>
    <x v="416"/>
    <x v="1"/>
    <x v="286"/>
    <x v="3446"/>
  </r>
  <r>
    <x v="1"/>
    <n v="800"/>
    <x v="557"/>
    <x v="0"/>
    <s v="CM"/>
    <s v="N"/>
    <x v="238"/>
    <x v="3"/>
    <x v="731"/>
    <m/>
    <x v="368"/>
    <m/>
    <x v="69"/>
    <x v="0"/>
    <x v="460"/>
    <d v="2012-09-22T00:00:00"/>
    <x v="9"/>
    <x v="1"/>
    <m/>
    <m/>
    <x v="0"/>
    <x v="0"/>
    <m/>
    <x v="0"/>
    <x v="0"/>
    <x v="559"/>
    <x v="69"/>
    <x v="0"/>
    <x v="0"/>
    <x v="460"/>
    <x v="3447"/>
  </r>
  <r>
    <x v="1"/>
    <n v="800"/>
    <x v="557"/>
    <x v="0"/>
    <s v="CM"/>
    <s v="N"/>
    <x v="238"/>
    <x v="3"/>
    <x v="299"/>
    <m/>
    <x v="205"/>
    <m/>
    <x v="0"/>
    <x v="0"/>
    <x v="460"/>
    <d v="2012-09-22T00:00:00"/>
    <x v="9"/>
    <x v="0"/>
    <m/>
    <s v="Mostra informativa de curtas - FEST'AFILM"/>
    <x v="0"/>
    <x v="0"/>
    <m/>
    <x v="0"/>
    <x v="0"/>
    <x v="559"/>
    <x v="0"/>
    <x v="0"/>
    <x v="0"/>
    <x v="460"/>
    <x v="3448"/>
  </r>
  <r>
    <x v="1"/>
    <n v="800"/>
    <x v="557"/>
    <x v="0"/>
    <s v="CM"/>
    <s v="N"/>
    <x v="238"/>
    <x v="3"/>
    <x v="219"/>
    <m/>
    <x v="153"/>
    <m/>
    <x v="44"/>
    <x v="0"/>
    <x v="294"/>
    <d v="2012-10-21T00:00:00"/>
    <x v="14"/>
    <x v="1"/>
    <s v="Curta-Metragem"/>
    <m/>
    <x v="0"/>
    <x v="0"/>
    <m/>
    <x v="0"/>
    <x v="0"/>
    <x v="559"/>
    <x v="44"/>
    <x v="0"/>
    <x v="0"/>
    <x v="294"/>
    <x v="3449"/>
  </r>
  <r>
    <x v="1"/>
    <n v="802"/>
    <x v="559"/>
    <x v="0"/>
    <s v="CM"/>
    <s v="N"/>
    <x v="425"/>
    <x v="5"/>
    <x v="732"/>
    <m/>
    <x v="23"/>
    <m/>
    <x v="3"/>
    <x v="0"/>
    <x v="273"/>
    <m/>
    <x v="15"/>
    <x v="0"/>
    <m/>
    <s v="Curta Convidada"/>
    <x v="0"/>
    <x v="1"/>
    <m/>
    <x v="0"/>
    <x v="0"/>
    <x v="561"/>
    <x v="3"/>
    <x v="0"/>
    <x v="1"/>
    <x v="273"/>
    <x v="3450"/>
  </r>
  <r>
    <x v="1"/>
    <n v="802"/>
    <x v="559"/>
    <x v="0"/>
    <s v="CM"/>
    <s v="N"/>
    <x v="425"/>
    <x v="5"/>
    <x v="733"/>
    <m/>
    <x v="369"/>
    <m/>
    <x v="9"/>
    <x v="0"/>
    <x v="271"/>
    <d v="2012-02-05T00:00:00"/>
    <x v="18"/>
    <x v="1"/>
    <s v="International Competition"/>
    <m/>
    <x v="0"/>
    <x v="0"/>
    <m/>
    <x v="0"/>
    <x v="0"/>
    <x v="561"/>
    <x v="9"/>
    <x v="0"/>
    <x v="0"/>
    <x v="271"/>
    <x v="3451"/>
  </r>
  <r>
    <x v="1"/>
    <n v="802"/>
    <x v="559"/>
    <x v="0"/>
    <s v="CM"/>
    <s v="N"/>
    <x v="425"/>
    <x v="5"/>
    <x v="62"/>
    <m/>
    <x v="23"/>
    <m/>
    <x v="3"/>
    <x v="0"/>
    <x v="302"/>
    <d v="2012-03-04T00:00:00"/>
    <x v="19"/>
    <x v="0"/>
    <m/>
    <s v="Panorama do Cinema Português - Agência da Curta Metragem"/>
    <x v="0"/>
    <x v="0"/>
    <m/>
    <x v="0"/>
    <x v="0"/>
    <x v="561"/>
    <x v="3"/>
    <x v="0"/>
    <x v="1"/>
    <x v="302"/>
    <x v="3452"/>
  </r>
  <r>
    <x v="1"/>
    <n v="802"/>
    <x v="559"/>
    <x v="0"/>
    <s v="CM"/>
    <s v="N"/>
    <x v="425"/>
    <x v="5"/>
    <x v="427"/>
    <m/>
    <x v="275"/>
    <m/>
    <x v="65"/>
    <x v="0"/>
    <x v="259"/>
    <d v="2012-03-11T00:00:00"/>
    <x v="2"/>
    <x v="0"/>
    <m/>
    <s v="Portugal2"/>
    <x v="0"/>
    <x v="0"/>
    <m/>
    <x v="0"/>
    <x v="0"/>
    <x v="561"/>
    <x v="65"/>
    <x v="0"/>
    <x v="0"/>
    <x v="259"/>
    <x v="3453"/>
  </r>
  <r>
    <x v="1"/>
    <n v="802"/>
    <x v="559"/>
    <x v="0"/>
    <s v="CM"/>
    <s v="N"/>
    <x v="425"/>
    <x v="5"/>
    <x v="30"/>
    <m/>
    <x v="28"/>
    <m/>
    <x v="8"/>
    <x v="0"/>
    <x v="353"/>
    <d v="2012-03-18T00:00:00"/>
    <x v="2"/>
    <x v="1"/>
    <s v="European Competition EU 4: Men &amp; Bear"/>
    <m/>
    <x v="0"/>
    <x v="0"/>
    <m/>
    <x v="0"/>
    <x v="0"/>
    <x v="561"/>
    <x v="8"/>
    <x v="0"/>
    <x v="0"/>
    <x v="353"/>
    <x v="3454"/>
  </r>
  <r>
    <x v="1"/>
    <n v="802"/>
    <x v="559"/>
    <x v="0"/>
    <s v="CM"/>
    <s v="N"/>
    <x v="425"/>
    <x v="5"/>
    <x v="555"/>
    <m/>
    <x v="317"/>
    <m/>
    <x v="8"/>
    <x v="0"/>
    <x v="358"/>
    <d v="2012-04-29T00:00:00"/>
    <x v="5"/>
    <x v="0"/>
    <m/>
    <m/>
    <x v="0"/>
    <x v="0"/>
    <m/>
    <x v="0"/>
    <x v="0"/>
    <x v="561"/>
    <x v="8"/>
    <x v="0"/>
    <x v="0"/>
    <x v="358"/>
    <x v="3455"/>
  </r>
  <r>
    <x v="1"/>
    <n v="802"/>
    <x v="559"/>
    <x v="0"/>
    <s v="CM"/>
    <s v="N"/>
    <x v="425"/>
    <x v="5"/>
    <x v="734"/>
    <m/>
    <x v="370"/>
    <m/>
    <x v="9"/>
    <x v="0"/>
    <x v="118"/>
    <d v="2012-09-09T00:00:00"/>
    <x v="9"/>
    <x v="1"/>
    <s v="Heartfelt Short Films"/>
    <m/>
    <x v="348"/>
    <x v="0"/>
    <m/>
    <x v="1"/>
    <x v="0"/>
    <x v="561"/>
    <x v="9"/>
    <x v="417"/>
    <x v="0"/>
    <x v="118"/>
    <x v="3456"/>
  </r>
  <r>
    <x v="1"/>
    <n v="803"/>
    <x v="1328"/>
    <x v="1"/>
    <s v="LM"/>
    <s v="N"/>
    <x v="460"/>
    <x v="2"/>
    <x v="192"/>
    <m/>
    <x v="140"/>
    <m/>
    <x v="3"/>
    <x v="0"/>
    <x v="250"/>
    <d v="2012-07-29T00:00:00"/>
    <x v="8"/>
    <x v="1"/>
    <s v="Competição AVANCA "/>
    <m/>
    <x v="349"/>
    <x v="0"/>
    <m/>
    <x v="1"/>
    <x v="1"/>
    <x v="1337"/>
    <x v="3"/>
    <x v="418"/>
    <x v="1"/>
    <x v="250"/>
    <x v="3457"/>
  </r>
  <r>
    <x v="1"/>
    <n v="803"/>
    <x v="1328"/>
    <x v="1"/>
    <s v="LM"/>
    <s v="N"/>
    <x v="460"/>
    <x v="2"/>
    <x v="22"/>
    <m/>
    <x v="22"/>
    <m/>
    <x v="3"/>
    <x v="0"/>
    <x v="251"/>
    <d v="2012-11-18T00:00:00"/>
    <x v="13"/>
    <x v="1"/>
    <s v="SEcção Competitiva"/>
    <m/>
    <x v="0"/>
    <x v="0"/>
    <m/>
    <x v="0"/>
    <x v="1"/>
    <x v="1337"/>
    <x v="3"/>
    <x v="0"/>
    <x v="1"/>
    <x v="251"/>
    <x v="3458"/>
  </r>
  <r>
    <x v="1"/>
    <n v="804"/>
    <x v="560"/>
    <x v="2"/>
    <s v="CM"/>
    <s v="N"/>
    <x v="426"/>
    <x v="3"/>
    <x v="220"/>
    <m/>
    <x v="154"/>
    <m/>
    <x v="0"/>
    <x v="0"/>
    <x v="333"/>
    <d v="2012-07-29T00:00:00"/>
    <x v="8"/>
    <x v="0"/>
    <m/>
    <s v="Futuro Animador: Crianças e Adolescentes"/>
    <x v="0"/>
    <x v="0"/>
    <m/>
    <x v="0"/>
    <x v="4"/>
    <x v="562"/>
    <x v="0"/>
    <x v="0"/>
    <x v="0"/>
    <x v="333"/>
    <x v="3459"/>
  </r>
  <r>
    <x v="1"/>
    <n v="804"/>
    <x v="560"/>
    <x v="2"/>
    <s v="CM"/>
    <s v="N"/>
    <x v="426"/>
    <x v="3"/>
    <x v="532"/>
    <m/>
    <x v="134"/>
    <m/>
    <x v="41"/>
    <x v="0"/>
    <x v="295"/>
    <d v="2012-10-28T00:00:00"/>
    <x v="14"/>
    <x v="1"/>
    <s v="Films made by children: Fun and Playful"/>
    <m/>
    <x v="0"/>
    <x v="0"/>
    <m/>
    <x v="0"/>
    <x v="4"/>
    <x v="562"/>
    <x v="41"/>
    <x v="0"/>
    <x v="0"/>
    <x v="295"/>
    <x v="3460"/>
  </r>
  <r>
    <x v="1"/>
    <n v="1388"/>
    <x v="1329"/>
    <x v="1"/>
    <s v="CM"/>
    <s v="N"/>
    <x v="893"/>
    <x v="41"/>
    <x v="88"/>
    <m/>
    <x v="67"/>
    <m/>
    <x v="3"/>
    <x v="0"/>
    <x v="262"/>
    <d v="2012-10-13T00:00:00"/>
    <x v="14"/>
    <x v="1"/>
    <s v="Competição Lusófona - Panorama Regional"/>
    <m/>
    <x v="0"/>
    <x v="0"/>
    <m/>
    <x v="0"/>
    <x v="2"/>
    <x v="1338"/>
    <x v="3"/>
    <x v="0"/>
    <x v="1"/>
    <x v="262"/>
    <x v="3461"/>
  </r>
  <r>
    <x v="1"/>
    <n v="1366"/>
    <x v="1330"/>
    <x v="2"/>
    <s v="Série"/>
    <s v="N"/>
    <x v="195"/>
    <x v="2"/>
    <x v="735"/>
    <m/>
    <x v="371"/>
    <m/>
    <x v="70"/>
    <x v="0"/>
    <x v="382"/>
    <d v="2012-10-06T00:00:00"/>
    <x v="14"/>
    <x v="1"/>
    <s v="The Best TV Serial"/>
    <m/>
    <x v="0"/>
    <x v="0"/>
    <m/>
    <x v="0"/>
    <x v="9"/>
    <x v="1339"/>
    <x v="70"/>
    <x v="0"/>
    <x v="0"/>
    <x v="382"/>
    <x v="3462"/>
  </r>
  <r>
    <x v="1"/>
    <n v="808"/>
    <x v="563"/>
    <x v="0"/>
    <s v="CM"/>
    <s v="N"/>
    <x v="427"/>
    <x v="3"/>
    <x v="427"/>
    <m/>
    <x v="275"/>
    <m/>
    <x v="65"/>
    <x v="0"/>
    <x v="259"/>
    <d v="2012-03-11T00:00:00"/>
    <x v="2"/>
    <x v="0"/>
    <m/>
    <s v="Portugal1"/>
    <x v="0"/>
    <x v="0"/>
    <m/>
    <x v="0"/>
    <x v="0"/>
    <x v="565"/>
    <x v="65"/>
    <x v="0"/>
    <x v="0"/>
    <x v="259"/>
    <x v="3463"/>
  </r>
  <r>
    <x v="1"/>
    <n v="808"/>
    <x v="563"/>
    <x v="0"/>
    <s v="CM"/>
    <s v="N"/>
    <x v="427"/>
    <x v="3"/>
    <x v="403"/>
    <m/>
    <x v="263"/>
    <m/>
    <x v="2"/>
    <x v="0"/>
    <x v="232"/>
    <d v="2012-04-15T00:00:00"/>
    <x v="5"/>
    <x v="0"/>
    <m/>
    <s v="Rétrospectives et Thématiques - Jeune Cinéma Portugais"/>
    <x v="0"/>
    <x v="0"/>
    <m/>
    <x v="0"/>
    <x v="0"/>
    <x v="565"/>
    <x v="2"/>
    <x v="0"/>
    <x v="0"/>
    <x v="232"/>
    <x v="3464"/>
  </r>
  <r>
    <x v="1"/>
    <n v="808"/>
    <x v="563"/>
    <x v="0"/>
    <s v="CM"/>
    <s v="N"/>
    <x v="427"/>
    <x v="3"/>
    <x v="432"/>
    <m/>
    <x v="39"/>
    <m/>
    <x v="3"/>
    <x v="0"/>
    <x v="265"/>
    <d v="2012-04-21T00:00:00"/>
    <x v="5"/>
    <x v="1"/>
    <s v="Competição Nacional"/>
    <m/>
    <x v="350"/>
    <x v="0"/>
    <m/>
    <x v="1"/>
    <x v="0"/>
    <x v="565"/>
    <x v="3"/>
    <x v="419"/>
    <x v="1"/>
    <x v="265"/>
    <x v="3465"/>
  </r>
  <r>
    <x v="1"/>
    <n v="808"/>
    <x v="563"/>
    <x v="0"/>
    <s v="CM"/>
    <s v="N"/>
    <x v="427"/>
    <x v="3"/>
    <x v="169"/>
    <m/>
    <x v="129"/>
    <m/>
    <x v="1"/>
    <x v="0"/>
    <x v="373"/>
    <d v="2012-05-19T00:00:00"/>
    <x v="6"/>
    <x v="1"/>
    <s v="Certamen de cortometrajes"/>
    <m/>
    <x v="0"/>
    <x v="0"/>
    <m/>
    <x v="0"/>
    <x v="0"/>
    <x v="565"/>
    <x v="1"/>
    <x v="0"/>
    <x v="0"/>
    <x v="373"/>
    <x v="3466"/>
  </r>
  <r>
    <x v="1"/>
    <n v="808"/>
    <x v="563"/>
    <x v="0"/>
    <s v="CM"/>
    <s v="N"/>
    <x v="427"/>
    <x v="3"/>
    <x v="268"/>
    <m/>
    <x v="0"/>
    <m/>
    <x v="0"/>
    <x v="0"/>
    <x v="309"/>
    <d v="2012-06-24T00:00:00"/>
    <x v="7"/>
    <x v="1"/>
    <s v="Mostra Competitiva VIDEOSUL -  curtas e médias-metragens de ficção Programa 1"/>
    <m/>
    <x v="7"/>
    <x v="0"/>
    <m/>
    <x v="1"/>
    <x v="0"/>
    <x v="565"/>
    <x v="0"/>
    <x v="420"/>
    <x v="0"/>
    <x v="309"/>
    <x v="3467"/>
  </r>
  <r>
    <x v="1"/>
    <n v="1305"/>
    <x v="1331"/>
    <x v="0"/>
    <s v="CM"/>
    <s v="N"/>
    <x v="770"/>
    <x v="2"/>
    <x v="70"/>
    <m/>
    <x v="38"/>
    <m/>
    <x v="3"/>
    <x v="0"/>
    <x v="349"/>
    <d v="2012-09-16T00:00:00"/>
    <x v="9"/>
    <x v="1"/>
    <m/>
    <m/>
    <x v="0"/>
    <x v="0"/>
    <m/>
    <x v="0"/>
    <x v="0"/>
    <x v="1340"/>
    <x v="3"/>
    <x v="0"/>
    <x v="1"/>
    <x v="349"/>
    <x v="3468"/>
  </r>
  <r>
    <x v="1"/>
    <n v="809"/>
    <x v="564"/>
    <x v="2"/>
    <s v="CM"/>
    <s v="S"/>
    <x v="428"/>
    <x v="2"/>
    <x v="181"/>
    <m/>
    <x v="23"/>
    <m/>
    <x v="3"/>
    <x v="0"/>
    <x v="461"/>
    <m/>
    <x v="1"/>
    <x v="0"/>
    <m/>
    <m/>
    <x v="0"/>
    <x v="1"/>
    <m/>
    <x v="0"/>
    <x v="4"/>
    <x v="566"/>
    <x v="3"/>
    <x v="0"/>
    <x v="1"/>
    <x v="461"/>
    <x v="3469"/>
  </r>
  <r>
    <x v="1"/>
    <n v="809"/>
    <x v="564"/>
    <x v="2"/>
    <s v="CM"/>
    <s v="S"/>
    <x v="428"/>
    <x v="2"/>
    <x v="411"/>
    <m/>
    <x v="268"/>
    <m/>
    <x v="0"/>
    <x v="0"/>
    <x v="241"/>
    <d v="2012-05-18T00:00:00"/>
    <x v="6"/>
    <x v="0"/>
    <m/>
    <s v="Mostra dos Festivais - FIKE"/>
    <x v="0"/>
    <x v="0"/>
    <m/>
    <x v="0"/>
    <x v="4"/>
    <x v="566"/>
    <x v="0"/>
    <x v="0"/>
    <x v="0"/>
    <x v="241"/>
    <x v="3470"/>
  </r>
  <r>
    <x v="1"/>
    <n v="810"/>
    <x v="1332"/>
    <x v="4"/>
    <s v="LM"/>
    <s v=""/>
    <x v="20"/>
    <x v="2"/>
    <x v="533"/>
    <m/>
    <x v="314"/>
    <m/>
    <x v="9"/>
    <x v="0"/>
    <x v="365"/>
    <d v="2012-05-26T00:00:00"/>
    <x v="6"/>
    <x v="0"/>
    <m/>
    <m/>
    <x v="0"/>
    <x v="1"/>
    <m/>
    <x v="0"/>
    <x v="13"/>
    <x v="1341"/>
    <x v="9"/>
    <x v="0"/>
    <x v="0"/>
    <x v="365"/>
    <x v="3471"/>
  </r>
  <r>
    <x v="1"/>
    <n v="810"/>
    <x v="1332"/>
    <x v="4"/>
    <s v="LM"/>
    <s v=""/>
    <x v="20"/>
    <x v="2"/>
    <x v="534"/>
    <m/>
    <x v="65"/>
    <m/>
    <x v="9"/>
    <x v="0"/>
    <x v="236"/>
    <d v="2012-06-28T00:00:00"/>
    <x v="7"/>
    <x v="0"/>
    <m/>
    <m/>
    <x v="0"/>
    <x v="1"/>
    <m/>
    <x v="0"/>
    <x v="13"/>
    <x v="1341"/>
    <x v="9"/>
    <x v="0"/>
    <x v="0"/>
    <x v="236"/>
    <x v="3472"/>
  </r>
  <r>
    <x v="1"/>
    <n v="1323"/>
    <x v="1333"/>
    <x v="1"/>
    <s v="CM"/>
    <s v="N"/>
    <x v="894"/>
    <x v="2"/>
    <x v="316"/>
    <m/>
    <x v="11"/>
    <m/>
    <x v="3"/>
    <x v="0"/>
    <x v="199"/>
    <d v="2012-08-25T00:00:00"/>
    <x v="16"/>
    <x v="1"/>
    <s v="Documentário"/>
    <m/>
    <x v="0"/>
    <x v="0"/>
    <m/>
    <x v="0"/>
    <x v="2"/>
    <x v="1342"/>
    <x v="3"/>
    <x v="0"/>
    <x v="1"/>
    <x v="199"/>
    <x v="3473"/>
  </r>
  <r>
    <x v="1"/>
    <n v="811"/>
    <x v="565"/>
    <x v="0"/>
    <s v="CM"/>
    <s v="N"/>
    <x v="429"/>
    <x v="3"/>
    <x v="513"/>
    <m/>
    <x v="308"/>
    <m/>
    <x v="34"/>
    <x v="0"/>
    <x v="356"/>
    <d v="2012-08-19T00:00:00"/>
    <x v="16"/>
    <x v="1"/>
    <s v="Wettbewerb 1: Spiel- und Dokumentarfilm"/>
    <m/>
    <x v="0"/>
    <x v="0"/>
    <m/>
    <x v="0"/>
    <x v="0"/>
    <x v="567"/>
    <x v="34"/>
    <x v="0"/>
    <x v="0"/>
    <x v="356"/>
    <x v="3474"/>
  </r>
  <r>
    <x v="1"/>
    <n v="812"/>
    <x v="566"/>
    <x v="0"/>
    <s v="CM"/>
    <s v=""/>
    <x v="138"/>
    <x v="3"/>
    <x v="112"/>
    <m/>
    <x v="23"/>
    <m/>
    <x v="3"/>
    <x v="0"/>
    <x v="260"/>
    <d v="2012-04-21T00:00:00"/>
    <x v="5"/>
    <x v="0"/>
    <m/>
    <m/>
    <x v="0"/>
    <x v="0"/>
    <s v="Abr"/>
    <x v="0"/>
    <x v="0"/>
    <x v="568"/>
    <x v="3"/>
    <x v="0"/>
    <x v="1"/>
    <x v="260"/>
    <x v="3475"/>
  </r>
  <r>
    <x v="1"/>
    <n v="812"/>
    <x v="566"/>
    <x v="0"/>
    <s v="CM"/>
    <s v=""/>
    <x v="138"/>
    <x v="3"/>
    <x v="178"/>
    <m/>
    <x v="25"/>
    <m/>
    <x v="3"/>
    <x v="0"/>
    <x v="293"/>
    <d v="2012-07-08T00:00:00"/>
    <x v="8"/>
    <x v="1"/>
    <s v="Ficção"/>
    <m/>
    <x v="110"/>
    <x v="0"/>
    <m/>
    <x v="1"/>
    <x v="0"/>
    <x v="568"/>
    <x v="3"/>
    <x v="421"/>
    <x v="1"/>
    <x v="293"/>
    <x v="3476"/>
  </r>
  <r>
    <x v="1"/>
    <n v="1351"/>
    <x v="1334"/>
    <x v="1"/>
    <s v="LM"/>
    <s v="S"/>
    <x v="288"/>
    <x v="2"/>
    <x v="450"/>
    <m/>
    <x v="24"/>
    <m/>
    <x v="3"/>
    <x v="0"/>
    <x v="338"/>
    <m/>
    <x v="14"/>
    <x v="0"/>
    <m/>
    <m/>
    <x v="0"/>
    <x v="1"/>
    <m/>
    <x v="0"/>
    <x v="1"/>
    <x v="1343"/>
    <x v="3"/>
    <x v="0"/>
    <x v="1"/>
    <x v="338"/>
    <x v="3477"/>
  </r>
  <r>
    <x v="1"/>
    <n v="817"/>
    <x v="570"/>
    <x v="0"/>
    <s v="LM"/>
    <s v="S"/>
    <x v="47"/>
    <x v="5"/>
    <x v="736"/>
    <m/>
    <x v="11"/>
    <m/>
    <x v="3"/>
    <x v="0"/>
    <x v="462"/>
    <d v="2012-01-30T00:00:00"/>
    <x v="15"/>
    <x v="0"/>
    <m/>
    <m/>
    <x v="0"/>
    <x v="1"/>
    <m/>
    <x v="0"/>
    <x v="5"/>
    <x v="572"/>
    <x v="3"/>
    <x v="0"/>
    <x v="1"/>
    <x v="462"/>
    <x v="3478"/>
  </r>
  <r>
    <x v="1"/>
    <n v="817"/>
    <x v="570"/>
    <x v="0"/>
    <s v="LM"/>
    <s v="S"/>
    <x v="47"/>
    <x v="5"/>
    <x v="649"/>
    <m/>
    <x v="8"/>
    <m/>
    <x v="3"/>
    <x v="0"/>
    <x v="463"/>
    <m/>
    <x v="15"/>
    <x v="0"/>
    <m/>
    <m/>
    <x v="0"/>
    <x v="1"/>
    <m/>
    <x v="0"/>
    <x v="5"/>
    <x v="572"/>
    <x v="3"/>
    <x v="0"/>
    <x v="1"/>
    <x v="463"/>
    <x v="3479"/>
  </r>
  <r>
    <x v="1"/>
    <n v="817"/>
    <x v="570"/>
    <x v="0"/>
    <s v="LM"/>
    <s v="S"/>
    <x v="47"/>
    <x v="5"/>
    <x v="713"/>
    <m/>
    <x v="15"/>
    <m/>
    <x v="3"/>
    <x v="0"/>
    <x v="431"/>
    <d v="2012-02-28T00:00:00"/>
    <x v="18"/>
    <x v="0"/>
    <m/>
    <m/>
    <x v="0"/>
    <x v="1"/>
    <m/>
    <x v="0"/>
    <x v="5"/>
    <x v="572"/>
    <x v="3"/>
    <x v="0"/>
    <x v="1"/>
    <x v="431"/>
    <x v="3480"/>
  </r>
  <r>
    <x v="1"/>
    <n v="817"/>
    <x v="570"/>
    <x v="0"/>
    <s v="LM"/>
    <s v="S"/>
    <x v="47"/>
    <x v="5"/>
    <x v="536"/>
    <m/>
    <x v="36"/>
    <m/>
    <x v="3"/>
    <x v="0"/>
    <x v="371"/>
    <m/>
    <x v="1"/>
    <x v="0"/>
    <m/>
    <m/>
    <x v="0"/>
    <x v="1"/>
    <m/>
    <x v="0"/>
    <x v="5"/>
    <x v="572"/>
    <x v="3"/>
    <x v="0"/>
    <x v="1"/>
    <x v="371"/>
    <x v="3481"/>
  </r>
  <r>
    <x v="1"/>
    <n v="817"/>
    <x v="570"/>
    <x v="0"/>
    <s v="LM"/>
    <s v="S"/>
    <x v="47"/>
    <x v="5"/>
    <x v="737"/>
    <m/>
    <x v="24"/>
    <m/>
    <x v="3"/>
    <x v="0"/>
    <x v="310"/>
    <m/>
    <x v="1"/>
    <x v="1"/>
    <m/>
    <m/>
    <x v="351"/>
    <x v="2"/>
    <m/>
    <x v="1"/>
    <x v="5"/>
    <x v="572"/>
    <x v="3"/>
    <x v="422"/>
    <x v="1"/>
    <x v="310"/>
    <x v="3482"/>
  </r>
  <r>
    <x v="1"/>
    <n v="817"/>
    <x v="570"/>
    <x v="0"/>
    <s v="LM"/>
    <s v="S"/>
    <x v="47"/>
    <x v="5"/>
    <x v="738"/>
    <m/>
    <x v="24"/>
    <m/>
    <x v="3"/>
    <x v="0"/>
    <x v="464"/>
    <m/>
    <x v="2"/>
    <x v="0"/>
    <m/>
    <m/>
    <x v="0"/>
    <x v="1"/>
    <m/>
    <x v="0"/>
    <x v="5"/>
    <x v="572"/>
    <x v="3"/>
    <x v="0"/>
    <x v="1"/>
    <x v="464"/>
    <x v="3483"/>
  </r>
  <r>
    <x v="1"/>
    <n v="817"/>
    <x v="570"/>
    <x v="0"/>
    <s v="LM"/>
    <s v="S"/>
    <x v="47"/>
    <x v="5"/>
    <x v="739"/>
    <m/>
    <x v="24"/>
    <m/>
    <x v="3"/>
    <x v="0"/>
    <x v="465"/>
    <m/>
    <x v="6"/>
    <x v="1"/>
    <m/>
    <m/>
    <x v="351"/>
    <x v="2"/>
    <m/>
    <x v="1"/>
    <x v="5"/>
    <x v="572"/>
    <x v="3"/>
    <x v="422"/>
    <x v="1"/>
    <x v="465"/>
    <x v="3484"/>
  </r>
  <r>
    <x v="1"/>
    <n v="817"/>
    <x v="570"/>
    <x v="0"/>
    <s v="LM"/>
    <s v="S"/>
    <x v="47"/>
    <x v="5"/>
    <x v="42"/>
    <m/>
    <x v="39"/>
    <m/>
    <x v="3"/>
    <x v="0"/>
    <x v="466"/>
    <m/>
    <x v="6"/>
    <x v="0"/>
    <m/>
    <m/>
    <x v="0"/>
    <x v="1"/>
    <m/>
    <x v="0"/>
    <x v="5"/>
    <x v="572"/>
    <x v="3"/>
    <x v="0"/>
    <x v="1"/>
    <x v="466"/>
    <x v="3485"/>
  </r>
  <r>
    <x v="1"/>
    <n v="817"/>
    <x v="570"/>
    <x v="0"/>
    <s v="LM"/>
    <s v="S"/>
    <x v="47"/>
    <x v="5"/>
    <x v="540"/>
    <m/>
    <x v="174"/>
    <m/>
    <x v="1"/>
    <x v="0"/>
    <x v="368"/>
    <d v="2012-06-12T00:00:00"/>
    <x v="7"/>
    <x v="0"/>
    <m/>
    <m/>
    <x v="0"/>
    <x v="1"/>
    <m/>
    <x v="0"/>
    <x v="5"/>
    <x v="572"/>
    <x v="1"/>
    <x v="0"/>
    <x v="0"/>
    <x v="368"/>
    <x v="3486"/>
  </r>
  <r>
    <x v="1"/>
    <n v="817"/>
    <x v="570"/>
    <x v="0"/>
    <s v="LM"/>
    <s v="S"/>
    <x v="47"/>
    <x v="5"/>
    <x v="564"/>
    <m/>
    <x v="319"/>
    <m/>
    <x v="1"/>
    <x v="0"/>
    <x v="309"/>
    <d v="2012-06-28T00:00:00"/>
    <x v="7"/>
    <x v="0"/>
    <m/>
    <m/>
    <x v="0"/>
    <x v="1"/>
    <m/>
    <x v="0"/>
    <x v="5"/>
    <x v="572"/>
    <x v="1"/>
    <x v="0"/>
    <x v="0"/>
    <x v="309"/>
    <x v="3487"/>
  </r>
  <r>
    <x v="1"/>
    <n v="817"/>
    <x v="570"/>
    <x v="0"/>
    <s v="LM"/>
    <s v="S"/>
    <x v="47"/>
    <x v="5"/>
    <x v="57"/>
    <m/>
    <x v="40"/>
    <m/>
    <x v="3"/>
    <x v="0"/>
    <x v="298"/>
    <m/>
    <x v="8"/>
    <x v="0"/>
    <m/>
    <m/>
    <x v="0"/>
    <x v="1"/>
    <m/>
    <x v="0"/>
    <x v="5"/>
    <x v="572"/>
    <x v="3"/>
    <x v="0"/>
    <x v="1"/>
    <x v="298"/>
    <x v="3488"/>
  </r>
  <r>
    <x v="1"/>
    <n v="817"/>
    <x v="570"/>
    <x v="0"/>
    <s v="LM"/>
    <s v="S"/>
    <x v="47"/>
    <x v="5"/>
    <x v="58"/>
    <m/>
    <x v="47"/>
    <m/>
    <x v="3"/>
    <x v="0"/>
    <x v="118"/>
    <d v="2012-09-09T00:00:00"/>
    <x v="9"/>
    <x v="0"/>
    <m/>
    <m/>
    <x v="0"/>
    <x v="1"/>
    <m/>
    <x v="0"/>
    <x v="5"/>
    <x v="572"/>
    <x v="3"/>
    <x v="0"/>
    <x v="1"/>
    <x v="118"/>
    <x v="3489"/>
  </r>
  <r>
    <x v="1"/>
    <n v="817"/>
    <x v="570"/>
    <x v="0"/>
    <s v="LM"/>
    <s v="S"/>
    <x v="47"/>
    <x v="5"/>
    <x v="740"/>
    <m/>
    <x v="24"/>
    <m/>
    <x v="3"/>
    <x v="0"/>
    <x v="282"/>
    <m/>
    <x v="13"/>
    <x v="0"/>
    <m/>
    <m/>
    <x v="0"/>
    <x v="1"/>
    <m/>
    <x v="0"/>
    <x v="5"/>
    <x v="572"/>
    <x v="3"/>
    <x v="0"/>
    <x v="1"/>
    <x v="282"/>
    <x v="3490"/>
  </r>
  <r>
    <x v="1"/>
    <n v="817"/>
    <x v="570"/>
    <x v="0"/>
    <s v="LM"/>
    <s v="S"/>
    <x v="47"/>
    <x v="5"/>
    <x v="409"/>
    <m/>
    <x v="58"/>
    <m/>
    <x v="17"/>
    <x v="0"/>
    <x v="239"/>
    <d v="2012-12-08T00:00:00"/>
    <x v="11"/>
    <x v="0"/>
    <m/>
    <m/>
    <x v="0"/>
    <x v="1"/>
    <m/>
    <x v="0"/>
    <x v="5"/>
    <x v="572"/>
    <x v="17"/>
    <x v="0"/>
    <x v="0"/>
    <x v="239"/>
    <x v="3491"/>
  </r>
  <r>
    <x v="1"/>
    <n v="818"/>
    <x v="1335"/>
    <x v="0"/>
    <s v="CM"/>
    <s v="S"/>
    <x v="895"/>
    <x v="2"/>
    <x v="411"/>
    <m/>
    <x v="268"/>
    <m/>
    <x v="0"/>
    <x v="0"/>
    <x v="241"/>
    <d v="2012-05-18T00:00:00"/>
    <x v="6"/>
    <x v="0"/>
    <m/>
    <s v="Mostra dos Festivais - FIKE"/>
    <x v="0"/>
    <x v="0"/>
    <m/>
    <x v="0"/>
    <x v="0"/>
    <x v="1344"/>
    <x v="0"/>
    <x v="0"/>
    <x v="0"/>
    <x v="241"/>
    <x v="3492"/>
  </r>
  <r>
    <x v="1"/>
    <n v="819"/>
    <x v="571"/>
    <x v="2"/>
    <s v="CM"/>
    <s v="N"/>
    <x v="433"/>
    <x v="3"/>
    <x v="220"/>
    <m/>
    <x v="154"/>
    <m/>
    <x v="0"/>
    <x v="0"/>
    <x v="333"/>
    <d v="2012-07-29T00:00:00"/>
    <x v="8"/>
    <x v="0"/>
    <m/>
    <s v="Futuro Animador: Jovens e Adultos"/>
    <x v="0"/>
    <x v="0"/>
    <m/>
    <x v="0"/>
    <x v="4"/>
    <x v="573"/>
    <x v="0"/>
    <x v="0"/>
    <x v="0"/>
    <x v="333"/>
    <x v="3493"/>
  </r>
  <r>
    <x v="1"/>
    <n v="819"/>
    <x v="571"/>
    <x v="2"/>
    <s v="CM"/>
    <s v="N"/>
    <x v="433"/>
    <x v="3"/>
    <x v="532"/>
    <m/>
    <x v="134"/>
    <m/>
    <x v="41"/>
    <x v="0"/>
    <x v="295"/>
    <d v="2012-10-28T00:00:00"/>
    <x v="14"/>
    <x v="1"/>
    <s v="Films made by children: Fun and Playful"/>
    <m/>
    <x v="0"/>
    <x v="0"/>
    <m/>
    <x v="0"/>
    <x v="4"/>
    <x v="573"/>
    <x v="41"/>
    <x v="0"/>
    <x v="0"/>
    <x v="295"/>
    <x v="3494"/>
  </r>
  <r>
    <x v="1"/>
    <n v="820"/>
    <x v="572"/>
    <x v="0"/>
    <s v="LM"/>
    <s v="S"/>
    <x v="374"/>
    <x v="32"/>
    <x v="149"/>
    <m/>
    <x v="114"/>
    <m/>
    <x v="35"/>
    <x v="0"/>
    <x v="339"/>
    <d v="2012-11-07T00:00:00"/>
    <x v="0"/>
    <x v="0"/>
    <m/>
    <s v="In Focus: Manuel Mozos"/>
    <x v="0"/>
    <x v="0"/>
    <m/>
    <x v="0"/>
    <x v="5"/>
    <x v="574"/>
    <x v="35"/>
    <x v="0"/>
    <x v="0"/>
    <x v="339"/>
    <x v="3495"/>
  </r>
  <r>
    <x v="1"/>
    <n v="1530"/>
    <x v="1336"/>
    <x v="1"/>
    <s v="CM"/>
    <s v="N"/>
    <x v="29"/>
    <x v="41"/>
    <x v="471"/>
    <m/>
    <x v="75"/>
    <m/>
    <x v="15"/>
    <x v="0"/>
    <x v="251"/>
    <d v="2012-11-17T00:00:00"/>
    <x v="13"/>
    <x v="0"/>
    <m/>
    <s v="CinemaXXI: Mediometraggi e Cortometraggii fuori Concorso - Histórias de Guimarâes"/>
    <x v="0"/>
    <x v="0"/>
    <m/>
    <x v="0"/>
    <x v="2"/>
    <x v="1345"/>
    <x v="15"/>
    <x v="0"/>
    <x v="0"/>
    <x v="251"/>
    <x v="3496"/>
  </r>
  <r>
    <x v="1"/>
    <n v="1530"/>
    <x v="1336"/>
    <x v="1"/>
    <s v="CM"/>
    <s v="N"/>
    <x v="29"/>
    <x v="41"/>
    <x v="133"/>
    <m/>
    <x v="101"/>
    <m/>
    <x v="3"/>
    <x v="0"/>
    <x v="331"/>
    <d v="2012-12-09T00:00:00"/>
    <x v="12"/>
    <x v="0"/>
    <m/>
    <s v="Sessões Especiais"/>
    <x v="0"/>
    <x v="0"/>
    <m/>
    <x v="0"/>
    <x v="2"/>
    <x v="1345"/>
    <x v="3"/>
    <x v="0"/>
    <x v="1"/>
    <x v="331"/>
    <x v="3497"/>
  </r>
  <r>
    <x v="1"/>
    <n v="821"/>
    <x v="1337"/>
    <x v="2"/>
    <s v="CM"/>
    <s v="S"/>
    <x v="442"/>
    <x v="41"/>
    <x v="558"/>
    <m/>
    <x v="24"/>
    <m/>
    <x v="3"/>
    <x v="0"/>
    <x v="375"/>
    <m/>
    <x v="15"/>
    <x v="1"/>
    <s v="Animação Digital"/>
    <m/>
    <x v="7"/>
    <x v="2"/>
    <m/>
    <x v="1"/>
    <x v="4"/>
    <x v="1346"/>
    <x v="3"/>
    <x v="368"/>
    <x v="1"/>
    <x v="375"/>
    <x v="3498"/>
  </r>
  <r>
    <x v="1"/>
    <n v="821"/>
    <x v="1337"/>
    <x v="2"/>
    <s v="CM"/>
    <s v="S"/>
    <x v="442"/>
    <x v="41"/>
    <x v="146"/>
    <m/>
    <x v="24"/>
    <m/>
    <x v="3"/>
    <x v="0"/>
    <x v="281"/>
    <d v="2012-05-06T00:00:00"/>
    <x v="4"/>
    <x v="1"/>
    <s v="Competição Nacional Curtas 1"/>
    <s v="Cinema Emergente Curtas 3"/>
    <x v="0"/>
    <x v="0"/>
    <m/>
    <x v="0"/>
    <x v="4"/>
    <x v="1346"/>
    <x v="3"/>
    <x v="0"/>
    <x v="1"/>
    <x v="281"/>
    <x v="3499"/>
  </r>
  <r>
    <x v="1"/>
    <n v="821"/>
    <x v="1337"/>
    <x v="2"/>
    <s v="CM"/>
    <s v="S"/>
    <x v="442"/>
    <x v="41"/>
    <x v="431"/>
    <m/>
    <x v="277"/>
    <m/>
    <x v="14"/>
    <x v="0"/>
    <x v="243"/>
    <d v="2012-06-02T00:00:00"/>
    <x v="7"/>
    <x v="0"/>
    <m/>
    <m/>
    <x v="0"/>
    <x v="0"/>
    <m/>
    <x v="0"/>
    <x v="4"/>
    <x v="1346"/>
    <x v="14"/>
    <x v="0"/>
    <x v="0"/>
    <x v="243"/>
    <x v="3500"/>
  </r>
  <r>
    <x v="1"/>
    <n v="821"/>
    <x v="1337"/>
    <x v="2"/>
    <s v="CM"/>
    <s v="S"/>
    <x v="442"/>
    <x v="41"/>
    <x v="498"/>
    <m/>
    <x v="303"/>
    <m/>
    <x v="17"/>
    <x v="0"/>
    <x v="306"/>
    <d v="2012-07-01T00:00:00"/>
    <x v="17"/>
    <x v="0"/>
    <m/>
    <s v="Mac Laren Animation 3: For the Family"/>
    <x v="0"/>
    <x v="0"/>
    <m/>
    <x v="0"/>
    <x v="4"/>
    <x v="1346"/>
    <x v="17"/>
    <x v="0"/>
    <x v="0"/>
    <x v="306"/>
    <x v="3501"/>
  </r>
  <r>
    <x v="1"/>
    <n v="821"/>
    <x v="1337"/>
    <x v="2"/>
    <s v="CM"/>
    <s v="S"/>
    <x v="442"/>
    <x v="41"/>
    <x v="651"/>
    <m/>
    <x v="343"/>
    <m/>
    <x v="33"/>
    <x v="0"/>
    <x v="286"/>
    <d v="2012-09-09T00:00:00"/>
    <x v="9"/>
    <x v="0"/>
    <m/>
    <s v="World Panorama"/>
    <x v="0"/>
    <x v="0"/>
    <m/>
    <x v="0"/>
    <x v="4"/>
    <x v="1346"/>
    <x v="33"/>
    <x v="0"/>
    <x v="0"/>
    <x v="286"/>
    <x v="3502"/>
  </r>
  <r>
    <x v="1"/>
    <n v="821"/>
    <x v="1337"/>
    <x v="2"/>
    <s v="CM"/>
    <s v="S"/>
    <x v="442"/>
    <x v="41"/>
    <x v="741"/>
    <m/>
    <x v="372"/>
    <m/>
    <x v="17"/>
    <x v="0"/>
    <x v="436"/>
    <d v="2012-09-23T00:00:00"/>
    <x v="9"/>
    <x v="1"/>
    <s v="Shorts - Competition for Audience Award"/>
    <s v="Shorts: To Belong"/>
    <x v="0"/>
    <x v="0"/>
    <m/>
    <x v="0"/>
    <x v="4"/>
    <x v="1346"/>
    <x v="17"/>
    <x v="0"/>
    <x v="0"/>
    <x v="436"/>
    <x v="3503"/>
  </r>
  <r>
    <x v="1"/>
    <n v="821"/>
    <x v="1337"/>
    <x v="2"/>
    <s v="CM"/>
    <s v="S"/>
    <x v="442"/>
    <x v="41"/>
    <x v="353"/>
    <m/>
    <x v="237"/>
    <m/>
    <x v="17"/>
    <x v="0"/>
    <x v="377"/>
    <d v="2012-09-23T00:00:00"/>
    <x v="9"/>
    <x v="1"/>
    <s v="Animated Encounters Competition - ANI 3: Tooth and Claw"/>
    <m/>
    <x v="0"/>
    <x v="0"/>
    <m/>
    <x v="0"/>
    <x v="4"/>
    <x v="1346"/>
    <x v="17"/>
    <x v="0"/>
    <x v="0"/>
    <x v="377"/>
    <x v="3504"/>
  </r>
  <r>
    <x v="1"/>
    <n v="821"/>
    <x v="1337"/>
    <x v="2"/>
    <s v="CM"/>
    <s v="S"/>
    <x v="442"/>
    <x v="41"/>
    <x v="22"/>
    <m/>
    <x v="22"/>
    <m/>
    <x v="3"/>
    <x v="0"/>
    <x v="251"/>
    <d v="2012-11-18T00:00:00"/>
    <x v="13"/>
    <x v="1"/>
    <s v="Secção Competitiva"/>
    <s v="Caminhos Juniores"/>
    <x v="0"/>
    <x v="0"/>
    <m/>
    <x v="0"/>
    <x v="4"/>
    <x v="1346"/>
    <x v="3"/>
    <x v="0"/>
    <x v="1"/>
    <x v="251"/>
    <x v="3505"/>
  </r>
  <r>
    <x v="1"/>
    <n v="821"/>
    <x v="1337"/>
    <x v="2"/>
    <s v="CM"/>
    <s v="S"/>
    <x v="442"/>
    <x v="41"/>
    <x v="27"/>
    <m/>
    <x v="25"/>
    <m/>
    <x v="3"/>
    <x v="0"/>
    <x v="307"/>
    <d v="2012-11-18T00:00:00"/>
    <x v="13"/>
    <x v="1"/>
    <s v="Competição Nacional: Prémio António Gaio"/>
    <m/>
    <x v="0"/>
    <x v="0"/>
    <m/>
    <x v="0"/>
    <x v="4"/>
    <x v="1346"/>
    <x v="3"/>
    <x v="0"/>
    <x v="1"/>
    <x v="307"/>
    <x v="3506"/>
  </r>
  <r>
    <x v="1"/>
    <n v="821"/>
    <x v="1337"/>
    <x v="2"/>
    <s v="CM"/>
    <s v="S"/>
    <x v="442"/>
    <x v="41"/>
    <x v="448"/>
    <m/>
    <x v="59"/>
    <m/>
    <x v="3"/>
    <x v="0"/>
    <x v="289"/>
    <d v="2012-12-02T00:00:00"/>
    <x v="11"/>
    <x v="1"/>
    <s v="Competição Nacional"/>
    <m/>
    <x v="0"/>
    <x v="0"/>
    <m/>
    <x v="0"/>
    <x v="4"/>
    <x v="1346"/>
    <x v="3"/>
    <x v="0"/>
    <x v="1"/>
    <x v="289"/>
    <x v="3507"/>
  </r>
  <r>
    <x v="1"/>
    <n v="821"/>
    <x v="1337"/>
    <x v="2"/>
    <s v="CM"/>
    <s v="S"/>
    <x v="442"/>
    <x v="41"/>
    <x v="688"/>
    <m/>
    <x v="355"/>
    <m/>
    <x v="67"/>
    <x v="0"/>
    <x v="467"/>
    <d v="2013-11-25T00:00:00"/>
    <x v="13"/>
    <x v="1"/>
    <s v="Short Films in Competition B"/>
    <m/>
    <x v="0"/>
    <x v="0"/>
    <m/>
    <x v="0"/>
    <x v="4"/>
    <x v="1346"/>
    <x v="67"/>
    <x v="0"/>
    <x v="0"/>
    <x v="467"/>
    <x v="3508"/>
  </r>
  <r>
    <x v="1"/>
    <n v="1421"/>
    <x v="1338"/>
    <x v="0"/>
    <s v="CM"/>
    <s v="N"/>
    <x v="896"/>
    <x v="41"/>
    <x v="68"/>
    <m/>
    <x v="53"/>
    <m/>
    <x v="3"/>
    <x v="0"/>
    <x v="253"/>
    <d v="2012-07-15T00:00:00"/>
    <x v="8"/>
    <x v="0"/>
    <m/>
    <s v="20 Anos: 4x4"/>
    <x v="0"/>
    <x v="0"/>
    <m/>
    <x v="0"/>
    <x v="0"/>
    <x v="1347"/>
    <x v="3"/>
    <x v="0"/>
    <x v="1"/>
    <x v="253"/>
    <x v="3509"/>
  </r>
  <r>
    <x v="1"/>
    <n v="1421"/>
    <x v="1338"/>
    <x v="0"/>
    <s v="CM"/>
    <s v="N"/>
    <x v="896"/>
    <x v="41"/>
    <x v="25"/>
    <m/>
    <x v="24"/>
    <m/>
    <x v="3"/>
    <x v="0"/>
    <x v="294"/>
    <d v="2012-10-28T00:00:00"/>
    <x v="14"/>
    <x v="0"/>
    <m/>
    <s v="Homenagem ao Curtas Vila do Conde"/>
    <x v="0"/>
    <x v="0"/>
    <m/>
    <x v="0"/>
    <x v="0"/>
    <x v="1347"/>
    <x v="3"/>
    <x v="0"/>
    <x v="1"/>
    <x v="294"/>
    <x v="3510"/>
  </r>
  <r>
    <x v="1"/>
    <n v="1421"/>
    <x v="1338"/>
    <x v="0"/>
    <s v="CM"/>
    <s v="N"/>
    <x v="896"/>
    <x v="41"/>
    <x v="448"/>
    <m/>
    <x v="59"/>
    <m/>
    <x v="3"/>
    <x v="0"/>
    <x v="289"/>
    <d v="2012-12-02T00:00:00"/>
    <x v="11"/>
    <x v="1"/>
    <s v="Competição Nacional"/>
    <m/>
    <x v="0"/>
    <x v="0"/>
    <m/>
    <x v="0"/>
    <x v="0"/>
    <x v="1347"/>
    <x v="3"/>
    <x v="0"/>
    <x v="1"/>
    <x v="289"/>
    <x v="3511"/>
  </r>
  <r>
    <x v="1"/>
    <n v="824"/>
    <x v="1339"/>
    <x v="0"/>
    <s v="CM"/>
    <s v="N"/>
    <x v="897"/>
    <x v="3"/>
    <x v="63"/>
    <m/>
    <x v="24"/>
    <m/>
    <x v="3"/>
    <x v="0"/>
    <x v="274"/>
    <d v="2012-05-16T00:00:00"/>
    <x v="6"/>
    <x v="1"/>
    <s v="Competição Curtas Metragens"/>
    <m/>
    <x v="0"/>
    <x v="0"/>
    <m/>
    <x v="0"/>
    <x v="0"/>
    <x v="1348"/>
    <x v="3"/>
    <x v="0"/>
    <x v="1"/>
    <x v="274"/>
    <x v="3512"/>
  </r>
  <r>
    <x v="1"/>
    <n v="824"/>
    <x v="1339"/>
    <x v="0"/>
    <s v="CM"/>
    <s v="N"/>
    <x v="897"/>
    <x v="3"/>
    <x v="64"/>
    <m/>
    <x v="23"/>
    <m/>
    <x v="3"/>
    <x v="0"/>
    <x v="386"/>
    <d v="2012-05-26T00:00:00"/>
    <x v="6"/>
    <x v="1"/>
    <m/>
    <m/>
    <x v="352"/>
    <x v="1"/>
    <m/>
    <x v="1"/>
    <x v="0"/>
    <x v="1348"/>
    <x v="3"/>
    <x v="423"/>
    <x v="1"/>
    <x v="386"/>
    <x v="3513"/>
  </r>
  <r>
    <x v="1"/>
    <n v="824"/>
    <x v="1339"/>
    <x v="0"/>
    <s v="CM"/>
    <s v="N"/>
    <x v="897"/>
    <x v="3"/>
    <x v="68"/>
    <m/>
    <x v="53"/>
    <m/>
    <x v="3"/>
    <x v="0"/>
    <x v="253"/>
    <d v="2012-07-15T00:00:00"/>
    <x v="8"/>
    <x v="1"/>
    <s v="Take One!"/>
    <m/>
    <x v="0"/>
    <x v="0"/>
    <m/>
    <x v="0"/>
    <x v="0"/>
    <x v="1348"/>
    <x v="3"/>
    <x v="0"/>
    <x v="1"/>
    <x v="253"/>
    <x v="3514"/>
  </r>
  <r>
    <x v="1"/>
    <n v="824"/>
    <x v="1339"/>
    <x v="0"/>
    <s v="CM"/>
    <s v="N"/>
    <x v="897"/>
    <x v="3"/>
    <x v="316"/>
    <m/>
    <x v="11"/>
    <m/>
    <x v="3"/>
    <x v="0"/>
    <x v="199"/>
    <d v="2012-08-25T00:00:00"/>
    <x v="16"/>
    <x v="1"/>
    <s v="Ficção"/>
    <m/>
    <x v="0"/>
    <x v="0"/>
    <m/>
    <x v="0"/>
    <x v="0"/>
    <x v="1348"/>
    <x v="3"/>
    <x v="0"/>
    <x v="1"/>
    <x v="199"/>
    <x v="3515"/>
  </r>
  <r>
    <x v="1"/>
    <n v="824"/>
    <x v="1339"/>
    <x v="0"/>
    <s v="CM"/>
    <s v="N"/>
    <x v="897"/>
    <x v="3"/>
    <x v="70"/>
    <m/>
    <x v="38"/>
    <m/>
    <x v="3"/>
    <x v="0"/>
    <x v="349"/>
    <d v="2012-09-16T00:00:00"/>
    <x v="9"/>
    <x v="1"/>
    <m/>
    <m/>
    <x v="0"/>
    <x v="0"/>
    <m/>
    <x v="0"/>
    <x v="0"/>
    <x v="1348"/>
    <x v="3"/>
    <x v="0"/>
    <x v="1"/>
    <x v="349"/>
    <x v="3516"/>
  </r>
  <r>
    <x v="1"/>
    <n v="824"/>
    <x v="1339"/>
    <x v="0"/>
    <s v="CM"/>
    <s v="N"/>
    <x v="897"/>
    <x v="3"/>
    <x v="22"/>
    <m/>
    <x v="22"/>
    <m/>
    <x v="3"/>
    <x v="0"/>
    <x v="251"/>
    <d v="2012-11-18T00:00:00"/>
    <x v="13"/>
    <x v="1"/>
    <s v="Ensaios Visuais"/>
    <m/>
    <x v="0"/>
    <x v="0"/>
    <m/>
    <x v="0"/>
    <x v="0"/>
    <x v="1348"/>
    <x v="3"/>
    <x v="0"/>
    <x v="1"/>
    <x v="251"/>
    <x v="3517"/>
  </r>
  <r>
    <x v="1"/>
    <n v="824"/>
    <x v="1339"/>
    <x v="0"/>
    <s v="CM"/>
    <s v="N"/>
    <x v="897"/>
    <x v="3"/>
    <x v="402"/>
    <m/>
    <x v="24"/>
    <m/>
    <x v="3"/>
    <x v="0"/>
    <x v="231"/>
    <d v="2012-12-09T00:00:00"/>
    <x v="12"/>
    <x v="1"/>
    <s v="Categoria Fundação INATEL"/>
    <m/>
    <x v="0"/>
    <x v="1"/>
    <m/>
    <x v="0"/>
    <x v="0"/>
    <x v="1348"/>
    <x v="3"/>
    <x v="0"/>
    <x v="1"/>
    <x v="231"/>
    <x v="3518"/>
  </r>
  <r>
    <x v="1"/>
    <n v="825"/>
    <x v="1340"/>
    <x v="0"/>
    <s v="LM"/>
    <s v="S"/>
    <x v="290"/>
    <x v="2"/>
    <x v="55"/>
    <m/>
    <x v="45"/>
    <m/>
    <x v="3"/>
    <x v="0"/>
    <x v="313"/>
    <d v="2012-05-02T00:00:00"/>
    <x v="4"/>
    <x v="0"/>
    <m/>
    <s v="18º Programa: As Escolhas de Jorge Cramez"/>
    <x v="0"/>
    <x v="1"/>
    <m/>
    <x v="0"/>
    <x v="5"/>
    <x v="1349"/>
    <x v="3"/>
    <x v="0"/>
    <x v="1"/>
    <x v="313"/>
    <x v="3519"/>
  </r>
  <r>
    <x v="1"/>
    <n v="826"/>
    <x v="1341"/>
    <x v="1"/>
    <s v="CM"/>
    <s v="N"/>
    <x v="898"/>
    <x v="2"/>
    <x v="68"/>
    <m/>
    <x v="53"/>
    <m/>
    <x v="3"/>
    <x v="0"/>
    <x v="253"/>
    <d v="2012-07-15T00:00:00"/>
    <x v="8"/>
    <x v="1"/>
    <s v="Competição Nacional"/>
    <m/>
    <x v="0"/>
    <x v="0"/>
    <m/>
    <x v="0"/>
    <x v="2"/>
    <x v="1350"/>
    <x v="3"/>
    <x v="0"/>
    <x v="1"/>
    <x v="253"/>
    <x v="3520"/>
  </r>
  <r>
    <x v="1"/>
    <n v="826"/>
    <x v="1341"/>
    <x v="1"/>
    <s v="CM"/>
    <s v="N"/>
    <x v="898"/>
    <x v="2"/>
    <x v="70"/>
    <m/>
    <x v="38"/>
    <m/>
    <x v="3"/>
    <x v="0"/>
    <x v="349"/>
    <d v="2012-09-16T00:00:00"/>
    <x v="9"/>
    <x v="1"/>
    <m/>
    <m/>
    <x v="353"/>
    <x v="0"/>
    <m/>
    <x v="1"/>
    <x v="2"/>
    <x v="1350"/>
    <x v="3"/>
    <x v="424"/>
    <x v="1"/>
    <x v="349"/>
    <x v="3521"/>
  </r>
  <r>
    <x v="1"/>
    <n v="827"/>
    <x v="575"/>
    <x v="0"/>
    <s v="LM"/>
    <s v=""/>
    <x v="212"/>
    <x v="2"/>
    <x v="469"/>
    <m/>
    <x v="24"/>
    <m/>
    <x v="3"/>
    <x v="0"/>
    <x v="243"/>
    <d v="2012-06-17T00:00:00"/>
    <x v="7"/>
    <x v="0"/>
    <m/>
    <m/>
    <x v="0"/>
    <x v="1"/>
    <m/>
    <x v="0"/>
    <x v="5"/>
    <x v="577"/>
    <x v="3"/>
    <x v="0"/>
    <x v="1"/>
    <x v="243"/>
    <x v="3522"/>
  </r>
  <r>
    <x v="1"/>
    <n v="828"/>
    <x v="1342"/>
    <x v="3"/>
    <s v="CM"/>
    <s v="N"/>
    <x v="899"/>
    <x v="2"/>
    <x v="413"/>
    <m/>
    <x v="270"/>
    <m/>
    <x v="3"/>
    <x v="0"/>
    <x v="243"/>
    <d v="2012-06-03T00:00:00"/>
    <x v="7"/>
    <x v="1"/>
    <s v="Universidades"/>
    <m/>
    <x v="0"/>
    <x v="0"/>
    <m/>
    <x v="0"/>
    <x v="6"/>
    <x v="1351"/>
    <x v="3"/>
    <x v="0"/>
    <x v="1"/>
    <x v="243"/>
    <x v="3523"/>
  </r>
  <r>
    <x v="1"/>
    <n v="829"/>
    <x v="576"/>
    <x v="2"/>
    <s v="CM"/>
    <s v="N"/>
    <x v="434"/>
    <x v="2"/>
    <x v="590"/>
    <m/>
    <x v="328"/>
    <m/>
    <x v="11"/>
    <x v="0"/>
    <x v="281"/>
    <d v="2012-05-01T00:00:00"/>
    <x v="4"/>
    <x v="1"/>
    <s v="Films made by children up to 12 years"/>
    <m/>
    <x v="278"/>
    <x v="0"/>
    <m/>
    <x v="1"/>
    <x v="4"/>
    <x v="578"/>
    <x v="11"/>
    <x v="425"/>
    <x v="0"/>
    <x v="281"/>
    <x v="3524"/>
  </r>
  <r>
    <x v="1"/>
    <n v="829"/>
    <x v="576"/>
    <x v="2"/>
    <s v="CM"/>
    <s v="N"/>
    <x v="434"/>
    <x v="2"/>
    <x v="722"/>
    <m/>
    <x v="366"/>
    <m/>
    <x v="35"/>
    <x v="0"/>
    <x v="406"/>
    <d v="2012-06-16T00:00:00"/>
    <x v="7"/>
    <x v="0"/>
    <m/>
    <s v="Sonderprogramm Jugendliche SFPK"/>
    <x v="0"/>
    <x v="0"/>
    <m/>
    <x v="0"/>
    <x v="4"/>
    <x v="578"/>
    <x v="35"/>
    <x v="0"/>
    <x v="0"/>
    <x v="406"/>
    <x v="3525"/>
  </r>
  <r>
    <x v="1"/>
    <n v="829"/>
    <x v="576"/>
    <x v="2"/>
    <s v="CM"/>
    <s v="N"/>
    <x v="434"/>
    <x v="2"/>
    <x v="235"/>
    <m/>
    <x v="165"/>
    <m/>
    <x v="4"/>
    <x v="0"/>
    <x v="440"/>
    <d v="2012-09-05T00:00:00"/>
    <x v="20"/>
    <x v="1"/>
    <s v="Competencia Oficial: Nueva Mirada"/>
    <m/>
    <x v="354"/>
    <x v="0"/>
    <m/>
    <x v="1"/>
    <x v="4"/>
    <x v="578"/>
    <x v="4"/>
    <x v="426"/>
    <x v="0"/>
    <x v="440"/>
    <x v="3526"/>
  </r>
  <r>
    <x v="1"/>
    <n v="829"/>
    <x v="576"/>
    <x v="2"/>
    <s v="CM"/>
    <s v="N"/>
    <x v="434"/>
    <x v="2"/>
    <x v="735"/>
    <m/>
    <x v="371"/>
    <m/>
    <x v="70"/>
    <x v="0"/>
    <x v="382"/>
    <d v="2012-10-06T00:00:00"/>
    <x v="14"/>
    <x v="1"/>
    <s v="The Best Film Created by Children"/>
    <m/>
    <x v="342"/>
    <x v="0"/>
    <m/>
    <x v="1"/>
    <x v="4"/>
    <x v="578"/>
    <x v="70"/>
    <x v="427"/>
    <x v="0"/>
    <x v="382"/>
    <x v="3527"/>
  </r>
  <r>
    <x v="1"/>
    <n v="829"/>
    <x v="576"/>
    <x v="2"/>
    <s v="CM"/>
    <s v="N"/>
    <x v="434"/>
    <x v="2"/>
    <x v="532"/>
    <m/>
    <x v="134"/>
    <m/>
    <x v="41"/>
    <x v="0"/>
    <x v="295"/>
    <d v="2012-10-28T00:00:00"/>
    <x v="14"/>
    <x v="1"/>
    <s v="Films made by children: Fun and Playful"/>
    <m/>
    <x v="0"/>
    <x v="0"/>
    <m/>
    <x v="0"/>
    <x v="4"/>
    <x v="578"/>
    <x v="41"/>
    <x v="0"/>
    <x v="0"/>
    <x v="295"/>
    <x v="3528"/>
  </r>
  <r>
    <x v="1"/>
    <n v="829"/>
    <x v="576"/>
    <x v="2"/>
    <s v="CM"/>
    <s v="N"/>
    <x v="434"/>
    <x v="2"/>
    <x v="653"/>
    <m/>
    <x v="11"/>
    <m/>
    <x v="3"/>
    <x v="0"/>
    <x v="252"/>
    <m/>
    <x v="14"/>
    <x v="1"/>
    <s v="Tema C - Animação"/>
    <m/>
    <x v="7"/>
    <x v="0"/>
    <m/>
    <x v="1"/>
    <x v="4"/>
    <x v="578"/>
    <x v="3"/>
    <x v="428"/>
    <x v="1"/>
    <x v="252"/>
    <x v="3529"/>
  </r>
  <r>
    <x v="1"/>
    <n v="1395"/>
    <x v="1343"/>
    <x v="2"/>
    <s v="CM"/>
    <s v="N"/>
    <x v="900"/>
    <x v="2"/>
    <x v="742"/>
    <m/>
    <x v="124"/>
    <m/>
    <x v="3"/>
    <x v="0"/>
    <x v="447"/>
    <m/>
    <x v="8"/>
    <x v="0"/>
    <m/>
    <m/>
    <x v="0"/>
    <x v="1"/>
    <m/>
    <x v="0"/>
    <x v="4"/>
    <x v="1352"/>
    <x v="3"/>
    <x v="0"/>
    <x v="1"/>
    <x v="447"/>
    <x v="3530"/>
  </r>
  <r>
    <x v="1"/>
    <n v="1541"/>
    <x v="1344"/>
    <x v="0"/>
    <s v="CM"/>
    <s v=""/>
    <x v="901"/>
    <x v="48"/>
    <x v="80"/>
    <m/>
    <x v="60"/>
    <m/>
    <x v="3"/>
    <x v="0"/>
    <x v="251"/>
    <d v="2012-11-18T00:00:00"/>
    <x v="13"/>
    <x v="0"/>
    <m/>
    <s v="CinemArt - Noronha da Costa"/>
    <x v="0"/>
    <x v="0"/>
    <m/>
    <x v="0"/>
    <x v="0"/>
    <x v="1353"/>
    <x v="3"/>
    <x v="0"/>
    <x v="1"/>
    <x v="251"/>
    <x v="3531"/>
  </r>
  <r>
    <x v="1"/>
    <n v="831"/>
    <x v="578"/>
    <x v="0"/>
    <s v="LM"/>
    <s v="S"/>
    <x v="436"/>
    <x v="5"/>
    <x v="546"/>
    <m/>
    <x v="316"/>
    <m/>
    <x v="2"/>
    <x v="0"/>
    <x v="317"/>
    <d v="2012-03-07T00:00:00"/>
    <x v="2"/>
    <x v="0"/>
    <m/>
    <m/>
    <x v="0"/>
    <x v="1"/>
    <m/>
    <x v="0"/>
    <x v="5"/>
    <x v="580"/>
    <x v="2"/>
    <x v="0"/>
    <x v="0"/>
    <x v="317"/>
    <x v="3532"/>
  </r>
  <r>
    <x v="1"/>
    <n v="831"/>
    <x v="578"/>
    <x v="0"/>
    <s v="LM"/>
    <s v="S"/>
    <x v="436"/>
    <x v="5"/>
    <x v="4"/>
    <m/>
    <x v="4"/>
    <m/>
    <x v="2"/>
    <x v="0"/>
    <x v="355"/>
    <d v="2012-04-25T00:00:00"/>
    <x v="5"/>
    <x v="0"/>
    <m/>
    <m/>
    <x v="0"/>
    <x v="1"/>
    <m/>
    <x v="0"/>
    <x v="5"/>
    <x v="580"/>
    <x v="2"/>
    <x v="0"/>
    <x v="0"/>
    <x v="355"/>
    <x v="3533"/>
  </r>
  <r>
    <x v="1"/>
    <n v="831"/>
    <x v="578"/>
    <x v="0"/>
    <s v="LM"/>
    <s v="S"/>
    <x v="436"/>
    <x v="5"/>
    <x v="22"/>
    <m/>
    <x v="22"/>
    <m/>
    <x v="3"/>
    <x v="0"/>
    <x v="251"/>
    <d v="2012-11-18T00:00:00"/>
    <x v="13"/>
    <x v="1"/>
    <s v="Secção Competitiva"/>
    <m/>
    <x v="355"/>
    <x v="0"/>
    <m/>
    <x v="1"/>
    <x v="5"/>
    <x v="580"/>
    <x v="3"/>
    <x v="429"/>
    <x v="1"/>
    <x v="251"/>
    <x v="3534"/>
  </r>
  <r>
    <x v="1"/>
    <n v="832"/>
    <x v="1345"/>
    <x v="0"/>
    <s v="CM"/>
    <s v="N"/>
    <x v="902"/>
    <x v="2"/>
    <x v="412"/>
    <m/>
    <x v="269"/>
    <m/>
    <x v="3"/>
    <x v="0"/>
    <x v="242"/>
    <m/>
    <x v="7"/>
    <x v="1"/>
    <m/>
    <m/>
    <x v="0"/>
    <x v="0"/>
    <m/>
    <x v="0"/>
    <x v="0"/>
    <x v="1354"/>
    <x v="3"/>
    <x v="0"/>
    <x v="1"/>
    <x v="242"/>
    <x v="3535"/>
  </r>
  <r>
    <x v="1"/>
    <n v="834"/>
    <x v="580"/>
    <x v="0"/>
    <s v="LM"/>
    <s v="N"/>
    <x v="53"/>
    <x v="33"/>
    <x v="743"/>
    <m/>
    <x v="124"/>
    <m/>
    <x v="3"/>
    <x v="0"/>
    <x v="382"/>
    <d v="2012-10-05T00:00:00"/>
    <x v="14"/>
    <x v="0"/>
    <m/>
    <m/>
    <x v="0"/>
    <x v="1"/>
    <m/>
    <x v="0"/>
    <x v="5"/>
    <x v="582"/>
    <x v="3"/>
    <x v="0"/>
    <x v="1"/>
    <x v="382"/>
    <x v="3536"/>
  </r>
  <r>
    <x v="1"/>
    <n v="936"/>
    <x v="1346"/>
    <x v="2"/>
    <s v="CM"/>
    <s v="S"/>
    <x v="182"/>
    <x v="41"/>
    <x v="133"/>
    <m/>
    <x v="101"/>
    <m/>
    <x v="3"/>
    <x v="0"/>
    <x v="331"/>
    <d v="2012-12-09T00:00:00"/>
    <x v="12"/>
    <x v="0"/>
    <m/>
    <s v="Sangue Novo - André Gil Mata"/>
    <x v="0"/>
    <x v="0"/>
    <m/>
    <x v="0"/>
    <x v="4"/>
    <x v="1355"/>
    <x v="3"/>
    <x v="0"/>
    <x v="1"/>
    <x v="331"/>
    <x v="3537"/>
  </r>
  <r>
    <x v="1"/>
    <n v="835"/>
    <x v="1347"/>
    <x v="0"/>
    <s v="LM"/>
    <s v="N"/>
    <x v="903"/>
    <x v="2"/>
    <x v="130"/>
    <m/>
    <x v="99"/>
    <m/>
    <x v="3"/>
    <x v="0"/>
    <x v="316"/>
    <m/>
    <x v="15"/>
    <x v="0"/>
    <m/>
    <m/>
    <x v="0"/>
    <x v="1"/>
    <m/>
    <x v="0"/>
    <x v="5"/>
    <x v="1356"/>
    <x v="3"/>
    <x v="0"/>
    <x v="1"/>
    <x v="316"/>
    <x v="3538"/>
  </r>
  <r>
    <x v="1"/>
    <n v="836"/>
    <x v="1348"/>
    <x v="0"/>
    <s v="LM"/>
    <s v="S"/>
    <x v="158"/>
    <x v="2"/>
    <x v="435"/>
    <m/>
    <x v="24"/>
    <m/>
    <x v="3"/>
    <x v="0"/>
    <x v="269"/>
    <d v="2012-03-11T00:00:00"/>
    <x v="2"/>
    <x v="0"/>
    <m/>
    <m/>
    <x v="0"/>
    <x v="1"/>
    <m/>
    <x v="0"/>
    <x v="5"/>
    <x v="1357"/>
    <x v="3"/>
    <x v="0"/>
    <x v="1"/>
    <x v="269"/>
    <x v="3539"/>
  </r>
  <r>
    <x v="1"/>
    <n v="393"/>
    <x v="581"/>
    <x v="0"/>
    <s v="CM"/>
    <s v="N"/>
    <x v="126"/>
    <x v="5"/>
    <x v="412"/>
    <m/>
    <x v="269"/>
    <m/>
    <x v="3"/>
    <x v="0"/>
    <x v="242"/>
    <m/>
    <x v="7"/>
    <x v="1"/>
    <m/>
    <m/>
    <x v="0"/>
    <x v="0"/>
    <m/>
    <x v="0"/>
    <x v="0"/>
    <x v="583"/>
    <x v="3"/>
    <x v="0"/>
    <x v="1"/>
    <x v="242"/>
    <x v="3540"/>
  </r>
  <r>
    <x v="1"/>
    <n v="1535"/>
    <x v="1349"/>
    <x v="0"/>
    <s v="LM"/>
    <s v="S"/>
    <x v="20"/>
    <x v="36"/>
    <x v="452"/>
    <m/>
    <x v="24"/>
    <m/>
    <x v="3"/>
    <x v="0"/>
    <x v="296"/>
    <d v="2012-12-09T00:00:00"/>
    <x v="12"/>
    <x v="0"/>
    <m/>
    <m/>
    <x v="0"/>
    <x v="0"/>
    <m/>
    <x v="0"/>
    <x v="5"/>
    <x v="1358"/>
    <x v="3"/>
    <x v="0"/>
    <x v="1"/>
    <x v="296"/>
    <x v="3541"/>
  </r>
  <r>
    <x v="1"/>
    <n v="1506"/>
    <x v="1350"/>
    <x v="0"/>
    <s v="CM"/>
    <s v=""/>
    <x v="904"/>
    <x v="2"/>
    <x v="22"/>
    <m/>
    <x v="22"/>
    <m/>
    <x v="3"/>
    <x v="0"/>
    <x v="251"/>
    <d v="2012-11-18T00:00:00"/>
    <x v="13"/>
    <x v="1"/>
    <s v="Secção Competitiva"/>
    <m/>
    <x v="0"/>
    <x v="0"/>
    <m/>
    <x v="0"/>
    <x v="0"/>
    <x v="1359"/>
    <x v="3"/>
    <x v="0"/>
    <x v="1"/>
    <x v="251"/>
    <x v="3542"/>
  </r>
  <r>
    <x v="1"/>
    <n v="839"/>
    <x v="1351"/>
    <x v="2"/>
    <s v="CM"/>
    <s v=""/>
    <x v="338"/>
    <x v="2"/>
    <x v="26"/>
    <m/>
    <x v="24"/>
    <m/>
    <x v="3"/>
    <x v="0"/>
    <x v="268"/>
    <d v="2012-03-24T00:00:00"/>
    <x v="2"/>
    <x v="1"/>
    <s v="Competição Portugueses"/>
    <m/>
    <x v="0"/>
    <x v="0"/>
    <m/>
    <x v="0"/>
    <x v="4"/>
    <x v="1360"/>
    <x v="3"/>
    <x v="0"/>
    <x v="1"/>
    <x v="268"/>
    <x v="3543"/>
  </r>
  <r>
    <x v="1"/>
    <n v="839"/>
    <x v="1351"/>
    <x v="2"/>
    <s v="CM"/>
    <s v=""/>
    <x v="338"/>
    <x v="2"/>
    <x v="22"/>
    <m/>
    <x v="22"/>
    <m/>
    <x v="3"/>
    <x v="0"/>
    <x v="251"/>
    <d v="2012-11-18T00:00:00"/>
    <x v="13"/>
    <x v="1"/>
    <s v="Secção Competitiva"/>
    <m/>
    <x v="0"/>
    <x v="0"/>
    <m/>
    <x v="0"/>
    <x v="4"/>
    <x v="1360"/>
    <x v="3"/>
    <x v="0"/>
    <x v="1"/>
    <x v="251"/>
    <x v="3544"/>
  </r>
  <r>
    <x v="1"/>
    <n v="840"/>
    <x v="1352"/>
    <x v="2"/>
    <s v="CM"/>
    <s v="N"/>
    <x v="905"/>
    <x v="2"/>
    <x v="580"/>
    <m/>
    <x v="15"/>
    <m/>
    <x v="3"/>
    <x v="0"/>
    <x v="393"/>
    <m/>
    <x v="7"/>
    <x v="0"/>
    <m/>
    <m/>
    <x v="0"/>
    <x v="1"/>
    <m/>
    <x v="0"/>
    <x v="4"/>
    <x v="1361"/>
    <x v="3"/>
    <x v="0"/>
    <x v="1"/>
    <x v="393"/>
    <x v="3545"/>
  </r>
  <r>
    <x v="1"/>
    <n v="841"/>
    <x v="1353"/>
    <x v="0"/>
    <s v="CM"/>
    <s v="N"/>
    <x v="38"/>
    <x v="41"/>
    <x v="68"/>
    <m/>
    <x v="53"/>
    <m/>
    <x v="3"/>
    <x v="0"/>
    <x v="253"/>
    <d v="2012-07-15T00:00:00"/>
    <x v="8"/>
    <x v="0"/>
    <m/>
    <s v="Panorama Nacional"/>
    <x v="0"/>
    <x v="0"/>
    <m/>
    <x v="0"/>
    <x v="0"/>
    <x v="1362"/>
    <x v="3"/>
    <x v="0"/>
    <x v="1"/>
    <x v="253"/>
    <x v="3546"/>
  </r>
  <r>
    <x v="1"/>
    <n v="841"/>
    <x v="1353"/>
    <x v="0"/>
    <s v="CM"/>
    <s v="N"/>
    <x v="38"/>
    <x v="41"/>
    <x v="147"/>
    <m/>
    <x v="112"/>
    <m/>
    <x v="34"/>
    <x v="0"/>
    <x v="335"/>
    <d v="2012-08-11T00:00:00"/>
    <x v="16"/>
    <x v="0"/>
    <m/>
    <s v="Pardi di Domani: Programma Speciale Corti d'autore"/>
    <x v="0"/>
    <x v="0"/>
    <m/>
    <x v="0"/>
    <x v="0"/>
    <x v="1362"/>
    <x v="34"/>
    <x v="0"/>
    <x v="0"/>
    <x v="335"/>
    <x v="3547"/>
  </r>
  <r>
    <x v="1"/>
    <n v="841"/>
    <x v="1353"/>
    <x v="0"/>
    <s v="CM"/>
    <s v="N"/>
    <x v="38"/>
    <x v="41"/>
    <x v="471"/>
    <m/>
    <x v="75"/>
    <m/>
    <x v="15"/>
    <x v="0"/>
    <x v="251"/>
    <d v="2012-11-17T00:00:00"/>
    <x v="13"/>
    <x v="0"/>
    <m/>
    <s v="CinemaXXI: Mediometraggi e Cortometraggii fuori Concorso - Histórias de Guimarâes"/>
    <x v="0"/>
    <x v="0"/>
    <m/>
    <x v="0"/>
    <x v="0"/>
    <x v="1362"/>
    <x v="15"/>
    <x v="0"/>
    <x v="0"/>
    <x v="251"/>
    <x v="3548"/>
  </r>
  <r>
    <x v="1"/>
    <n v="841"/>
    <x v="1353"/>
    <x v="0"/>
    <s v="CM"/>
    <s v="N"/>
    <x v="38"/>
    <x v="41"/>
    <x v="280"/>
    <m/>
    <x v="196"/>
    <m/>
    <x v="2"/>
    <x v="0"/>
    <x v="279"/>
    <d v="2012-12-02T00:00:00"/>
    <x v="11"/>
    <x v="1"/>
    <s v="Compétition Internationale: Courts Métrages"/>
    <m/>
    <x v="0"/>
    <x v="0"/>
    <m/>
    <x v="0"/>
    <x v="0"/>
    <x v="1362"/>
    <x v="2"/>
    <x v="0"/>
    <x v="0"/>
    <x v="279"/>
    <x v="3549"/>
  </r>
  <r>
    <x v="1"/>
    <n v="841"/>
    <x v="1353"/>
    <x v="0"/>
    <s v="CM"/>
    <s v="N"/>
    <x v="38"/>
    <x v="41"/>
    <x v="133"/>
    <m/>
    <x v="101"/>
    <m/>
    <x v="3"/>
    <x v="0"/>
    <x v="331"/>
    <d v="2012-12-09T00:00:00"/>
    <x v="12"/>
    <x v="1"/>
    <s v="Curtas Metragens"/>
    <m/>
    <x v="0"/>
    <x v="0"/>
    <m/>
    <x v="0"/>
    <x v="0"/>
    <x v="1362"/>
    <x v="3"/>
    <x v="0"/>
    <x v="1"/>
    <x v="331"/>
    <x v="3550"/>
  </r>
  <r>
    <x v="1"/>
    <n v="842"/>
    <x v="1354"/>
    <x v="4"/>
    <s v="CM"/>
    <s v=""/>
    <x v="4"/>
    <x v="2"/>
    <x v="63"/>
    <m/>
    <x v="24"/>
    <m/>
    <x v="3"/>
    <x v="0"/>
    <x v="274"/>
    <d v="2012-05-16T00:00:00"/>
    <x v="6"/>
    <x v="1"/>
    <s v="Competição Curtas Metragens"/>
    <m/>
    <x v="0"/>
    <x v="0"/>
    <m/>
    <x v="0"/>
    <x v="8"/>
    <x v="1363"/>
    <x v="3"/>
    <x v="0"/>
    <x v="1"/>
    <x v="274"/>
    <x v="3551"/>
  </r>
  <r>
    <x v="1"/>
    <n v="843"/>
    <x v="1355"/>
    <x v="4"/>
    <s v="CM"/>
    <s v=""/>
    <x v="906"/>
    <x v="2"/>
    <x v="428"/>
    <m/>
    <x v="24"/>
    <m/>
    <x v="3"/>
    <x v="0"/>
    <x v="260"/>
    <d v="2012-04-19T00:00:00"/>
    <x v="5"/>
    <x v="0"/>
    <m/>
    <m/>
    <x v="0"/>
    <x v="1"/>
    <m/>
    <x v="0"/>
    <x v="8"/>
    <x v="1364"/>
    <x v="3"/>
    <x v="0"/>
    <x v="1"/>
    <x v="260"/>
    <x v="3552"/>
  </r>
  <r>
    <x v="1"/>
    <n v="1631"/>
    <x v="1356"/>
    <x v="1"/>
    <s v="CM"/>
    <s v=""/>
    <x v="158"/>
    <x v="26"/>
    <x v="109"/>
    <m/>
    <x v="23"/>
    <m/>
    <x v="3"/>
    <x v="0"/>
    <x v="427"/>
    <d v="2012-12-02T00:00:00"/>
    <x v="32"/>
    <x v="0"/>
    <m/>
    <s v="Momento XXII"/>
    <x v="0"/>
    <x v="1"/>
    <m/>
    <x v="0"/>
    <x v="2"/>
    <x v="1365"/>
    <x v="3"/>
    <x v="0"/>
    <x v="1"/>
    <x v="427"/>
    <x v="3553"/>
  </r>
  <r>
    <x v="1"/>
    <n v="844"/>
    <x v="583"/>
    <x v="1"/>
    <s v="CM"/>
    <s v="N"/>
    <x v="87"/>
    <x v="5"/>
    <x v="744"/>
    <m/>
    <x v="373"/>
    <m/>
    <x v="1"/>
    <x v="0"/>
    <x v="468"/>
    <d v="2012-03-10T00:00:00"/>
    <x v="2"/>
    <x v="1"/>
    <s v="Documentales"/>
    <m/>
    <x v="356"/>
    <x v="0"/>
    <m/>
    <x v="1"/>
    <x v="2"/>
    <x v="585"/>
    <x v="1"/>
    <x v="430"/>
    <x v="0"/>
    <x v="468"/>
    <x v="3554"/>
  </r>
  <r>
    <x v="1"/>
    <n v="844"/>
    <x v="583"/>
    <x v="1"/>
    <s v="CM"/>
    <s v="N"/>
    <x v="87"/>
    <x v="5"/>
    <x v="432"/>
    <m/>
    <x v="39"/>
    <m/>
    <x v="3"/>
    <x v="0"/>
    <x v="265"/>
    <d v="2012-04-21T00:00:00"/>
    <x v="5"/>
    <x v="1"/>
    <s v="Competição Nacional"/>
    <m/>
    <x v="0"/>
    <x v="0"/>
    <m/>
    <x v="0"/>
    <x v="2"/>
    <x v="585"/>
    <x v="3"/>
    <x v="0"/>
    <x v="1"/>
    <x v="265"/>
    <x v="3555"/>
  </r>
  <r>
    <x v="1"/>
    <n v="844"/>
    <x v="583"/>
    <x v="1"/>
    <s v="CM"/>
    <s v="N"/>
    <x v="87"/>
    <x v="5"/>
    <x v="408"/>
    <m/>
    <x v="266"/>
    <m/>
    <x v="2"/>
    <x v="0"/>
    <x v="238"/>
    <d v="2012-08-25T00:00:00"/>
    <x v="16"/>
    <x v="0"/>
    <m/>
    <s v="Route du Doc: Portugal"/>
    <x v="0"/>
    <x v="1"/>
    <m/>
    <x v="0"/>
    <x v="2"/>
    <x v="585"/>
    <x v="2"/>
    <x v="0"/>
    <x v="0"/>
    <x v="238"/>
    <x v="3556"/>
  </r>
  <r>
    <x v="1"/>
    <n v="845"/>
    <x v="584"/>
    <x v="0"/>
    <s v="LM"/>
    <s v="S"/>
    <x v="20"/>
    <x v="5"/>
    <x v="500"/>
    <m/>
    <x v="24"/>
    <m/>
    <x v="3"/>
    <x v="0"/>
    <x v="348"/>
    <d v="2012-03-11T00:00:00"/>
    <x v="2"/>
    <x v="0"/>
    <m/>
    <m/>
    <x v="0"/>
    <x v="1"/>
    <m/>
    <x v="0"/>
    <x v="5"/>
    <x v="586"/>
    <x v="3"/>
    <x v="0"/>
    <x v="1"/>
    <x v="348"/>
    <x v="3557"/>
  </r>
  <r>
    <x v="1"/>
    <n v="1529"/>
    <x v="1357"/>
    <x v="0"/>
    <s v="CM"/>
    <s v="N"/>
    <x v="151"/>
    <x v="41"/>
    <x v="471"/>
    <m/>
    <x v="75"/>
    <m/>
    <x v="15"/>
    <x v="0"/>
    <x v="251"/>
    <d v="2012-11-17T00:00:00"/>
    <x v="13"/>
    <x v="0"/>
    <m/>
    <s v="CinemaXXI: Mediometraggi e Cortometraggii fuori Concorso - Guimarães Transversal"/>
    <x v="0"/>
    <x v="0"/>
    <m/>
    <x v="0"/>
    <x v="0"/>
    <x v="1366"/>
    <x v="15"/>
    <x v="0"/>
    <x v="0"/>
    <x v="251"/>
    <x v="3558"/>
  </r>
  <r>
    <x v="1"/>
    <n v="1529"/>
    <x v="1357"/>
    <x v="0"/>
    <s v="CM"/>
    <s v="N"/>
    <x v="151"/>
    <x v="41"/>
    <x v="133"/>
    <m/>
    <x v="101"/>
    <m/>
    <x v="3"/>
    <x v="0"/>
    <x v="331"/>
    <d v="2012-12-09T00:00:00"/>
    <x v="12"/>
    <x v="1"/>
    <s v="Curtas Metragens"/>
    <m/>
    <x v="357"/>
    <x v="0"/>
    <m/>
    <x v="1"/>
    <x v="0"/>
    <x v="1366"/>
    <x v="3"/>
    <x v="431"/>
    <x v="1"/>
    <x v="331"/>
    <x v="3559"/>
  </r>
  <r>
    <x v="1"/>
    <n v="1414"/>
    <x v="1358"/>
    <x v="1"/>
    <s v="LM"/>
    <s v=""/>
    <x v="453"/>
    <x v="41"/>
    <x v="25"/>
    <m/>
    <x v="24"/>
    <m/>
    <x v="3"/>
    <x v="0"/>
    <x v="294"/>
    <d v="2012-10-28T00:00:00"/>
    <x v="14"/>
    <x v="0"/>
    <m/>
    <s v="Heart Beat"/>
    <x v="0"/>
    <x v="0"/>
    <m/>
    <x v="0"/>
    <x v="1"/>
    <x v="1367"/>
    <x v="3"/>
    <x v="0"/>
    <x v="1"/>
    <x v="294"/>
    <x v="3560"/>
  </r>
  <r>
    <x v="1"/>
    <n v="846"/>
    <x v="585"/>
    <x v="0"/>
    <s v="LM"/>
    <s v="S"/>
    <x v="401"/>
    <x v="20"/>
    <x v="80"/>
    <m/>
    <x v="60"/>
    <m/>
    <x v="3"/>
    <x v="0"/>
    <x v="251"/>
    <d v="2012-11-18T00:00:00"/>
    <x v="13"/>
    <x v="0"/>
    <m/>
    <s v="Homenagens: João Pedro Rodrigues e João Rui Guerra da Mata"/>
    <x v="0"/>
    <x v="0"/>
    <m/>
    <x v="0"/>
    <x v="5"/>
    <x v="587"/>
    <x v="3"/>
    <x v="0"/>
    <x v="1"/>
    <x v="251"/>
    <x v="3561"/>
  </r>
  <r>
    <x v="1"/>
    <n v="1525"/>
    <x v="1359"/>
    <x v="0"/>
    <s v="LM"/>
    <s v="N"/>
    <x v="430"/>
    <x v="41"/>
    <x v="471"/>
    <m/>
    <x v="75"/>
    <m/>
    <x v="15"/>
    <x v="0"/>
    <x v="251"/>
    <d v="2012-11-17T00:00:00"/>
    <x v="13"/>
    <x v="0"/>
    <m/>
    <s v="CinemaXXI: Lungometraggi fuori Concorso"/>
    <x v="0"/>
    <x v="0"/>
    <m/>
    <x v="0"/>
    <x v="5"/>
    <x v="1368"/>
    <x v="15"/>
    <x v="0"/>
    <x v="0"/>
    <x v="251"/>
    <x v="3562"/>
  </r>
  <r>
    <x v="1"/>
    <n v="1525"/>
    <x v="1359"/>
    <x v="0"/>
    <s v="LM"/>
    <s v="N"/>
    <x v="430"/>
    <x v="41"/>
    <x v="133"/>
    <m/>
    <x v="101"/>
    <m/>
    <x v="3"/>
    <x v="0"/>
    <x v="331"/>
    <d v="2012-12-09T00:00:00"/>
    <x v="12"/>
    <x v="1"/>
    <s v="Longas Metragens"/>
    <m/>
    <x v="0"/>
    <x v="0"/>
    <m/>
    <x v="0"/>
    <x v="5"/>
    <x v="1368"/>
    <x v="3"/>
    <x v="0"/>
    <x v="1"/>
    <x v="331"/>
    <x v="3563"/>
  </r>
  <r>
    <x v="1"/>
    <n v="848"/>
    <x v="1360"/>
    <x v="0"/>
    <s v="CM"/>
    <s v="N"/>
    <x v="907"/>
    <x v="41"/>
    <x v="62"/>
    <m/>
    <x v="23"/>
    <m/>
    <x v="3"/>
    <x v="0"/>
    <x v="302"/>
    <d v="2012-03-04T00:00:00"/>
    <x v="19"/>
    <x v="1"/>
    <s v="Prémio de Cinema Português - Melhor Filme e Escolas de Cinema"/>
    <m/>
    <x v="0"/>
    <x v="0"/>
    <m/>
    <x v="0"/>
    <x v="0"/>
    <x v="1369"/>
    <x v="3"/>
    <x v="0"/>
    <x v="1"/>
    <x v="302"/>
    <x v="3564"/>
  </r>
  <r>
    <x v="1"/>
    <n v="848"/>
    <x v="1360"/>
    <x v="0"/>
    <s v="CM"/>
    <s v="N"/>
    <x v="907"/>
    <x v="41"/>
    <x v="431"/>
    <m/>
    <x v="277"/>
    <m/>
    <x v="14"/>
    <x v="0"/>
    <x v="243"/>
    <d v="2012-06-02T00:00:00"/>
    <x v="7"/>
    <x v="0"/>
    <m/>
    <m/>
    <x v="0"/>
    <x v="0"/>
    <m/>
    <x v="0"/>
    <x v="0"/>
    <x v="1369"/>
    <x v="14"/>
    <x v="0"/>
    <x v="0"/>
    <x v="243"/>
    <x v="3565"/>
  </r>
  <r>
    <x v="1"/>
    <n v="850"/>
    <x v="1361"/>
    <x v="0"/>
    <s v="LM"/>
    <s v="S"/>
    <x v="158"/>
    <x v="2"/>
    <x v="469"/>
    <m/>
    <x v="24"/>
    <m/>
    <x v="3"/>
    <x v="0"/>
    <x v="243"/>
    <d v="2012-06-17T00:00:00"/>
    <x v="7"/>
    <x v="0"/>
    <m/>
    <m/>
    <x v="0"/>
    <x v="1"/>
    <m/>
    <x v="0"/>
    <x v="5"/>
    <x v="1370"/>
    <x v="3"/>
    <x v="0"/>
    <x v="1"/>
    <x v="243"/>
    <x v="3566"/>
  </r>
  <r>
    <x v="1"/>
    <n v="2202"/>
    <x v="1362"/>
    <x v="0"/>
    <s v="LM"/>
    <s v="N"/>
    <x v="118"/>
    <x v="3"/>
    <x v="179"/>
    <m/>
    <x v="133"/>
    <m/>
    <x v="0"/>
    <x v="0"/>
    <x v="233"/>
    <d v="2012-11-01T00:00:00"/>
    <x v="0"/>
    <x v="1"/>
    <s v="Competição Novos Diretores"/>
    <m/>
    <x v="0"/>
    <x v="0"/>
    <m/>
    <x v="0"/>
    <x v="5"/>
    <x v="1371"/>
    <x v="0"/>
    <x v="0"/>
    <x v="0"/>
    <x v="233"/>
    <x v="3567"/>
  </r>
  <r>
    <x v="1"/>
    <n v="851"/>
    <x v="1363"/>
    <x v="2"/>
    <s v="CM"/>
    <s v="N"/>
    <x v="736"/>
    <x v="41"/>
    <x v="316"/>
    <m/>
    <x v="11"/>
    <m/>
    <x v="3"/>
    <x v="0"/>
    <x v="199"/>
    <d v="2012-08-25T00:00:00"/>
    <x v="16"/>
    <x v="1"/>
    <s v="Animação"/>
    <m/>
    <x v="7"/>
    <x v="0"/>
    <m/>
    <x v="1"/>
    <x v="4"/>
    <x v="1372"/>
    <x v="3"/>
    <x v="323"/>
    <x v="1"/>
    <x v="199"/>
    <x v="3568"/>
  </r>
  <r>
    <x v="1"/>
    <n v="851"/>
    <x v="1363"/>
    <x v="2"/>
    <s v="CM"/>
    <s v="N"/>
    <x v="736"/>
    <x v="41"/>
    <x v="445"/>
    <m/>
    <x v="284"/>
    <m/>
    <x v="3"/>
    <x v="0"/>
    <x v="286"/>
    <d v="2012-09-08T00:00:00"/>
    <x v="9"/>
    <x v="1"/>
    <m/>
    <m/>
    <x v="0"/>
    <x v="0"/>
    <m/>
    <x v="0"/>
    <x v="4"/>
    <x v="1372"/>
    <x v="3"/>
    <x v="0"/>
    <x v="1"/>
    <x v="286"/>
    <x v="3569"/>
  </r>
  <r>
    <x v="1"/>
    <n v="851"/>
    <x v="1363"/>
    <x v="2"/>
    <s v="CM"/>
    <s v="N"/>
    <x v="736"/>
    <x v="41"/>
    <x v="70"/>
    <m/>
    <x v="38"/>
    <m/>
    <x v="3"/>
    <x v="0"/>
    <x v="349"/>
    <d v="2012-09-16T00:00:00"/>
    <x v="9"/>
    <x v="1"/>
    <m/>
    <m/>
    <x v="0"/>
    <x v="0"/>
    <m/>
    <x v="0"/>
    <x v="4"/>
    <x v="1372"/>
    <x v="3"/>
    <x v="0"/>
    <x v="1"/>
    <x v="349"/>
    <x v="3570"/>
  </r>
  <r>
    <x v="1"/>
    <n v="852"/>
    <x v="587"/>
    <x v="0"/>
    <s v="CM"/>
    <s v="N"/>
    <x v="438"/>
    <x v="2"/>
    <x v="62"/>
    <m/>
    <x v="23"/>
    <m/>
    <x v="3"/>
    <x v="0"/>
    <x v="302"/>
    <d v="2012-03-04T00:00:00"/>
    <x v="19"/>
    <x v="1"/>
    <s v="Prémio de Cinema Português - Escolas de Cinema"/>
    <m/>
    <x v="0"/>
    <x v="0"/>
    <m/>
    <x v="0"/>
    <x v="0"/>
    <x v="589"/>
    <x v="3"/>
    <x v="0"/>
    <x v="1"/>
    <x v="302"/>
    <x v="3571"/>
  </r>
  <r>
    <x v="1"/>
    <n v="853"/>
    <x v="1364"/>
    <x v="0"/>
    <s v="LM"/>
    <s v="S"/>
    <x v="20"/>
    <x v="41"/>
    <x v="209"/>
    <m/>
    <x v="72"/>
    <m/>
    <x v="15"/>
    <x v="0"/>
    <x v="444"/>
    <d v="2012-09-08T00:00:00"/>
    <x v="20"/>
    <x v="2"/>
    <m/>
    <s v="Fuori Concorso"/>
    <x v="0"/>
    <x v="0"/>
    <m/>
    <x v="0"/>
    <x v="5"/>
    <x v="1373"/>
    <x v="15"/>
    <x v="0"/>
    <x v="0"/>
    <x v="444"/>
    <x v="3572"/>
  </r>
  <r>
    <x v="1"/>
    <n v="853"/>
    <x v="1364"/>
    <x v="0"/>
    <s v="LM"/>
    <s v="S"/>
    <x v="20"/>
    <x v="41"/>
    <x v="185"/>
    <m/>
    <x v="136"/>
    <m/>
    <x v="7"/>
    <x v="0"/>
    <x v="286"/>
    <d v="2012-09-16T00:00:00"/>
    <x v="9"/>
    <x v="0"/>
    <m/>
    <s v="Masters"/>
    <x v="0"/>
    <x v="0"/>
    <m/>
    <x v="0"/>
    <x v="5"/>
    <x v="1373"/>
    <x v="7"/>
    <x v="0"/>
    <x v="0"/>
    <x v="286"/>
    <x v="3573"/>
  </r>
  <r>
    <x v="1"/>
    <n v="853"/>
    <x v="1364"/>
    <x v="0"/>
    <s v="LM"/>
    <s v="S"/>
    <x v="20"/>
    <x v="41"/>
    <x v="745"/>
    <m/>
    <x v="374"/>
    <m/>
    <x v="71"/>
    <x v="0"/>
    <x v="410"/>
    <d v="2012-10-20T00:00:00"/>
    <x v="14"/>
    <x v="1"/>
    <s v="Narrative Competition"/>
    <m/>
    <x v="358"/>
    <x v="0"/>
    <m/>
    <x v="1"/>
    <x v="5"/>
    <x v="1373"/>
    <x v="71"/>
    <x v="432"/>
    <x v="0"/>
    <x v="410"/>
    <x v="3574"/>
  </r>
  <r>
    <x v="1"/>
    <n v="853"/>
    <x v="1364"/>
    <x v="0"/>
    <s v="LM"/>
    <s v="S"/>
    <x v="20"/>
    <x v="41"/>
    <x v="42"/>
    <m/>
    <x v="39"/>
    <m/>
    <x v="3"/>
    <x v="0"/>
    <x v="285"/>
    <m/>
    <x v="14"/>
    <x v="0"/>
    <m/>
    <m/>
    <x v="0"/>
    <x v="1"/>
    <m/>
    <x v="0"/>
    <x v="5"/>
    <x v="1373"/>
    <x v="3"/>
    <x v="0"/>
    <x v="1"/>
    <x v="285"/>
    <x v="3575"/>
  </r>
  <r>
    <x v="1"/>
    <n v="853"/>
    <x v="1364"/>
    <x v="0"/>
    <s v="LM"/>
    <s v="S"/>
    <x v="20"/>
    <x v="41"/>
    <x v="179"/>
    <m/>
    <x v="133"/>
    <m/>
    <x v="0"/>
    <x v="0"/>
    <x v="233"/>
    <d v="2012-11-01T00:00:00"/>
    <x v="0"/>
    <x v="0"/>
    <m/>
    <s v="Perspectiva Internacional"/>
    <x v="0"/>
    <x v="0"/>
    <m/>
    <x v="0"/>
    <x v="5"/>
    <x v="1373"/>
    <x v="0"/>
    <x v="0"/>
    <x v="0"/>
    <x v="233"/>
    <x v="3576"/>
  </r>
  <r>
    <x v="1"/>
    <n v="853"/>
    <x v="1364"/>
    <x v="0"/>
    <s v="LM"/>
    <s v="S"/>
    <x v="20"/>
    <x v="41"/>
    <x v="149"/>
    <m/>
    <x v="114"/>
    <m/>
    <x v="35"/>
    <x v="0"/>
    <x v="339"/>
    <d v="2012-11-07T00:00:00"/>
    <x v="0"/>
    <x v="0"/>
    <m/>
    <s v="Spielfilme"/>
    <x v="0"/>
    <x v="0"/>
    <m/>
    <x v="0"/>
    <x v="5"/>
    <x v="1373"/>
    <x v="35"/>
    <x v="0"/>
    <x v="0"/>
    <x v="339"/>
    <x v="3577"/>
  </r>
  <r>
    <x v="1"/>
    <n v="853"/>
    <x v="1364"/>
    <x v="0"/>
    <s v="LM"/>
    <s v="S"/>
    <x v="20"/>
    <x v="41"/>
    <x v="492"/>
    <m/>
    <x v="128"/>
    <m/>
    <x v="1"/>
    <x v="0"/>
    <x v="341"/>
    <d v="2012-11-10T00:00:00"/>
    <x v="13"/>
    <x v="1"/>
    <s v="Sección Oficial"/>
    <m/>
    <x v="0"/>
    <x v="0"/>
    <m/>
    <x v="0"/>
    <x v="5"/>
    <x v="1373"/>
    <x v="1"/>
    <x v="0"/>
    <x v="0"/>
    <x v="341"/>
    <x v="3578"/>
  </r>
  <r>
    <x v="1"/>
    <n v="853"/>
    <x v="1364"/>
    <x v="0"/>
    <s v="LM"/>
    <s v="S"/>
    <x v="20"/>
    <x v="41"/>
    <x v="746"/>
    <m/>
    <x v="306"/>
    <m/>
    <x v="2"/>
    <x v="0"/>
    <x v="254"/>
    <d v="2012-11-28T00:00:00"/>
    <x v="13"/>
    <x v="0"/>
    <m/>
    <s v="Hommage à Manoel de Oliveira"/>
    <x v="0"/>
    <x v="1"/>
    <m/>
    <x v="0"/>
    <x v="5"/>
    <x v="1373"/>
    <x v="2"/>
    <x v="0"/>
    <x v="0"/>
    <x v="254"/>
    <x v="3579"/>
  </r>
  <r>
    <x v="1"/>
    <n v="853"/>
    <x v="1364"/>
    <x v="0"/>
    <s v="LM"/>
    <s v="S"/>
    <x v="20"/>
    <x v="41"/>
    <x v="666"/>
    <m/>
    <x v="235"/>
    <m/>
    <x v="1"/>
    <x v="0"/>
    <x v="254"/>
    <d v="2012-11-30T00:00:00"/>
    <x v="13"/>
    <x v="1"/>
    <s v="Selección Oficial"/>
    <m/>
    <x v="0"/>
    <x v="0"/>
    <m/>
    <x v="0"/>
    <x v="5"/>
    <x v="1373"/>
    <x v="1"/>
    <x v="0"/>
    <x v="0"/>
    <x v="254"/>
    <x v="3580"/>
  </r>
  <r>
    <x v="1"/>
    <n v="853"/>
    <x v="1364"/>
    <x v="0"/>
    <s v="LM"/>
    <s v="S"/>
    <x v="20"/>
    <x v="41"/>
    <x v="22"/>
    <m/>
    <x v="22"/>
    <m/>
    <x v="3"/>
    <x v="0"/>
    <x v="251"/>
    <d v="2012-11-18T00:00:00"/>
    <x v="13"/>
    <x v="1"/>
    <s v="Secção Competitiva"/>
    <m/>
    <x v="0"/>
    <x v="0"/>
    <m/>
    <x v="0"/>
    <x v="5"/>
    <x v="1373"/>
    <x v="3"/>
    <x v="0"/>
    <x v="1"/>
    <x v="251"/>
    <x v="3581"/>
  </r>
  <r>
    <x v="1"/>
    <n v="853"/>
    <x v="1364"/>
    <x v="0"/>
    <s v="LM"/>
    <s v="S"/>
    <x v="20"/>
    <x v="41"/>
    <x v="575"/>
    <m/>
    <x v="11"/>
    <m/>
    <x v="3"/>
    <x v="0"/>
    <x v="369"/>
    <m/>
    <x v="13"/>
    <x v="0"/>
    <m/>
    <m/>
    <x v="0"/>
    <x v="1"/>
    <m/>
    <x v="0"/>
    <x v="5"/>
    <x v="1373"/>
    <x v="3"/>
    <x v="0"/>
    <x v="1"/>
    <x v="369"/>
    <x v="3582"/>
  </r>
  <r>
    <x v="1"/>
    <n v="853"/>
    <x v="1364"/>
    <x v="0"/>
    <s v="LM"/>
    <s v="S"/>
    <x v="20"/>
    <x v="41"/>
    <x v="543"/>
    <m/>
    <x v="15"/>
    <m/>
    <x v="3"/>
    <x v="0"/>
    <x v="369"/>
    <d v="2012-12-18T00:00:00"/>
    <x v="11"/>
    <x v="0"/>
    <m/>
    <m/>
    <x v="0"/>
    <x v="1"/>
    <m/>
    <x v="0"/>
    <x v="5"/>
    <x v="1373"/>
    <x v="3"/>
    <x v="0"/>
    <x v="1"/>
    <x v="369"/>
    <x v="3583"/>
  </r>
  <r>
    <x v="1"/>
    <n v="853"/>
    <x v="1364"/>
    <x v="0"/>
    <s v="LM"/>
    <s v="S"/>
    <x v="20"/>
    <x v="41"/>
    <x v="442"/>
    <m/>
    <x v="6"/>
    <m/>
    <x v="4"/>
    <x v="0"/>
    <x v="282"/>
    <d v="2012-11-25T00:00:00"/>
    <x v="13"/>
    <x v="0"/>
    <m/>
    <s v="Panorama: Autores"/>
    <x v="0"/>
    <x v="0"/>
    <m/>
    <x v="0"/>
    <x v="5"/>
    <x v="1373"/>
    <x v="4"/>
    <x v="0"/>
    <x v="0"/>
    <x v="282"/>
    <x v="3584"/>
  </r>
  <r>
    <x v="1"/>
    <n v="853"/>
    <x v="1364"/>
    <x v="0"/>
    <s v="LM"/>
    <s v="S"/>
    <x v="20"/>
    <x v="41"/>
    <x v="571"/>
    <m/>
    <x v="321"/>
    <m/>
    <x v="3"/>
    <x v="0"/>
    <x v="387"/>
    <d v="2012-11-25T00:00:00"/>
    <x v="13"/>
    <x v="0"/>
    <m/>
    <m/>
    <x v="0"/>
    <x v="1"/>
    <m/>
    <x v="0"/>
    <x v="5"/>
    <x v="1373"/>
    <x v="3"/>
    <x v="0"/>
    <x v="1"/>
    <x v="387"/>
    <x v="3585"/>
  </r>
  <r>
    <x v="1"/>
    <n v="853"/>
    <x v="1364"/>
    <x v="0"/>
    <s v="LM"/>
    <s v="S"/>
    <x v="20"/>
    <x v="41"/>
    <x v="134"/>
    <m/>
    <x v="99"/>
    <m/>
    <x v="3"/>
    <x v="0"/>
    <x v="304"/>
    <m/>
    <x v="13"/>
    <x v="0"/>
    <m/>
    <m/>
    <x v="0"/>
    <x v="1"/>
    <m/>
    <x v="0"/>
    <x v="5"/>
    <x v="1373"/>
    <x v="3"/>
    <x v="0"/>
    <x v="1"/>
    <x v="304"/>
    <x v="3586"/>
  </r>
  <r>
    <x v="1"/>
    <n v="1495"/>
    <x v="1365"/>
    <x v="2"/>
    <s v="CM"/>
    <s v="N"/>
    <x v="908"/>
    <x v="41"/>
    <x v="22"/>
    <m/>
    <x v="22"/>
    <m/>
    <x v="3"/>
    <x v="0"/>
    <x v="251"/>
    <d v="2012-11-18T00:00:00"/>
    <x v="13"/>
    <x v="1"/>
    <s v="Secção Competitiva"/>
    <s v="Caminhos Juniores"/>
    <x v="0"/>
    <x v="0"/>
    <m/>
    <x v="0"/>
    <x v="4"/>
    <x v="1374"/>
    <x v="3"/>
    <x v="0"/>
    <x v="1"/>
    <x v="251"/>
    <x v="3587"/>
  </r>
  <r>
    <x v="1"/>
    <n v="1495"/>
    <x v="1365"/>
    <x v="2"/>
    <s v="CM"/>
    <s v="N"/>
    <x v="908"/>
    <x v="41"/>
    <x v="27"/>
    <m/>
    <x v="25"/>
    <m/>
    <x v="3"/>
    <x v="0"/>
    <x v="307"/>
    <d v="2012-11-18T00:00:00"/>
    <x v="13"/>
    <x v="0"/>
    <m/>
    <s v="Sessão Especial Crianças"/>
    <x v="0"/>
    <x v="0"/>
    <m/>
    <x v="0"/>
    <x v="4"/>
    <x v="1374"/>
    <x v="3"/>
    <x v="0"/>
    <x v="1"/>
    <x v="307"/>
    <x v="3588"/>
  </r>
  <r>
    <x v="1"/>
    <n v="856"/>
    <x v="1366"/>
    <x v="0"/>
    <s v="LM"/>
    <s v="S"/>
    <x v="441"/>
    <x v="41"/>
    <x v="185"/>
    <m/>
    <x v="136"/>
    <m/>
    <x v="7"/>
    <x v="0"/>
    <x v="286"/>
    <d v="2012-09-16T00:00:00"/>
    <x v="9"/>
    <x v="0"/>
    <m/>
    <s v="Contemporary World Cinema"/>
    <x v="0"/>
    <x v="0"/>
    <m/>
    <x v="0"/>
    <x v="5"/>
    <x v="1375"/>
    <x v="7"/>
    <x v="0"/>
    <x v="0"/>
    <x v="286"/>
    <x v="3589"/>
  </r>
  <r>
    <x v="1"/>
    <n v="856"/>
    <x v="1366"/>
    <x v="0"/>
    <s v="LM"/>
    <s v="S"/>
    <x v="441"/>
    <x v="41"/>
    <x v="241"/>
    <m/>
    <x v="58"/>
    <m/>
    <x v="17"/>
    <x v="0"/>
    <x v="338"/>
    <d v="2012-10-21T00:00:00"/>
    <x v="14"/>
    <x v="0"/>
    <m/>
    <s v="Love"/>
    <x v="0"/>
    <x v="0"/>
    <m/>
    <x v="0"/>
    <x v="5"/>
    <x v="1375"/>
    <x v="17"/>
    <x v="0"/>
    <x v="0"/>
    <x v="338"/>
    <x v="3590"/>
  </r>
  <r>
    <x v="1"/>
    <n v="857"/>
    <x v="1367"/>
    <x v="0"/>
    <s v="CM"/>
    <s v="N"/>
    <x v="909"/>
    <x v="3"/>
    <x v="728"/>
    <m/>
    <x v="23"/>
    <m/>
    <x v="3"/>
    <x v="0"/>
    <x v="260"/>
    <m/>
    <x v="5"/>
    <x v="1"/>
    <m/>
    <m/>
    <x v="236"/>
    <x v="1"/>
    <m/>
    <x v="1"/>
    <x v="0"/>
    <x v="1376"/>
    <x v="3"/>
    <x v="274"/>
    <x v="1"/>
    <x v="260"/>
    <x v="3591"/>
  </r>
  <r>
    <x v="1"/>
    <n v="857"/>
    <x v="1367"/>
    <x v="0"/>
    <s v="CM"/>
    <s v="N"/>
    <x v="909"/>
    <x v="3"/>
    <x v="570"/>
    <m/>
    <x v="24"/>
    <m/>
    <x v="3"/>
    <x v="0"/>
    <x v="386"/>
    <m/>
    <x v="6"/>
    <x v="1"/>
    <m/>
    <m/>
    <x v="359"/>
    <x v="1"/>
    <m/>
    <x v="1"/>
    <x v="0"/>
    <x v="1376"/>
    <x v="3"/>
    <x v="433"/>
    <x v="1"/>
    <x v="386"/>
    <x v="3592"/>
  </r>
  <r>
    <x v="1"/>
    <n v="857"/>
    <x v="1367"/>
    <x v="0"/>
    <s v="CM"/>
    <s v="N"/>
    <x v="909"/>
    <x v="3"/>
    <x v="58"/>
    <m/>
    <x v="47"/>
    <m/>
    <x v="3"/>
    <x v="0"/>
    <x v="118"/>
    <d v="2012-09-09T00:00:00"/>
    <x v="9"/>
    <x v="0"/>
    <m/>
    <m/>
    <x v="0"/>
    <x v="1"/>
    <m/>
    <x v="0"/>
    <x v="0"/>
    <x v="1376"/>
    <x v="3"/>
    <x v="0"/>
    <x v="1"/>
    <x v="118"/>
    <x v="3593"/>
  </r>
  <r>
    <x v="1"/>
    <n v="859"/>
    <x v="592"/>
    <x v="2"/>
    <s v="CM"/>
    <s v="S"/>
    <x v="442"/>
    <x v="5"/>
    <x v="26"/>
    <m/>
    <x v="24"/>
    <m/>
    <x v="3"/>
    <x v="0"/>
    <x v="268"/>
    <d v="2012-03-25T00:00:00"/>
    <x v="2"/>
    <x v="1"/>
    <s v="Competição Internacional 2"/>
    <m/>
    <x v="0"/>
    <x v="0"/>
    <m/>
    <x v="0"/>
    <x v="4"/>
    <x v="594"/>
    <x v="3"/>
    <x v="0"/>
    <x v="1"/>
    <x v="268"/>
    <x v="3594"/>
  </r>
  <r>
    <x v="1"/>
    <n v="859"/>
    <x v="592"/>
    <x v="2"/>
    <s v="CM"/>
    <s v="S"/>
    <x v="442"/>
    <x v="5"/>
    <x v="200"/>
    <m/>
    <x v="145"/>
    <m/>
    <x v="2"/>
    <x v="0"/>
    <x v="332"/>
    <d v="2012-03-25T00:00:00"/>
    <x v="2"/>
    <x v="1"/>
    <s v="Compétition Internationale 3"/>
    <s v="Panorama Animation Portugaise"/>
    <x v="0"/>
    <x v="0"/>
    <m/>
    <x v="0"/>
    <x v="4"/>
    <x v="594"/>
    <x v="2"/>
    <x v="0"/>
    <x v="0"/>
    <x v="332"/>
    <x v="3595"/>
  </r>
  <r>
    <x v="1"/>
    <n v="859"/>
    <x v="592"/>
    <x v="2"/>
    <s v="CM"/>
    <s v="S"/>
    <x v="442"/>
    <x v="5"/>
    <x v="555"/>
    <m/>
    <x v="317"/>
    <m/>
    <x v="8"/>
    <x v="0"/>
    <x v="358"/>
    <d v="2012-04-29T00:00:00"/>
    <x v="5"/>
    <x v="0"/>
    <m/>
    <s v="Sessão IBERIA ANIMA-TE"/>
    <x v="0"/>
    <x v="0"/>
    <m/>
    <x v="0"/>
    <x v="4"/>
    <x v="594"/>
    <x v="8"/>
    <x v="0"/>
    <x v="0"/>
    <x v="358"/>
    <x v="3596"/>
  </r>
  <r>
    <x v="1"/>
    <n v="859"/>
    <x v="592"/>
    <x v="2"/>
    <s v="CM"/>
    <s v="S"/>
    <x v="442"/>
    <x v="5"/>
    <x v="165"/>
    <m/>
    <x v="65"/>
    <m/>
    <x v="9"/>
    <x v="0"/>
    <x v="333"/>
    <m/>
    <x v="8"/>
    <x v="0"/>
    <m/>
    <m/>
    <x v="0"/>
    <x v="1"/>
    <m/>
    <x v="0"/>
    <x v="4"/>
    <x v="594"/>
    <x v="9"/>
    <x v="0"/>
    <x v="0"/>
    <x v="333"/>
    <x v="3597"/>
  </r>
  <r>
    <x v="1"/>
    <n v="859"/>
    <x v="592"/>
    <x v="2"/>
    <s v="CM"/>
    <s v="S"/>
    <x v="442"/>
    <x v="5"/>
    <x v="747"/>
    <m/>
    <x v="24"/>
    <m/>
    <x v="3"/>
    <x v="0"/>
    <x v="369"/>
    <m/>
    <x v="13"/>
    <x v="1"/>
    <m/>
    <m/>
    <x v="341"/>
    <x v="1"/>
    <m/>
    <x v="1"/>
    <x v="4"/>
    <x v="594"/>
    <x v="3"/>
    <x v="408"/>
    <x v="1"/>
    <x v="369"/>
    <x v="3598"/>
  </r>
  <r>
    <x v="1"/>
    <n v="1410"/>
    <x v="1368"/>
    <x v="1"/>
    <s v="CM"/>
    <s v=""/>
    <x v="910"/>
    <x v="41"/>
    <x v="25"/>
    <m/>
    <x v="24"/>
    <m/>
    <x v="3"/>
    <x v="0"/>
    <x v="294"/>
    <d v="2012-10-28T00:00:00"/>
    <x v="14"/>
    <x v="1"/>
    <s v="Competição Portuguesa - Curtas"/>
    <m/>
    <x v="0"/>
    <x v="0"/>
    <m/>
    <x v="0"/>
    <x v="2"/>
    <x v="1377"/>
    <x v="3"/>
    <x v="0"/>
    <x v="1"/>
    <x v="294"/>
    <x v="3599"/>
  </r>
  <r>
    <x v="1"/>
    <n v="860"/>
    <x v="593"/>
    <x v="0"/>
    <s v="CM"/>
    <s v="N"/>
    <x v="178"/>
    <x v="2"/>
    <x v="508"/>
    <m/>
    <x v="27"/>
    <m/>
    <x v="7"/>
    <x v="0"/>
    <x v="353"/>
    <d v="2012-03-18T00:00:00"/>
    <x v="2"/>
    <x v="1"/>
    <s v="Sélection Oficielle - Programme 9"/>
    <m/>
    <x v="0"/>
    <x v="0"/>
    <m/>
    <x v="0"/>
    <x v="0"/>
    <x v="595"/>
    <x v="7"/>
    <x v="0"/>
    <x v="0"/>
    <x v="353"/>
    <x v="3600"/>
  </r>
  <r>
    <x v="1"/>
    <n v="860"/>
    <x v="593"/>
    <x v="0"/>
    <s v="CM"/>
    <s v="N"/>
    <x v="178"/>
    <x v="2"/>
    <x v="323"/>
    <m/>
    <x v="209"/>
    <m/>
    <x v="51"/>
    <x v="0"/>
    <x v="248"/>
    <d v="2012-04-01T00:00:00"/>
    <x v="3"/>
    <x v="1"/>
    <s v="Competition III"/>
    <m/>
    <x v="0"/>
    <x v="0"/>
    <m/>
    <x v="0"/>
    <x v="0"/>
    <x v="595"/>
    <x v="51"/>
    <x v="0"/>
    <x v="0"/>
    <x v="248"/>
    <x v="3601"/>
  </r>
  <r>
    <x v="1"/>
    <n v="860"/>
    <x v="593"/>
    <x v="0"/>
    <s v="CM"/>
    <s v="N"/>
    <x v="178"/>
    <x v="2"/>
    <x v="509"/>
    <m/>
    <x v="174"/>
    <m/>
    <x v="1"/>
    <x v="0"/>
    <x v="364"/>
    <d v="2012-04-29T00:00:00"/>
    <x v="5"/>
    <x v="1"/>
    <s v="Competición Internacional 4"/>
    <m/>
    <x v="0"/>
    <x v="0"/>
    <m/>
    <x v="0"/>
    <x v="0"/>
    <x v="595"/>
    <x v="1"/>
    <x v="0"/>
    <x v="0"/>
    <x v="364"/>
    <x v="3602"/>
  </r>
  <r>
    <x v="1"/>
    <n v="860"/>
    <x v="593"/>
    <x v="0"/>
    <s v="CM"/>
    <s v="N"/>
    <x v="178"/>
    <x v="2"/>
    <x v="523"/>
    <m/>
    <x v="311"/>
    <m/>
    <x v="61"/>
    <x v="0"/>
    <x v="254"/>
    <d v="2012-11-14T00:00:00"/>
    <x v="13"/>
    <x v="1"/>
    <s v="Competencia Internacional 4"/>
    <m/>
    <x v="0"/>
    <x v="0"/>
    <m/>
    <x v="0"/>
    <x v="0"/>
    <x v="595"/>
    <x v="61"/>
    <x v="0"/>
    <x v="0"/>
    <x v="254"/>
    <x v="3603"/>
  </r>
  <r>
    <x v="1"/>
    <n v="860"/>
    <x v="593"/>
    <x v="0"/>
    <s v="CM"/>
    <s v="N"/>
    <x v="178"/>
    <x v="2"/>
    <x v="448"/>
    <m/>
    <x v="59"/>
    <m/>
    <x v="3"/>
    <x v="0"/>
    <x v="289"/>
    <d v="2012-12-02T00:00:00"/>
    <x v="11"/>
    <x v="1"/>
    <s v="Competição Nacional"/>
    <m/>
    <x v="0"/>
    <x v="0"/>
    <m/>
    <x v="0"/>
    <x v="0"/>
    <x v="595"/>
    <x v="3"/>
    <x v="0"/>
    <x v="1"/>
    <x v="289"/>
    <x v="3604"/>
  </r>
  <r>
    <x v="1"/>
    <n v="863"/>
    <x v="596"/>
    <x v="0"/>
    <s v="CM"/>
    <s v="S"/>
    <x v="11"/>
    <x v="5"/>
    <x v="568"/>
    <m/>
    <x v="24"/>
    <m/>
    <x v="3"/>
    <x v="0"/>
    <x v="384"/>
    <m/>
    <x v="15"/>
    <x v="0"/>
    <m/>
    <m/>
    <x v="0"/>
    <x v="1"/>
    <m/>
    <x v="0"/>
    <x v="0"/>
    <x v="598"/>
    <x v="3"/>
    <x v="0"/>
    <x v="1"/>
    <x v="384"/>
    <x v="3605"/>
  </r>
  <r>
    <x v="1"/>
    <n v="863"/>
    <x v="596"/>
    <x v="0"/>
    <s v="CM"/>
    <s v="S"/>
    <x v="11"/>
    <x v="5"/>
    <x v="456"/>
    <m/>
    <x v="24"/>
    <m/>
    <x v="3"/>
    <x v="0"/>
    <x v="300"/>
    <m/>
    <x v="1"/>
    <x v="0"/>
    <m/>
    <s v="Especial Curtas Nomeadas para Melhor Curta Prémios Shortcutz Lisboa 2011"/>
    <x v="0"/>
    <x v="1"/>
    <m/>
    <x v="0"/>
    <x v="0"/>
    <x v="598"/>
    <x v="3"/>
    <x v="0"/>
    <x v="1"/>
    <x v="300"/>
    <x v="3606"/>
  </r>
  <r>
    <x v="1"/>
    <n v="864"/>
    <x v="1369"/>
    <x v="0"/>
    <s v="CM"/>
    <s v="N"/>
    <x v="911"/>
    <x v="2"/>
    <x v="412"/>
    <m/>
    <x v="269"/>
    <m/>
    <x v="3"/>
    <x v="0"/>
    <x v="242"/>
    <m/>
    <x v="7"/>
    <x v="1"/>
    <m/>
    <m/>
    <x v="0"/>
    <x v="0"/>
    <m/>
    <x v="0"/>
    <x v="0"/>
    <x v="1378"/>
    <x v="3"/>
    <x v="0"/>
    <x v="1"/>
    <x v="242"/>
    <x v="3607"/>
  </r>
  <r>
    <x v="1"/>
    <n v="866"/>
    <x v="1370"/>
    <x v="2"/>
    <s v="CM"/>
    <s v="N"/>
    <x v="912"/>
    <x v="3"/>
    <x v="590"/>
    <m/>
    <x v="328"/>
    <m/>
    <x v="11"/>
    <x v="0"/>
    <x v="281"/>
    <d v="2012-05-01T00:00:00"/>
    <x v="4"/>
    <x v="1"/>
    <s v="Films made by children up to 12 years"/>
    <m/>
    <x v="0"/>
    <x v="0"/>
    <m/>
    <x v="0"/>
    <x v="4"/>
    <x v="1379"/>
    <x v="11"/>
    <x v="0"/>
    <x v="0"/>
    <x v="281"/>
    <x v="3608"/>
  </r>
  <r>
    <x v="1"/>
    <n v="866"/>
    <x v="1370"/>
    <x v="2"/>
    <s v="CM"/>
    <s v="N"/>
    <x v="912"/>
    <x v="3"/>
    <x v="220"/>
    <m/>
    <x v="154"/>
    <m/>
    <x v="0"/>
    <x v="0"/>
    <x v="333"/>
    <d v="2012-07-29T00:00:00"/>
    <x v="8"/>
    <x v="0"/>
    <m/>
    <s v="Futuro Animador: Crianças e Adolescentes"/>
    <x v="0"/>
    <x v="0"/>
    <m/>
    <x v="0"/>
    <x v="4"/>
    <x v="1379"/>
    <x v="0"/>
    <x v="0"/>
    <x v="0"/>
    <x v="333"/>
    <x v="3609"/>
  </r>
  <r>
    <x v="1"/>
    <n v="866"/>
    <x v="1370"/>
    <x v="2"/>
    <s v="CM"/>
    <s v="N"/>
    <x v="912"/>
    <x v="3"/>
    <x v="532"/>
    <m/>
    <x v="134"/>
    <m/>
    <x v="41"/>
    <x v="0"/>
    <x v="295"/>
    <d v="2012-10-28T00:00:00"/>
    <x v="14"/>
    <x v="1"/>
    <s v="Films made by children: Fun and Playful"/>
    <m/>
    <x v="0"/>
    <x v="0"/>
    <m/>
    <x v="0"/>
    <x v="4"/>
    <x v="1379"/>
    <x v="41"/>
    <x v="0"/>
    <x v="0"/>
    <x v="295"/>
    <x v="3610"/>
  </r>
  <r>
    <x v="1"/>
    <n v="866"/>
    <x v="1370"/>
    <x v="2"/>
    <s v="CM"/>
    <s v="N"/>
    <x v="912"/>
    <x v="3"/>
    <x v="391"/>
    <m/>
    <x v="256"/>
    <m/>
    <x v="9"/>
    <x v="0"/>
    <x v="252"/>
    <d v="2012-11-04T00:00:00"/>
    <x v="0"/>
    <x v="1"/>
    <m/>
    <m/>
    <x v="360"/>
    <x v="0"/>
    <m/>
    <x v="1"/>
    <x v="4"/>
    <x v="1379"/>
    <x v="9"/>
    <x v="434"/>
    <x v="0"/>
    <x v="252"/>
    <x v="3611"/>
  </r>
  <r>
    <x v="1"/>
    <n v="868"/>
    <x v="1371"/>
    <x v="0"/>
    <s v="CM"/>
    <s v="N"/>
    <x v="913"/>
    <x v="2"/>
    <x v="412"/>
    <m/>
    <x v="269"/>
    <m/>
    <x v="3"/>
    <x v="0"/>
    <x v="242"/>
    <m/>
    <x v="7"/>
    <x v="0"/>
    <m/>
    <m/>
    <x v="0"/>
    <x v="0"/>
    <m/>
    <x v="0"/>
    <x v="0"/>
    <x v="1380"/>
    <x v="3"/>
    <x v="0"/>
    <x v="1"/>
    <x v="242"/>
    <x v="3612"/>
  </r>
  <r>
    <x v="1"/>
    <n v="868"/>
    <x v="1371"/>
    <x v="0"/>
    <s v="CM"/>
    <s v="N"/>
    <x v="913"/>
    <x v="2"/>
    <x v="552"/>
    <m/>
    <x v="11"/>
    <m/>
    <x v="3"/>
    <x v="0"/>
    <x v="301"/>
    <m/>
    <x v="7"/>
    <x v="1"/>
    <m/>
    <m/>
    <x v="0"/>
    <x v="1"/>
    <m/>
    <x v="0"/>
    <x v="0"/>
    <x v="1380"/>
    <x v="3"/>
    <x v="0"/>
    <x v="1"/>
    <x v="301"/>
    <x v="3613"/>
  </r>
  <r>
    <x v="1"/>
    <n v="1387"/>
    <x v="1372"/>
    <x v="1"/>
    <s v="CM"/>
    <s v="N"/>
    <x v="914"/>
    <x v="41"/>
    <x v="88"/>
    <m/>
    <x v="67"/>
    <m/>
    <x v="3"/>
    <x v="0"/>
    <x v="262"/>
    <d v="2012-10-13T00:00:00"/>
    <x v="14"/>
    <x v="1"/>
    <s v="Competição Lusófona - Panorama Regional"/>
    <m/>
    <x v="0"/>
    <x v="0"/>
    <m/>
    <x v="0"/>
    <x v="2"/>
    <x v="1381"/>
    <x v="3"/>
    <x v="0"/>
    <x v="1"/>
    <x v="262"/>
    <x v="3614"/>
  </r>
  <r>
    <x v="1"/>
    <n v="869"/>
    <x v="1373"/>
    <x v="0"/>
    <s v="CM"/>
    <s v="N"/>
    <x v="322"/>
    <x v="5"/>
    <x v="539"/>
    <m/>
    <x v="76"/>
    <m/>
    <x v="3"/>
    <x v="0"/>
    <x v="367"/>
    <d v="2012-05-06T00:00:00"/>
    <x v="6"/>
    <x v="1"/>
    <s v="Lusófono"/>
    <m/>
    <x v="0"/>
    <x v="0"/>
    <m/>
    <x v="0"/>
    <x v="0"/>
    <x v="1382"/>
    <x v="3"/>
    <x v="0"/>
    <x v="1"/>
    <x v="367"/>
    <x v="3615"/>
  </r>
  <r>
    <x v="1"/>
    <n v="870"/>
    <x v="599"/>
    <x v="1"/>
    <s v="LM"/>
    <s v="S"/>
    <x v="394"/>
    <x v="5"/>
    <x v="337"/>
    <m/>
    <x v="37"/>
    <m/>
    <x v="3"/>
    <x v="0"/>
    <x v="409"/>
    <m/>
    <x v="1"/>
    <x v="0"/>
    <m/>
    <m/>
    <x v="0"/>
    <x v="1"/>
    <m/>
    <x v="0"/>
    <x v="1"/>
    <x v="601"/>
    <x v="3"/>
    <x v="0"/>
    <x v="1"/>
    <x v="409"/>
    <x v="3616"/>
  </r>
  <r>
    <x v="1"/>
    <n v="870"/>
    <x v="599"/>
    <x v="1"/>
    <s v="LM"/>
    <s v="S"/>
    <x v="394"/>
    <x v="5"/>
    <x v="748"/>
    <m/>
    <x v="375"/>
    <m/>
    <x v="9"/>
    <x v="0"/>
    <x v="371"/>
    <d v="2012-02-24T00:00:00"/>
    <x v="1"/>
    <x v="0"/>
    <m/>
    <m/>
    <x v="361"/>
    <x v="0"/>
    <m/>
    <x v="1"/>
    <x v="1"/>
    <x v="601"/>
    <x v="9"/>
    <x v="435"/>
    <x v="0"/>
    <x v="371"/>
    <x v="3617"/>
  </r>
  <r>
    <x v="1"/>
    <n v="870"/>
    <x v="599"/>
    <x v="1"/>
    <s v="LM"/>
    <s v="S"/>
    <x v="394"/>
    <x v="5"/>
    <x v="546"/>
    <m/>
    <x v="316"/>
    <m/>
    <x v="2"/>
    <x v="0"/>
    <x v="317"/>
    <d v="2012-03-07T00:00:00"/>
    <x v="2"/>
    <x v="0"/>
    <m/>
    <m/>
    <x v="0"/>
    <x v="1"/>
    <m/>
    <x v="0"/>
    <x v="1"/>
    <x v="601"/>
    <x v="2"/>
    <x v="0"/>
    <x v="0"/>
    <x v="317"/>
    <x v="3618"/>
  </r>
  <r>
    <x v="1"/>
    <n v="870"/>
    <x v="599"/>
    <x v="1"/>
    <s v="LM"/>
    <s v="S"/>
    <x v="394"/>
    <x v="5"/>
    <x v="707"/>
    <m/>
    <x v="22"/>
    <m/>
    <x v="3"/>
    <x v="0"/>
    <x v="259"/>
    <d v="2012-03-28T00:00:00"/>
    <x v="2"/>
    <x v="0"/>
    <m/>
    <m/>
    <x v="0"/>
    <x v="1"/>
    <m/>
    <x v="0"/>
    <x v="1"/>
    <x v="601"/>
    <x v="3"/>
    <x v="0"/>
    <x v="1"/>
    <x v="259"/>
    <x v="3619"/>
  </r>
  <r>
    <x v="1"/>
    <n v="870"/>
    <x v="599"/>
    <x v="1"/>
    <s v="LM"/>
    <s v="S"/>
    <x v="394"/>
    <x v="5"/>
    <x v="407"/>
    <m/>
    <x v="154"/>
    <m/>
    <x v="0"/>
    <x v="0"/>
    <x v="237"/>
    <d v="2012-07-08T00:00:00"/>
    <x v="17"/>
    <x v="0"/>
    <m/>
    <m/>
    <x v="0"/>
    <x v="1"/>
    <m/>
    <x v="0"/>
    <x v="1"/>
    <x v="601"/>
    <x v="0"/>
    <x v="0"/>
    <x v="0"/>
    <x v="237"/>
    <x v="3620"/>
  </r>
  <r>
    <x v="1"/>
    <n v="870"/>
    <x v="599"/>
    <x v="1"/>
    <s v="LM"/>
    <s v="S"/>
    <x v="394"/>
    <x v="5"/>
    <x v="618"/>
    <m/>
    <x v="23"/>
    <m/>
    <x v="3"/>
    <x v="0"/>
    <x v="444"/>
    <m/>
    <x v="16"/>
    <x v="0"/>
    <m/>
    <m/>
    <x v="0"/>
    <x v="1"/>
    <m/>
    <x v="0"/>
    <x v="1"/>
    <x v="601"/>
    <x v="3"/>
    <x v="0"/>
    <x v="1"/>
    <x v="444"/>
    <x v="3621"/>
  </r>
  <r>
    <x v="1"/>
    <n v="870"/>
    <x v="599"/>
    <x v="1"/>
    <s v="LM"/>
    <s v="S"/>
    <x v="394"/>
    <x v="5"/>
    <x v="179"/>
    <m/>
    <x v="133"/>
    <m/>
    <x v="0"/>
    <x v="0"/>
    <x v="233"/>
    <d v="2012-11-01T00:00:00"/>
    <x v="0"/>
    <x v="0"/>
    <m/>
    <s v="Apresentação Especial"/>
    <x v="0"/>
    <x v="0"/>
    <m/>
    <x v="0"/>
    <x v="1"/>
    <x v="601"/>
    <x v="0"/>
    <x v="0"/>
    <x v="0"/>
    <x v="233"/>
    <x v="3622"/>
  </r>
  <r>
    <x v="1"/>
    <n v="870"/>
    <x v="599"/>
    <x v="1"/>
    <s v="LM"/>
    <s v="S"/>
    <x v="394"/>
    <x v="5"/>
    <x v="749"/>
    <m/>
    <x v="39"/>
    <m/>
    <x v="3"/>
    <x v="0"/>
    <x v="251"/>
    <d v="2012-11-11T00:00:00"/>
    <x v="13"/>
    <x v="0"/>
    <m/>
    <m/>
    <x v="0"/>
    <x v="0"/>
    <m/>
    <x v="0"/>
    <x v="1"/>
    <x v="601"/>
    <x v="3"/>
    <x v="0"/>
    <x v="1"/>
    <x v="251"/>
    <x v="3623"/>
  </r>
  <r>
    <x v="1"/>
    <n v="1577"/>
    <x v="1374"/>
    <x v="1"/>
    <s v="LM"/>
    <s v="N"/>
    <x v="97"/>
    <x v="41"/>
    <x v="25"/>
    <m/>
    <x v="24"/>
    <m/>
    <x v="3"/>
    <x v="0"/>
    <x v="294"/>
    <d v="2012-10-28T00:00:00"/>
    <x v="14"/>
    <x v="0"/>
    <m/>
    <s v="Cinema de Urgência"/>
    <x v="0"/>
    <x v="0"/>
    <m/>
    <x v="0"/>
    <x v="1"/>
    <x v="1383"/>
    <x v="3"/>
    <x v="0"/>
    <x v="1"/>
    <x v="294"/>
    <x v="3624"/>
  </r>
  <r>
    <x v="1"/>
    <n v="1577"/>
    <x v="1374"/>
    <x v="1"/>
    <s v="LM"/>
    <s v="N"/>
    <x v="97"/>
    <x v="41"/>
    <x v="22"/>
    <m/>
    <x v="22"/>
    <m/>
    <x v="3"/>
    <x v="0"/>
    <x v="251"/>
    <d v="2012-11-18T00:00:00"/>
    <x v="13"/>
    <x v="1"/>
    <s v="Secção Competitiva"/>
    <m/>
    <x v="0"/>
    <x v="0"/>
    <m/>
    <x v="0"/>
    <x v="1"/>
    <x v="1383"/>
    <x v="3"/>
    <x v="0"/>
    <x v="1"/>
    <x v="251"/>
    <x v="3625"/>
  </r>
  <r>
    <x v="1"/>
    <n v="1569"/>
    <x v="1375"/>
    <x v="0"/>
    <s v="CM"/>
    <s v="N"/>
    <x v="3"/>
    <x v="2"/>
    <x v="465"/>
    <m/>
    <x v="24"/>
    <m/>
    <x v="3"/>
    <x v="0"/>
    <x v="246"/>
    <m/>
    <x v="12"/>
    <x v="1"/>
    <m/>
    <m/>
    <x v="0"/>
    <x v="1"/>
    <m/>
    <x v="0"/>
    <x v="0"/>
    <x v="1384"/>
    <x v="3"/>
    <x v="0"/>
    <x v="1"/>
    <x v="246"/>
    <x v="3626"/>
  </r>
  <r>
    <x v="1"/>
    <n v="876"/>
    <x v="604"/>
    <x v="0"/>
    <s v="CM"/>
    <s v="N"/>
    <x v="446"/>
    <x v="2"/>
    <x v="62"/>
    <m/>
    <x v="23"/>
    <m/>
    <x v="3"/>
    <x v="0"/>
    <x v="302"/>
    <d v="2012-03-04T00:00:00"/>
    <x v="19"/>
    <x v="1"/>
    <s v="Prémio de Cinema Português - Melhor FIlme"/>
    <m/>
    <x v="0"/>
    <x v="0"/>
    <m/>
    <x v="0"/>
    <x v="0"/>
    <x v="606"/>
    <x v="3"/>
    <x v="0"/>
    <x v="1"/>
    <x v="302"/>
    <x v="3627"/>
  </r>
  <r>
    <x v="1"/>
    <n v="876"/>
    <x v="604"/>
    <x v="0"/>
    <s v="CM"/>
    <s v="N"/>
    <x v="446"/>
    <x v="2"/>
    <x v="551"/>
    <m/>
    <x v="23"/>
    <m/>
    <x v="3"/>
    <x v="0"/>
    <x v="372"/>
    <m/>
    <x v="2"/>
    <x v="1"/>
    <m/>
    <m/>
    <x v="0"/>
    <x v="1"/>
    <m/>
    <x v="0"/>
    <x v="0"/>
    <x v="606"/>
    <x v="3"/>
    <x v="0"/>
    <x v="1"/>
    <x v="372"/>
    <x v="3628"/>
  </r>
  <r>
    <x v="1"/>
    <n v="876"/>
    <x v="604"/>
    <x v="0"/>
    <s v="CM"/>
    <s v="N"/>
    <x v="446"/>
    <x v="2"/>
    <x v="482"/>
    <m/>
    <x v="24"/>
    <m/>
    <x v="3"/>
    <x v="0"/>
    <x v="321"/>
    <m/>
    <x v="5"/>
    <x v="1"/>
    <m/>
    <m/>
    <x v="0"/>
    <x v="1"/>
    <m/>
    <x v="0"/>
    <x v="0"/>
    <x v="606"/>
    <x v="3"/>
    <x v="0"/>
    <x v="1"/>
    <x v="321"/>
    <x v="3629"/>
  </r>
  <r>
    <x v="1"/>
    <n v="876"/>
    <x v="604"/>
    <x v="0"/>
    <s v="CM"/>
    <s v="N"/>
    <x v="446"/>
    <x v="2"/>
    <x v="413"/>
    <m/>
    <x v="270"/>
    <m/>
    <x v="3"/>
    <x v="0"/>
    <x v="243"/>
    <d v="2012-06-03T00:00:00"/>
    <x v="7"/>
    <x v="1"/>
    <s v="Universidades"/>
    <m/>
    <x v="0"/>
    <x v="0"/>
    <m/>
    <x v="0"/>
    <x v="0"/>
    <x v="606"/>
    <x v="3"/>
    <x v="0"/>
    <x v="1"/>
    <x v="243"/>
    <x v="3630"/>
  </r>
  <r>
    <x v="1"/>
    <n v="876"/>
    <x v="604"/>
    <x v="0"/>
    <s v="CM"/>
    <s v="N"/>
    <x v="446"/>
    <x v="2"/>
    <x v="165"/>
    <m/>
    <x v="65"/>
    <m/>
    <x v="9"/>
    <x v="0"/>
    <x v="333"/>
    <m/>
    <x v="8"/>
    <x v="0"/>
    <m/>
    <m/>
    <x v="0"/>
    <x v="1"/>
    <m/>
    <x v="0"/>
    <x v="0"/>
    <x v="606"/>
    <x v="9"/>
    <x v="0"/>
    <x v="0"/>
    <x v="333"/>
    <x v="3631"/>
  </r>
  <r>
    <x v="1"/>
    <n v="875"/>
    <x v="604"/>
    <x v="2"/>
    <s v="CM"/>
    <s v="N"/>
    <x v="170"/>
    <x v="2"/>
    <x v="192"/>
    <m/>
    <x v="140"/>
    <m/>
    <x v="3"/>
    <x v="0"/>
    <x v="250"/>
    <d v="2012-07-29T00:00:00"/>
    <x v="8"/>
    <x v="1"/>
    <s v="Competição AVANCA"/>
    <m/>
    <x v="0"/>
    <x v="0"/>
    <m/>
    <x v="0"/>
    <x v="4"/>
    <x v="1385"/>
    <x v="3"/>
    <x v="0"/>
    <x v="1"/>
    <x v="250"/>
    <x v="3632"/>
  </r>
  <r>
    <x v="1"/>
    <n v="875"/>
    <x v="604"/>
    <x v="2"/>
    <s v="CM"/>
    <s v="N"/>
    <x v="170"/>
    <x v="2"/>
    <x v="316"/>
    <m/>
    <x v="11"/>
    <m/>
    <x v="3"/>
    <x v="0"/>
    <x v="199"/>
    <d v="2012-08-25T00:00:00"/>
    <x v="16"/>
    <x v="1"/>
    <s v="Animação"/>
    <m/>
    <x v="7"/>
    <x v="0"/>
    <m/>
    <x v="1"/>
    <x v="4"/>
    <x v="1385"/>
    <x v="3"/>
    <x v="323"/>
    <x v="1"/>
    <x v="199"/>
    <x v="3633"/>
  </r>
  <r>
    <x v="1"/>
    <n v="876"/>
    <x v="604"/>
    <x v="0"/>
    <s v="CM"/>
    <s v="N"/>
    <x v="446"/>
    <x v="2"/>
    <x v="316"/>
    <m/>
    <x v="11"/>
    <m/>
    <x v="3"/>
    <x v="0"/>
    <x v="199"/>
    <d v="2012-08-25T00:00:00"/>
    <x v="16"/>
    <x v="1"/>
    <s v="Ficção"/>
    <m/>
    <x v="0"/>
    <x v="0"/>
    <m/>
    <x v="0"/>
    <x v="0"/>
    <x v="606"/>
    <x v="3"/>
    <x v="0"/>
    <x v="1"/>
    <x v="199"/>
    <x v="3634"/>
  </r>
  <r>
    <x v="1"/>
    <n v="875"/>
    <x v="604"/>
    <x v="2"/>
    <s v="CM"/>
    <s v="N"/>
    <x v="170"/>
    <x v="2"/>
    <x v="27"/>
    <m/>
    <x v="25"/>
    <m/>
    <x v="3"/>
    <x v="0"/>
    <x v="307"/>
    <d v="2012-11-18T00:00:00"/>
    <x v="13"/>
    <x v="0"/>
    <m/>
    <s v="Panorama 3"/>
    <x v="0"/>
    <x v="0"/>
    <m/>
    <x v="0"/>
    <x v="4"/>
    <x v="1385"/>
    <x v="3"/>
    <x v="0"/>
    <x v="1"/>
    <x v="307"/>
    <x v="3635"/>
  </r>
  <r>
    <x v="1"/>
    <n v="1365"/>
    <x v="1376"/>
    <x v="1"/>
    <s v="CM"/>
    <s v="N"/>
    <x v="915"/>
    <x v="41"/>
    <x v="68"/>
    <m/>
    <x v="53"/>
    <m/>
    <x v="3"/>
    <x v="0"/>
    <x v="253"/>
    <d v="2012-07-15T00:00:00"/>
    <x v="8"/>
    <x v="0"/>
    <m/>
    <s v="20 Anos: 4x4"/>
    <x v="0"/>
    <x v="0"/>
    <m/>
    <x v="0"/>
    <x v="2"/>
    <x v="1386"/>
    <x v="3"/>
    <x v="0"/>
    <x v="1"/>
    <x v="253"/>
    <x v="3636"/>
  </r>
  <r>
    <x v="1"/>
    <n v="1365"/>
    <x v="1376"/>
    <x v="1"/>
    <s v="CM"/>
    <s v="N"/>
    <x v="915"/>
    <x v="41"/>
    <x v="485"/>
    <m/>
    <x v="293"/>
    <m/>
    <x v="64"/>
    <x v="0"/>
    <x v="328"/>
    <d v="2012-09-29T00:00:00"/>
    <x v="9"/>
    <x v="1"/>
    <s v="International Competition2"/>
    <m/>
    <x v="0"/>
    <x v="0"/>
    <m/>
    <x v="0"/>
    <x v="2"/>
    <x v="1386"/>
    <x v="64"/>
    <x v="0"/>
    <x v="0"/>
    <x v="328"/>
    <x v="3637"/>
  </r>
  <r>
    <x v="1"/>
    <n v="1365"/>
    <x v="1376"/>
    <x v="1"/>
    <s v="CM"/>
    <s v="N"/>
    <x v="915"/>
    <x v="41"/>
    <x v="25"/>
    <m/>
    <x v="24"/>
    <m/>
    <x v="3"/>
    <x v="0"/>
    <x v="294"/>
    <d v="2012-10-28T00:00:00"/>
    <x v="14"/>
    <x v="1"/>
    <s v="Competição Internacional - Curtas"/>
    <m/>
    <x v="0"/>
    <x v="0"/>
    <m/>
    <x v="0"/>
    <x v="2"/>
    <x v="1386"/>
    <x v="3"/>
    <x v="0"/>
    <x v="1"/>
    <x v="294"/>
    <x v="3638"/>
  </r>
  <r>
    <x v="1"/>
    <n v="1365"/>
    <x v="1376"/>
    <x v="1"/>
    <s v="CM"/>
    <s v="N"/>
    <x v="915"/>
    <x v="41"/>
    <x v="179"/>
    <m/>
    <x v="133"/>
    <m/>
    <x v="0"/>
    <x v="0"/>
    <x v="233"/>
    <d v="2012-11-01T00:00:00"/>
    <x v="0"/>
    <x v="0"/>
    <m/>
    <s v="Retrospectiva Sergei Loznitsa"/>
    <x v="0"/>
    <x v="0"/>
    <m/>
    <x v="0"/>
    <x v="2"/>
    <x v="1386"/>
    <x v="0"/>
    <x v="0"/>
    <x v="0"/>
    <x v="233"/>
    <x v="3639"/>
  </r>
  <r>
    <x v="1"/>
    <n v="877"/>
    <x v="1377"/>
    <x v="1"/>
    <s v="CM"/>
    <s v="N"/>
    <x v="916"/>
    <x v="2"/>
    <x v="514"/>
    <m/>
    <x v="99"/>
    <m/>
    <x v="3"/>
    <x v="0"/>
    <x v="360"/>
    <d v="2012-05-13T00:00:00"/>
    <x v="6"/>
    <x v="0"/>
    <m/>
    <s v="Sessão de Abertura: Abrir a Memória"/>
    <x v="0"/>
    <x v="0"/>
    <m/>
    <x v="0"/>
    <x v="2"/>
    <x v="1387"/>
    <x v="3"/>
    <x v="0"/>
    <x v="1"/>
    <x v="360"/>
    <x v="3640"/>
  </r>
  <r>
    <x v="1"/>
    <n v="880"/>
    <x v="607"/>
    <x v="0"/>
    <s v="CM"/>
    <s v="N"/>
    <x v="348"/>
    <x v="5"/>
    <x v="90"/>
    <m/>
    <x v="69"/>
    <m/>
    <x v="8"/>
    <x v="0"/>
    <x v="273"/>
    <d v="2012-02-05T00:00:00"/>
    <x v="18"/>
    <x v="1"/>
    <m/>
    <s v="Spectrum Shorts - Homelandsssss"/>
    <x v="0"/>
    <x v="0"/>
    <m/>
    <x v="0"/>
    <x v="0"/>
    <x v="609"/>
    <x v="8"/>
    <x v="0"/>
    <x v="0"/>
    <x v="273"/>
    <x v="3641"/>
  </r>
  <r>
    <x v="1"/>
    <n v="880"/>
    <x v="607"/>
    <x v="0"/>
    <s v="CM"/>
    <s v="N"/>
    <x v="348"/>
    <x v="5"/>
    <x v="432"/>
    <m/>
    <x v="39"/>
    <m/>
    <x v="3"/>
    <x v="0"/>
    <x v="265"/>
    <d v="2012-04-21T00:00:00"/>
    <x v="5"/>
    <x v="1"/>
    <s v="Competição Nacional"/>
    <m/>
    <x v="0"/>
    <x v="0"/>
    <m/>
    <x v="0"/>
    <x v="0"/>
    <x v="609"/>
    <x v="3"/>
    <x v="0"/>
    <x v="1"/>
    <x v="265"/>
    <x v="3642"/>
  </r>
  <r>
    <x v="1"/>
    <n v="880"/>
    <x v="607"/>
    <x v="0"/>
    <s v="CM"/>
    <s v="N"/>
    <x v="348"/>
    <x v="5"/>
    <x v="408"/>
    <m/>
    <x v="266"/>
    <m/>
    <x v="2"/>
    <x v="0"/>
    <x v="238"/>
    <d v="2012-08-25T00:00:00"/>
    <x v="16"/>
    <x v="0"/>
    <m/>
    <s v="Route du Doc: Portugal"/>
    <x v="0"/>
    <x v="1"/>
    <m/>
    <x v="0"/>
    <x v="0"/>
    <x v="609"/>
    <x v="2"/>
    <x v="0"/>
    <x v="0"/>
    <x v="238"/>
    <x v="3643"/>
  </r>
  <r>
    <x v="1"/>
    <n v="880"/>
    <x v="607"/>
    <x v="0"/>
    <s v="CM"/>
    <s v="N"/>
    <x v="348"/>
    <x v="5"/>
    <x v="309"/>
    <m/>
    <x v="174"/>
    <m/>
    <x v="1"/>
    <x v="0"/>
    <x v="326"/>
    <d v="2012-11-25T00:00:00"/>
    <x v="13"/>
    <x v="0"/>
    <m/>
    <s v="Secciones Paralelas: Pedro Costa"/>
    <x v="0"/>
    <x v="0"/>
    <m/>
    <x v="0"/>
    <x v="0"/>
    <x v="609"/>
    <x v="1"/>
    <x v="0"/>
    <x v="0"/>
    <x v="326"/>
    <x v="3644"/>
  </r>
  <r>
    <x v="1"/>
    <n v="881"/>
    <x v="1378"/>
    <x v="0"/>
    <s v="CM"/>
    <s v="S"/>
    <x v="917"/>
    <x v="41"/>
    <x v="68"/>
    <m/>
    <x v="53"/>
    <m/>
    <x v="3"/>
    <x v="0"/>
    <x v="253"/>
    <d v="2012-07-15T00:00:00"/>
    <x v="8"/>
    <x v="1"/>
    <s v="Competição Nacional"/>
    <m/>
    <x v="0"/>
    <x v="0"/>
    <m/>
    <x v="0"/>
    <x v="0"/>
    <x v="1388"/>
    <x v="3"/>
    <x v="0"/>
    <x v="1"/>
    <x v="253"/>
    <x v="3645"/>
  </r>
  <r>
    <x v="1"/>
    <n v="881"/>
    <x v="1378"/>
    <x v="0"/>
    <s v="CM"/>
    <s v="S"/>
    <x v="917"/>
    <x v="41"/>
    <x v="22"/>
    <m/>
    <x v="22"/>
    <m/>
    <x v="3"/>
    <x v="0"/>
    <x v="251"/>
    <d v="2012-11-18T00:00:00"/>
    <x v="13"/>
    <x v="1"/>
    <s v="Secção Competitiva"/>
    <m/>
    <x v="362"/>
    <x v="0"/>
    <m/>
    <x v="1"/>
    <x v="0"/>
    <x v="1388"/>
    <x v="3"/>
    <x v="436"/>
    <x v="1"/>
    <x v="251"/>
    <x v="3646"/>
  </r>
  <r>
    <x v="1"/>
    <n v="881"/>
    <x v="1378"/>
    <x v="0"/>
    <s v="CM"/>
    <s v="S"/>
    <x v="917"/>
    <x v="41"/>
    <x v="99"/>
    <m/>
    <x v="78"/>
    <m/>
    <x v="20"/>
    <x v="0"/>
    <x v="342"/>
    <d v="2012-11-18T00:00:00"/>
    <x v="13"/>
    <x v="1"/>
    <s v="International Shorts 5"/>
    <m/>
    <x v="0"/>
    <x v="0"/>
    <m/>
    <x v="0"/>
    <x v="0"/>
    <x v="1388"/>
    <x v="20"/>
    <x v="0"/>
    <x v="0"/>
    <x v="342"/>
    <x v="3647"/>
  </r>
  <r>
    <x v="1"/>
    <n v="1570"/>
    <x v="1379"/>
    <x v="1"/>
    <s v="CM"/>
    <s v="N"/>
    <x v="804"/>
    <x v="41"/>
    <x v="750"/>
    <m/>
    <x v="24"/>
    <m/>
    <x v="3"/>
    <x v="0"/>
    <x v="469"/>
    <m/>
    <x v="12"/>
    <x v="0"/>
    <m/>
    <s v="Curta Convidada"/>
    <x v="0"/>
    <x v="1"/>
    <m/>
    <x v="0"/>
    <x v="2"/>
    <x v="1389"/>
    <x v="3"/>
    <x v="0"/>
    <x v="1"/>
    <x v="469"/>
    <x v="3648"/>
  </r>
  <r>
    <x v="1"/>
    <n v="1461"/>
    <x v="1380"/>
    <x v="1"/>
    <s v="CM"/>
    <s v="N"/>
    <x v="20"/>
    <x v="19"/>
    <x v="746"/>
    <m/>
    <x v="306"/>
    <m/>
    <x v="2"/>
    <x v="0"/>
    <x v="254"/>
    <d v="2012-11-28T00:00:00"/>
    <x v="13"/>
    <x v="0"/>
    <m/>
    <s v="Hommage à Manoel de Oliveira"/>
    <x v="0"/>
    <x v="1"/>
    <m/>
    <x v="0"/>
    <x v="2"/>
    <x v="1390"/>
    <x v="2"/>
    <x v="0"/>
    <x v="0"/>
    <x v="254"/>
    <x v="3649"/>
  </r>
  <r>
    <x v="1"/>
    <n v="883"/>
    <x v="609"/>
    <x v="0"/>
    <s v="LM"/>
    <s v="N"/>
    <x v="20"/>
    <x v="35"/>
    <x v="746"/>
    <m/>
    <x v="306"/>
    <m/>
    <x v="2"/>
    <x v="0"/>
    <x v="254"/>
    <d v="2012-11-28T00:00:00"/>
    <x v="13"/>
    <x v="0"/>
    <m/>
    <s v="Hommage à Manoel de Oliveira"/>
    <x v="0"/>
    <x v="1"/>
    <m/>
    <x v="0"/>
    <x v="5"/>
    <x v="611"/>
    <x v="2"/>
    <x v="0"/>
    <x v="0"/>
    <x v="254"/>
    <x v="3650"/>
  </r>
  <r>
    <x v="1"/>
    <n v="884"/>
    <x v="1381"/>
    <x v="0"/>
    <s v="CM"/>
    <s v="N"/>
    <x v="401"/>
    <x v="2"/>
    <x v="533"/>
    <m/>
    <x v="314"/>
    <m/>
    <x v="9"/>
    <x v="0"/>
    <x v="365"/>
    <d v="2012-05-26T00:00:00"/>
    <x v="6"/>
    <x v="0"/>
    <m/>
    <m/>
    <x v="0"/>
    <x v="1"/>
    <m/>
    <x v="0"/>
    <x v="0"/>
    <x v="1391"/>
    <x v="9"/>
    <x v="0"/>
    <x v="0"/>
    <x v="365"/>
    <x v="3651"/>
  </r>
  <r>
    <x v="1"/>
    <n v="884"/>
    <x v="1381"/>
    <x v="0"/>
    <s v="CM"/>
    <s v="N"/>
    <x v="401"/>
    <x v="2"/>
    <x v="534"/>
    <m/>
    <x v="65"/>
    <m/>
    <x v="9"/>
    <x v="0"/>
    <x v="236"/>
    <d v="2012-06-28T00:00:00"/>
    <x v="7"/>
    <x v="0"/>
    <m/>
    <m/>
    <x v="0"/>
    <x v="1"/>
    <m/>
    <x v="0"/>
    <x v="0"/>
    <x v="1391"/>
    <x v="9"/>
    <x v="0"/>
    <x v="0"/>
    <x v="236"/>
    <x v="3652"/>
  </r>
  <r>
    <x v="1"/>
    <n v="884"/>
    <x v="1381"/>
    <x v="0"/>
    <s v="CM"/>
    <s v="N"/>
    <x v="401"/>
    <x v="2"/>
    <x v="80"/>
    <m/>
    <x v="60"/>
    <m/>
    <x v="3"/>
    <x v="0"/>
    <x v="251"/>
    <d v="2012-11-18T00:00:00"/>
    <x v="13"/>
    <x v="0"/>
    <m/>
    <s v="Homenagens: João Pedro Rodrigues e João Rui Guerra da Mata"/>
    <x v="0"/>
    <x v="0"/>
    <m/>
    <x v="0"/>
    <x v="0"/>
    <x v="1391"/>
    <x v="3"/>
    <x v="0"/>
    <x v="1"/>
    <x v="251"/>
    <x v="3653"/>
  </r>
  <r>
    <x v="1"/>
    <n v="888"/>
    <x v="1382"/>
    <x v="1"/>
    <s v="CM"/>
    <s v="N"/>
    <x v="276"/>
    <x v="2"/>
    <x v="62"/>
    <m/>
    <x v="23"/>
    <m/>
    <x v="3"/>
    <x v="0"/>
    <x v="302"/>
    <d v="2012-03-04T00:00:00"/>
    <x v="19"/>
    <x v="1"/>
    <s v="Prémio de Cinema Português - Melhor Filme"/>
    <m/>
    <x v="0"/>
    <x v="0"/>
    <m/>
    <x v="0"/>
    <x v="2"/>
    <x v="1392"/>
    <x v="3"/>
    <x v="0"/>
    <x v="1"/>
    <x v="302"/>
    <x v="3654"/>
  </r>
  <r>
    <x v="1"/>
    <n v="1313"/>
    <x v="1383"/>
    <x v="0"/>
    <s v="CM"/>
    <s v="N"/>
    <x v="75"/>
    <x v="2"/>
    <x v="48"/>
    <m/>
    <x v="24"/>
    <m/>
    <x v="3"/>
    <x v="0"/>
    <x v="276"/>
    <d v="2012-09-16T00:00:00"/>
    <x v="9"/>
    <x v="1"/>
    <s v="Prémio Motelx  - Melhor Curta de Terror Portuguesa"/>
    <m/>
    <x v="0"/>
    <x v="0"/>
    <m/>
    <x v="0"/>
    <x v="0"/>
    <x v="1393"/>
    <x v="3"/>
    <x v="0"/>
    <x v="1"/>
    <x v="276"/>
    <x v="3655"/>
  </r>
  <r>
    <x v="1"/>
    <n v="1308"/>
    <x v="1384"/>
    <x v="0"/>
    <s v="CM"/>
    <s v="N"/>
    <x v="918"/>
    <x v="2"/>
    <x v="70"/>
    <m/>
    <x v="38"/>
    <m/>
    <x v="3"/>
    <x v="0"/>
    <x v="349"/>
    <d v="2012-09-16T00:00:00"/>
    <x v="9"/>
    <x v="1"/>
    <m/>
    <m/>
    <x v="0"/>
    <x v="0"/>
    <m/>
    <x v="0"/>
    <x v="0"/>
    <x v="1394"/>
    <x v="3"/>
    <x v="0"/>
    <x v="1"/>
    <x v="349"/>
    <x v="3656"/>
  </r>
  <r>
    <x v="1"/>
    <n v="890"/>
    <x v="1385"/>
    <x v="0"/>
    <s v="CM"/>
    <s v="S"/>
    <x v="919"/>
    <x v="41"/>
    <x v="146"/>
    <m/>
    <x v="24"/>
    <m/>
    <x v="3"/>
    <x v="0"/>
    <x v="281"/>
    <d v="2012-05-06T00:00:00"/>
    <x v="4"/>
    <x v="1"/>
    <s v="Competição Internacional Curtas 5 e Competição Nacional Curtas 1"/>
    <m/>
    <x v="0"/>
    <x v="0"/>
    <m/>
    <x v="0"/>
    <x v="0"/>
    <x v="1395"/>
    <x v="3"/>
    <x v="0"/>
    <x v="1"/>
    <x v="281"/>
    <x v="3657"/>
  </r>
  <r>
    <x v="1"/>
    <n v="890"/>
    <x v="1385"/>
    <x v="0"/>
    <s v="CM"/>
    <s v="S"/>
    <x v="919"/>
    <x v="41"/>
    <x v="68"/>
    <m/>
    <x v="53"/>
    <m/>
    <x v="3"/>
    <x v="0"/>
    <x v="253"/>
    <d v="2012-07-15T00:00:00"/>
    <x v="8"/>
    <x v="0"/>
    <m/>
    <s v="Panorama Nacional"/>
    <x v="0"/>
    <x v="0"/>
    <m/>
    <x v="0"/>
    <x v="0"/>
    <x v="1395"/>
    <x v="3"/>
    <x v="0"/>
    <x v="1"/>
    <x v="253"/>
    <x v="3658"/>
  </r>
  <r>
    <x v="1"/>
    <n v="890"/>
    <x v="1385"/>
    <x v="0"/>
    <s v="CM"/>
    <s v="S"/>
    <x v="919"/>
    <x v="41"/>
    <x v="147"/>
    <m/>
    <x v="112"/>
    <m/>
    <x v="34"/>
    <x v="0"/>
    <x v="335"/>
    <d v="2012-08-11T00:00:00"/>
    <x v="16"/>
    <x v="1"/>
    <s v="Pardi di Domani: Concorso Internazionale "/>
    <m/>
    <x v="108"/>
    <x v="0"/>
    <m/>
    <x v="1"/>
    <x v="0"/>
    <x v="1395"/>
    <x v="34"/>
    <x v="119"/>
    <x v="0"/>
    <x v="335"/>
    <x v="3659"/>
  </r>
  <r>
    <x v="1"/>
    <n v="890"/>
    <x v="1385"/>
    <x v="0"/>
    <s v="CM"/>
    <s v="S"/>
    <x v="919"/>
    <x v="41"/>
    <x v="22"/>
    <m/>
    <x v="22"/>
    <m/>
    <x v="3"/>
    <x v="0"/>
    <x v="251"/>
    <d v="2012-11-18T00:00:00"/>
    <x v="13"/>
    <x v="1"/>
    <s v="Secção Competitiva"/>
    <m/>
    <x v="0"/>
    <x v="0"/>
    <m/>
    <x v="0"/>
    <x v="0"/>
    <x v="1395"/>
    <x v="3"/>
    <x v="0"/>
    <x v="1"/>
    <x v="251"/>
    <x v="3660"/>
  </r>
  <r>
    <x v="1"/>
    <n v="890"/>
    <x v="1385"/>
    <x v="0"/>
    <s v="CM"/>
    <s v="S"/>
    <x v="919"/>
    <x v="41"/>
    <x v="80"/>
    <m/>
    <x v="60"/>
    <m/>
    <x v="3"/>
    <x v="0"/>
    <x v="251"/>
    <d v="2012-11-18T00:00:00"/>
    <x v="13"/>
    <x v="0"/>
    <m/>
    <s v="Homenagens: João Pedro Rodrigues e João Rui Guerra da Mata"/>
    <x v="0"/>
    <x v="0"/>
    <m/>
    <x v="0"/>
    <x v="0"/>
    <x v="1395"/>
    <x v="3"/>
    <x v="0"/>
    <x v="1"/>
    <x v="251"/>
    <x v="3661"/>
  </r>
  <r>
    <x v="1"/>
    <n v="890"/>
    <x v="1385"/>
    <x v="0"/>
    <s v="CM"/>
    <s v="S"/>
    <x v="919"/>
    <x v="41"/>
    <x v="710"/>
    <m/>
    <x v="253"/>
    <m/>
    <x v="0"/>
    <x v="0"/>
    <x v="251"/>
    <d v="2012-11-18T00:00:00"/>
    <x v="13"/>
    <x v="1"/>
    <s v="Competição Internacional 5 - O que Arde Cura"/>
    <m/>
    <x v="363"/>
    <x v="0"/>
    <m/>
    <x v="1"/>
    <x v="0"/>
    <x v="1395"/>
    <x v="0"/>
    <x v="437"/>
    <x v="0"/>
    <x v="251"/>
    <x v="3662"/>
  </r>
  <r>
    <x v="1"/>
    <n v="890"/>
    <x v="1385"/>
    <x v="0"/>
    <s v="CM"/>
    <s v="S"/>
    <x v="919"/>
    <x v="41"/>
    <x v="442"/>
    <m/>
    <x v="6"/>
    <m/>
    <x v="4"/>
    <x v="0"/>
    <x v="282"/>
    <d v="2012-11-25T00:00:00"/>
    <x v="13"/>
    <x v="0"/>
    <m/>
    <s v="Panorama: Estados Alterados"/>
    <x v="0"/>
    <x v="0"/>
    <m/>
    <x v="0"/>
    <x v="0"/>
    <x v="1395"/>
    <x v="4"/>
    <x v="0"/>
    <x v="0"/>
    <x v="282"/>
    <x v="3663"/>
  </r>
  <r>
    <x v="1"/>
    <n v="890"/>
    <x v="1385"/>
    <x v="0"/>
    <s v="CM"/>
    <s v="S"/>
    <x v="919"/>
    <x v="41"/>
    <x v="404"/>
    <m/>
    <x v="264"/>
    <m/>
    <x v="15"/>
    <x v="0"/>
    <x v="234"/>
    <d v="2012-12-01T00:00:00"/>
    <x v="11"/>
    <x v="0"/>
    <m/>
    <s v="Festa Mobile Classics"/>
    <x v="0"/>
    <x v="0"/>
    <m/>
    <x v="0"/>
    <x v="0"/>
    <x v="1395"/>
    <x v="15"/>
    <x v="0"/>
    <x v="0"/>
    <x v="234"/>
    <x v="3664"/>
  </r>
  <r>
    <x v="1"/>
    <n v="890"/>
    <x v="1385"/>
    <x v="0"/>
    <s v="CM"/>
    <s v="S"/>
    <x v="919"/>
    <x v="41"/>
    <x v="133"/>
    <m/>
    <x v="101"/>
    <m/>
    <x v="3"/>
    <x v="0"/>
    <x v="331"/>
    <d v="2012-12-09T00:00:00"/>
    <x v="12"/>
    <x v="1"/>
    <s v="Curtas Metragens"/>
    <m/>
    <x v="6"/>
    <x v="0"/>
    <m/>
    <x v="1"/>
    <x v="0"/>
    <x v="1395"/>
    <x v="3"/>
    <x v="438"/>
    <x v="1"/>
    <x v="331"/>
    <x v="3665"/>
  </r>
  <r>
    <x v="1"/>
    <n v="891"/>
    <x v="612"/>
    <x v="0"/>
    <s v="LM"/>
    <s v="S"/>
    <x v="195"/>
    <x v="3"/>
    <x v="42"/>
    <m/>
    <x v="39"/>
    <m/>
    <x v="3"/>
    <x v="0"/>
    <x v="470"/>
    <m/>
    <x v="7"/>
    <x v="0"/>
    <m/>
    <m/>
    <x v="0"/>
    <x v="1"/>
    <m/>
    <x v="0"/>
    <x v="5"/>
    <x v="614"/>
    <x v="3"/>
    <x v="0"/>
    <x v="1"/>
    <x v="470"/>
    <x v="3666"/>
  </r>
  <r>
    <x v="1"/>
    <n v="891"/>
    <x v="612"/>
    <x v="0"/>
    <s v="LM"/>
    <s v="S"/>
    <x v="195"/>
    <x v="3"/>
    <x v="583"/>
    <m/>
    <x v="49"/>
    <m/>
    <x v="3"/>
    <x v="0"/>
    <x v="297"/>
    <m/>
    <x v="14"/>
    <x v="0"/>
    <m/>
    <m/>
    <x v="0"/>
    <x v="1"/>
    <m/>
    <x v="0"/>
    <x v="5"/>
    <x v="614"/>
    <x v="3"/>
    <x v="0"/>
    <x v="1"/>
    <x v="297"/>
    <x v="3667"/>
  </r>
  <r>
    <x v="1"/>
    <n v="891"/>
    <x v="612"/>
    <x v="0"/>
    <s v="LM"/>
    <s v="S"/>
    <x v="195"/>
    <x v="3"/>
    <x v="22"/>
    <m/>
    <x v="22"/>
    <m/>
    <x v="3"/>
    <x v="0"/>
    <x v="251"/>
    <d v="2012-11-18T00:00:00"/>
    <x v="13"/>
    <x v="1"/>
    <s v="Secção Competitiva"/>
    <m/>
    <x v="0"/>
    <x v="0"/>
    <m/>
    <x v="0"/>
    <x v="5"/>
    <x v="614"/>
    <x v="3"/>
    <x v="0"/>
    <x v="1"/>
    <x v="251"/>
    <x v="3668"/>
  </r>
  <r>
    <x v="1"/>
    <n v="1588"/>
    <x v="1386"/>
    <x v="0"/>
    <s v="CM"/>
    <s v="N"/>
    <x v="920"/>
    <x v="41"/>
    <x v="22"/>
    <m/>
    <x v="22"/>
    <m/>
    <x v="3"/>
    <x v="0"/>
    <x v="251"/>
    <d v="2012-11-18T00:00:00"/>
    <x v="13"/>
    <x v="1"/>
    <s v="Ensaios Visuais"/>
    <m/>
    <x v="0"/>
    <x v="0"/>
    <m/>
    <x v="0"/>
    <x v="0"/>
    <x v="1396"/>
    <x v="3"/>
    <x v="0"/>
    <x v="1"/>
    <x v="251"/>
    <x v="3669"/>
  </r>
  <r>
    <x v="1"/>
    <n v="1588"/>
    <x v="1386"/>
    <x v="0"/>
    <s v="CM"/>
    <s v="N"/>
    <x v="920"/>
    <x v="41"/>
    <x v="484"/>
    <m/>
    <x v="292"/>
    <m/>
    <x v="22"/>
    <x v="0"/>
    <x v="327"/>
    <d v="2012-12-14T00:00:00"/>
    <x v="12"/>
    <x v="1"/>
    <m/>
    <m/>
    <x v="0"/>
    <x v="0"/>
    <m/>
    <x v="0"/>
    <x v="0"/>
    <x v="1396"/>
    <x v="22"/>
    <x v="0"/>
    <x v="0"/>
    <x v="327"/>
    <x v="3670"/>
  </r>
  <r>
    <x v="1"/>
    <n v="892"/>
    <x v="1387"/>
    <x v="2"/>
    <s v="CM"/>
    <s v="S"/>
    <x v="481"/>
    <x v="41"/>
    <x v="507"/>
    <m/>
    <x v="305"/>
    <m/>
    <x v="15"/>
    <x v="0"/>
    <x v="323"/>
    <d v="2012-03-25T00:00:00"/>
    <x v="2"/>
    <x v="1"/>
    <s v="Opere a carattere educativo e sociale"/>
    <m/>
    <x v="0"/>
    <x v="0"/>
    <m/>
    <x v="0"/>
    <x v="4"/>
    <x v="1397"/>
    <x v="15"/>
    <x v="0"/>
    <x v="0"/>
    <x v="323"/>
    <x v="3671"/>
  </r>
  <r>
    <x v="1"/>
    <n v="892"/>
    <x v="1387"/>
    <x v="2"/>
    <s v="CM"/>
    <s v="S"/>
    <x v="481"/>
    <x v="41"/>
    <x v="146"/>
    <m/>
    <x v="24"/>
    <m/>
    <x v="3"/>
    <x v="0"/>
    <x v="281"/>
    <d v="2012-05-06T00:00:00"/>
    <x v="4"/>
    <x v="1"/>
    <s v="Competição Nacional Curtas 3"/>
    <s v="Cinema Emergente Curtas 2"/>
    <x v="0"/>
    <x v="0"/>
    <m/>
    <x v="0"/>
    <x v="4"/>
    <x v="1397"/>
    <x v="3"/>
    <x v="0"/>
    <x v="1"/>
    <x v="281"/>
    <x v="3672"/>
  </r>
  <r>
    <x v="1"/>
    <n v="892"/>
    <x v="1387"/>
    <x v="2"/>
    <s v="CM"/>
    <s v="S"/>
    <x v="481"/>
    <x v="41"/>
    <x v="751"/>
    <m/>
    <x v="240"/>
    <m/>
    <x v="58"/>
    <x v="0"/>
    <x v="471"/>
    <d v="2012-05-06T00:00:00"/>
    <x v="4"/>
    <x v="1"/>
    <s v="Compétitio Internationale 7"/>
    <m/>
    <x v="0"/>
    <x v="0"/>
    <m/>
    <x v="0"/>
    <x v="4"/>
    <x v="1397"/>
    <x v="58"/>
    <x v="0"/>
    <x v="0"/>
    <x v="471"/>
    <x v="3673"/>
  </r>
  <r>
    <x v="1"/>
    <n v="892"/>
    <x v="1387"/>
    <x v="2"/>
    <s v="CM"/>
    <s v="S"/>
    <x v="481"/>
    <x v="41"/>
    <x v="22"/>
    <m/>
    <x v="22"/>
    <m/>
    <x v="3"/>
    <x v="0"/>
    <x v="251"/>
    <d v="2012-11-18T00:00:00"/>
    <x v="13"/>
    <x v="1"/>
    <s v="Secção Competitiva"/>
    <m/>
    <x v="0"/>
    <x v="0"/>
    <m/>
    <x v="0"/>
    <x v="4"/>
    <x v="1397"/>
    <x v="3"/>
    <x v="0"/>
    <x v="1"/>
    <x v="251"/>
    <x v="3674"/>
  </r>
  <r>
    <x v="1"/>
    <n v="892"/>
    <x v="1387"/>
    <x v="2"/>
    <s v="CM"/>
    <s v="S"/>
    <x v="481"/>
    <x v="41"/>
    <x v="27"/>
    <m/>
    <x v="25"/>
    <m/>
    <x v="3"/>
    <x v="0"/>
    <x v="307"/>
    <d v="2012-11-18T00:00:00"/>
    <x v="13"/>
    <x v="1"/>
    <s v="Competição Nacional: Prémio António Gaio"/>
    <m/>
    <x v="0"/>
    <x v="0"/>
    <m/>
    <x v="0"/>
    <x v="4"/>
    <x v="1397"/>
    <x v="3"/>
    <x v="0"/>
    <x v="1"/>
    <x v="307"/>
    <x v="3675"/>
  </r>
  <r>
    <x v="1"/>
    <n v="892"/>
    <x v="1387"/>
    <x v="2"/>
    <s v="CM"/>
    <s v="S"/>
    <x v="481"/>
    <x v="41"/>
    <x v="37"/>
    <m/>
    <x v="35"/>
    <m/>
    <x v="2"/>
    <x v="0"/>
    <x v="304"/>
    <d v="2012-12-02T00:00:00"/>
    <x v="11"/>
    <x v="1"/>
    <s v="Animation 2"/>
    <m/>
    <x v="0"/>
    <x v="0"/>
    <m/>
    <x v="0"/>
    <x v="4"/>
    <x v="1397"/>
    <x v="2"/>
    <x v="0"/>
    <x v="0"/>
    <x v="304"/>
    <x v="3676"/>
  </r>
  <r>
    <x v="1"/>
    <n v="1405"/>
    <x v="1388"/>
    <x v="1"/>
    <s v="LM"/>
    <s v=""/>
    <x v="11"/>
    <x v="41"/>
    <x v="25"/>
    <m/>
    <x v="24"/>
    <m/>
    <x v="3"/>
    <x v="0"/>
    <x v="294"/>
    <d v="2012-10-28T00:00:00"/>
    <x v="14"/>
    <x v="1"/>
    <s v="Competição Portuguesa - Longas"/>
    <m/>
    <x v="0"/>
    <x v="0"/>
    <m/>
    <x v="0"/>
    <x v="1"/>
    <x v="1398"/>
    <x v="3"/>
    <x v="0"/>
    <x v="1"/>
    <x v="294"/>
    <x v="3677"/>
  </r>
  <r>
    <x v="1"/>
    <n v="1314"/>
    <x v="1389"/>
    <x v="0"/>
    <s v="CM"/>
    <s v="N"/>
    <x v="921"/>
    <x v="41"/>
    <x v="48"/>
    <m/>
    <x v="24"/>
    <m/>
    <x v="3"/>
    <x v="0"/>
    <x v="276"/>
    <d v="2012-09-16T00:00:00"/>
    <x v="9"/>
    <x v="1"/>
    <s v="Prémio Motelx  - Melhor Curta de Terror Portuguesa"/>
    <m/>
    <x v="0"/>
    <x v="0"/>
    <m/>
    <x v="0"/>
    <x v="0"/>
    <x v="1399"/>
    <x v="3"/>
    <x v="0"/>
    <x v="1"/>
    <x v="276"/>
    <x v="3678"/>
  </r>
  <r>
    <x v="1"/>
    <n v="1314"/>
    <x v="1389"/>
    <x v="0"/>
    <s v="CM"/>
    <s v="N"/>
    <x v="921"/>
    <x v="41"/>
    <x v="22"/>
    <m/>
    <x v="22"/>
    <m/>
    <x v="3"/>
    <x v="0"/>
    <x v="251"/>
    <d v="2012-11-18T00:00:00"/>
    <x v="13"/>
    <x v="1"/>
    <s v="Secção Competitiva"/>
    <m/>
    <x v="0"/>
    <x v="0"/>
    <m/>
    <x v="0"/>
    <x v="0"/>
    <x v="1399"/>
    <x v="3"/>
    <x v="0"/>
    <x v="1"/>
    <x v="251"/>
    <x v="3679"/>
  </r>
  <r>
    <x v="1"/>
    <n v="895"/>
    <x v="615"/>
    <x v="2"/>
    <s v="CM"/>
    <s v="N"/>
    <x v="92"/>
    <x v="2"/>
    <x v="601"/>
    <m/>
    <x v="330"/>
    <m/>
    <x v="48"/>
    <x v="0"/>
    <x v="269"/>
    <d v="2012-03-15T00:00:00"/>
    <x v="2"/>
    <x v="1"/>
    <s v="Student Film"/>
    <m/>
    <x v="0"/>
    <x v="0"/>
    <m/>
    <x v="0"/>
    <x v="4"/>
    <x v="617"/>
    <x v="48"/>
    <x v="0"/>
    <x v="0"/>
    <x v="269"/>
    <x v="3680"/>
  </r>
  <r>
    <x v="1"/>
    <n v="895"/>
    <x v="615"/>
    <x v="2"/>
    <s v="CM"/>
    <s v="N"/>
    <x v="92"/>
    <x v="2"/>
    <x v="720"/>
    <m/>
    <x v="365"/>
    <m/>
    <x v="15"/>
    <x v="0"/>
    <x v="442"/>
    <d v="2012-04-28T00:00:00"/>
    <x v="5"/>
    <x v="1"/>
    <s v="Festival of the Festivals"/>
    <m/>
    <x v="364"/>
    <x v="0"/>
    <m/>
    <x v="1"/>
    <x v="4"/>
    <x v="617"/>
    <x v="15"/>
    <x v="439"/>
    <x v="0"/>
    <x v="442"/>
    <x v="3681"/>
  </r>
  <r>
    <x v="1"/>
    <n v="895"/>
    <x v="615"/>
    <x v="2"/>
    <s v="CM"/>
    <s v="N"/>
    <x v="92"/>
    <x v="2"/>
    <x v="752"/>
    <m/>
    <x v="171"/>
    <m/>
    <x v="48"/>
    <x v="0"/>
    <x v="472"/>
    <m/>
    <x v="6"/>
    <x v="0"/>
    <m/>
    <m/>
    <x v="0"/>
    <x v="0"/>
    <m/>
    <x v="0"/>
    <x v="4"/>
    <x v="617"/>
    <x v="48"/>
    <x v="0"/>
    <x v="0"/>
    <x v="472"/>
    <x v="3682"/>
  </r>
  <r>
    <x v="1"/>
    <n v="897"/>
    <x v="617"/>
    <x v="0"/>
    <s v="CM"/>
    <s v="N"/>
    <x v="454"/>
    <x v="2"/>
    <x v="599"/>
    <m/>
    <x v="24"/>
    <m/>
    <x v="3"/>
    <x v="0"/>
    <x v="258"/>
    <m/>
    <x v="1"/>
    <x v="1"/>
    <m/>
    <m/>
    <x v="0"/>
    <x v="0"/>
    <m/>
    <x v="0"/>
    <x v="0"/>
    <x v="619"/>
    <x v="3"/>
    <x v="0"/>
    <x v="1"/>
    <x v="258"/>
    <x v="3683"/>
  </r>
  <r>
    <x v="1"/>
    <n v="897"/>
    <x v="617"/>
    <x v="0"/>
    <s v="CM"/>
    <s v="N"/>
    <x v="454"/>
    <x v="2"/>
    <x v="481"/>
    <m/>
    <x v="24"/>
    <m/>
    <x v="3"/>
    <x v="0"/>
    <x v="320"/>
    <m/>
    <x v="5"/>
    <x v="0"/>
    <m/>
    <m/>
    <x v="0"/>
    <x v="1"/>
    <m/>
    <x v="0"/>
    <x v="0"/>
    <x v="619"/>
    <x v="3"/>
    <x v="0"/>
    <x v="1"/>
    <x v="320"/>
    <x v="3684"/>
  </r>
  <r>
    <x v="1"/>
    <n v="897"/>
    <x v="617"/>
    <x v="0"/>
    <s v="CM"/>
    <s v="N"/>
    <x v="454"/>
    <x v="2"/>
    <x v="428"/>
    <m/>
    <x v="24"/>
    <m/>
    <x v="3"/>
    <x v="0"/>
    <x v="260"/>
    <d v="2012-04-19T00:00:00"/>
    <x v="5"/>
    <x v="0"/>
    <m/>
    <m/>
    <x v="0"/>
    <x v="1"/>
    <m/>
    <x v="0"/>
    <x v="0"/>
    <x v="619"/>
    <x v="3"/>
    <x v="0"/>
    <x v="1"/>
    <x v="260"/>
    <x v="3685"/>
  </r>
  <r>
    <x v="1"/>
    <n v="897"/>
    <x v="617"/>
    <x v="0"/>
    <s v="CM"/>
    <s v="N"/>
    <x v="454"/>
    <x v="2"/>
    <x v="412"/>
    <m/>
    <x v="269"/>
    <m/>
    <x v="3"/>
    <x v="0"/>
    <x v="242"/>
    <m/>
    <x v="7"/>
    <x v="1"/>
    <m/>
    <m/>
    <x v="0"/>
    <x v="0"/>
    <m/>
    <x v="0"/>
    <x v="0"/>
    <x v="619"/>
    <x v="3"/>
    <x v="0"/>
    <x v="1"/>
    <x v="242"/>
    <x v="3686"/>
  </r>
  <r>
    <x v="1"/>
    <n v="897"/>
    <x v="617"/>
    <x v="0"/>
    <s v="CM"/>
    <s v="N"/>
    <x v="454"/>
    <x v="2"/>
    <x v="673"/>
    <m/>
    <x v="91"/>
    <m/>
    <x v="28"/>
    <x v="0"/>
    <x v="301"/>
    <d v="2012-06-16T00:00:00"/>
    <x v="7"/>
    <x v="1"/>
    <s v="Curtas-metragens"/>
    <m/>
    <x v="0"/>
    <x v="0"/>
    <m/>
    <x v="0"/>
    <x v="0"/>
    <x v="619"/>
    <x v="28"/>
    <x v="0"/>
    <x v="0"/>
    <x v="301"/>
    <x v="3687"/>
  </r>
  <r>
    <x v="1"/>
    <n v="897"/>
    <x v="617"/>
    <x v="0"/>
    <s v="CM"/>
    <s v="N"/>
    <x v="454"/>
    <x v="2"/>
    <x v="70"/>
    <m/>
    <x v="38"/>
    <m/>
    <x v="3"/>
    <x v="0"/>
    <x v="349"/>
    <d v="2012-09-16T00:00:00"/>
    <x v="9"/>
    <x v="1"/>
    <m/>
    <m/>
    <x v="0"/>
    <x v="0"/>
    <m/>
    <x v="0"/>
    <x v="0"/>
    <x v="619"/>
    <x v="3"/>
    <x v="0"/>
    <x v="1"/>
    <x v="349"/>
    <x v="3688"/>
  </r>
  <r>
    <x v="1"/>
    <n v="1399"/>
    <x v="1390"/>
    <x v="1"/>
    <s v="LM"/>
    <s v="N"/>
    <x v="922"/>
    <x v="41"/>
    <x v="25"/>
    <m/>
    <x v="24"/>
    <m/>
    <x v="3"/>
    <x v="0"/>
    <x v="294"/>
    <d v="2012-10-28T00:00:00"/>
    <x v="14"/>
    <x v="1"/>
    <s v="Competição Portuguesa - Longas"/>
    <m/>
    <x v="0"/>
    <x v="0"/>
    <m/>
    <x v="0"/>
    <x v="1"/>
    <x v="1400"/>
    <x v="3"/>
    <x v="0"/>
    <x v="1"/>
    <x v="294"/>
    <x v="3689"/>
  </r>
  <r>
    <x v="1"/>
    <n v="898"/>
    <x v="1391"/>
    <x v="0"/>
    <s v="LM"/>
    <s v="S"/>
    <x v="348"/>
    <x v="38"/>
    <x v="533"/>
    <m/>
    <x v="314"/>
    <m/>
    <x v="9"/>
    <x v="0"/>
    <x v="365"/>
    <d v="2012-05-26T00:00:00"/>
    <x v="6"/>
    <x v="0"/>
    <m/>
    <m/>
    <x v="0"/>
    <x v="1"/>
    <m/>
    <x v="0"/>
    <x v="5"/>
    <x v="1401"/>
    <x v="9"/>
    <x v="0"/>
    <x v="0"/>
    <x v="365"/>
    <x v="3690"/>
  </r>
  <r>
    <x v="1"/>
    <n v="898"/>
    <x v="1391"/>
    <x v="0"/>
    <s v="LM"/>
    <s v="S"/>
    <x v="348"/>
    <x v="38"/>
    <x v="534"/>
    <m/>
    <x v="65"/>
    <m/>
    <x v="9"/>
    <x v="0"/>
    <x v="236"/>
    <d v="2012-06-28T00:00:00"/>
    <x v="7"/>
    <x v="0"/>
    <m/>
    <m/>
    <x v="0"/>
    <x v="1"/>
    <m/>
    <x v="0"/>
    <x v="5"/>
    <x v="1401"/>
    <x v="9"/>
    <x v="0"/>
    <x v="0"/>
    <x v="236"/>
    <x v="3691"/>
  </r>
  <r>
    <x v="1"/>
    <n v="899"/>
    <x v="618"/>
    <x v="2"/>
    <s v="CM"/>
    <s v="S"/>
    <x v="455"/>
    <x v="5"/>
    <x v="62"/>
    <m/>
    <x v="23"/>
    <m/>
    <x v="3"/>
    <x v="0"/>
    <x v="302"/>
    <d v="2012-03-04T00:00:00"/>
    <x v="19"/>
    <x v="0"/>
    <m/>
    <s v="Panorama do Cinema Português - Casa da Animação"/>
    <x v="0"/>
    <x v="0"/>
    <m/>
    <x v="0"/>
    <x v="4"/>
    <x v="620"/>
    <x v="3"/>
    <x v="0"/>
    <x v="1"/>
    <x v="302"/>
    <x v="3692"/>
  </r>
  <r>
    <x v="1"/>
    <n v="899"/>
    <x v="618"/>
    <x v="2"/>
    <s v="CM"/>
    <s v="S"/>
    <x v="455"/>
    <x v="5"/>
    <x v="486"/>
    <m/>
    <x v="294"/>
    <m/>
    <x v="10"/>
    <x v="0"/>
    <x v="317"/>
    <d v="2012-03-07T00:00:00"/>
    <x v="2"/>
    <x v="1"/>
    <s v="Competition Short 2"/>
    <m/>
    <x v="0"/>
    <x v="0"/>
    <m/>
    <x v="0"/>
    <x v="4"/>
    <x v="620"/>
    <x v="10"/>
    <x v="0"/>
    <x v="0"/>
    <x v="317"/>
    <x v="3693"/>
  </r>
  <r>
    <x v="1"/>
    <n v="899"/>
    <x v="618"/>
    <x v="2"/>
    <s v="CM"/>
    <s v="S"/>
    <x v="455"/>
    <x v="5"/>
    <x v="753"/>
    <m/>
    <x v="376"/>
    <m/>
    <x v="3"/>
    <x v="0"/>
    <x v="344"/>
    <d v="2012-03-04T00:00:00"/>
    <x v="2"/>
    <x v="0"/>
    <m/>
    <m/>
    <x v="0"/>
    <x v="1"/>
    <m/>
    <x v="0"/>
    <x v="4"/>
    <x v="620"/>
    <x v="3"/>
    <x v="0"/>
    <x v="1"/>
    <x v="344"/>
    <x v="3694"/>
  </r>
  <r>
    <x v="1"/>
    <n v="899"/>
    <x v="618"/>
    <x v="2"/>
    <s v="CM"/>
    <s v="S"/>
    <x v="455"/>
    <x v="5"/>
    <x v="26"/>
    <m/>
    <x v="24"/>
    <m/>
    <x v="3"/>
    <x v="0"/>
    <x v="268"/>
    <d v="2012-03-24T00:00:00"/>
    <x v="2"/>
    <x v="1"/>
    <s v="Competição Portugueses"/>
    <m/>
    <x v="365"/>
    <x v="0"/>
    <m/>
    <x v="1"/>
    <x v="4"/>
    <x v="620"/>
    <x v="3"/>
    <x v="440"/>
    <x v="1"/>
    <x v="268"/>
    <x v="3695"/>
  </r>
  <r>
    <x v="1"/>
    <n v="899"/>
    <x v="618"/>
    <x v="2"/>
    <s v="CM"/>
    <s v="S"/>
    <x v="455"/>
    <x v="5"/>
    <x v="200"/>
    <m/>
    <x v="145"/>
    <m/>
    <x v="2"/>
    <x v="0"/>
    <x v="332"/>
    <d v="2012-03-25T00:00:00"/>
    <x v="2"/>
    <x v="0"/>
    <m/>
    <s v="Panorama Animation Portugaise"/>
    <x v="0"/>
    <x v="0"/>
    <m/>
    <x v="0"/>
    <x v="4"/>
    <x v="620"/>
    <x v="2"/>
    <x v="0"/>
    <x v="0"/>
    <x v="332"/>
    <x v="3696"/>
  </r>
  <r>
    <x v="1"/>
    <n v="899"/>
    <x v="618"/>
    <x v="2"/>
    <s v="CM"/>
    <s v="S"/>
    <x v="455"/>
    <x v="5"/>
    <x v="488"/>
    <m/>
    <x v="296"/>
    <m/>
    <x v="1"/>
    <x v="0"/>
    <x v="329"/>
    <d v="2012-04-14T00:00:00"/>
    <x v="5"/>
    <x v="1"/>
    <s v="Competición de Cortometrajes "/>
    <m/>
    <x v="0"/>
    <x v="0"/>
    <m/>
    <x v="0"/>
    <x v="4"/>
    <x v="620"/>
    <x v="1"/>
    <x v="0"/>
    <x v="0"/>
    <x v="329"/>
    <x v="3697"/>
  </r>
  <r>
    <x v="1"/>
    <n v="899"/>
    <x v="618"/>
    <x v="2"/>
    <s v="CM"/>
    <s v="S"/>
    <x v="455"/>
    <x v="5"/>
    <x v="754"/>
    <m/>
    <x v="377"/>
    <m/>
    <x v="1"/>
    <x v="0"/>
    <x v="473"/>
    <d v="2012-04-28T00:00:00"/>
    <x v="5"/>
    <x v="1"/>
    <s v="ANIMAZINE:  Cortometrajes de animación"/>
    <m/>
    <x v="182"/>
    <x v="0"/>
    <m/>
    <x v="1"/>
    <x v="4"/>
    <x v="620"/>
    <x v="1"/>
    <x v="441"/>
    <x v="0"/>
    <x v="473"/>
    <x v="3698"/>
  </r>
  <r>
    <x v="1"/>
    <n v="899"/>
    <x v="618"/>
    <x v="2"/>
    <s v="CM"/>
    <s v="S"/>
    <x v="455"/>
    <x v="5"/>
    <x v="169"/>
    <m/>
    <x v="129"/>
    <m/>
    <x v="1"/>
    <x v="0"/>
    <x v="373"/>
    <d v="2012-05-19T00:00:00"/>
    <x v="6"/>
    <x v="1"/>
    <s v="Certamen de cortometrajes"/>
    <m/>
    <x v="366"/>
    <x v="0"/>
    <m/>
    <x v="1"/>
    <x v="4"/>
    <x v="620"/>
    <x v="1"/>
    <x v="442"/>
    <x v="0"/>
    <x v="373"/>
    <x v="3699"/>
  </r>
  <r>
    <x v="1"/>
    <n v="899"/>
    <x v="618"/>
    <x v="2"/>
    <s v="CM"/>
    <s v="S"/>
    <x v="455"/>
    <x v="5"/>
    <x v="755"/>
    <m/>
    <x v="378"/>
    <m/>
    <x v="0"/>
    <x v="0"/>
    <x v="413"/>
    <d v="2012-05-26T00:00:00"/>
    <x v="6"/>
    <x v="0"/>
    <m/>
    <m/>
    <x v="0"/>
    <x v="1"/>
    <m/>
    <x v="0"/>
    <x v="4"/>
    <x v="620"/>
    <x v="0"/>
    <x v="0"/>
    <x v="0"/>
    <x v="413"/>
    <x v="3700"/>
  </r>
  <r>
    <x v="1"/>
    <n v="899"/>
    <x v="618"/>
    <x v="2"/>
    <s v="CM"/>
    <s v="S"/>
    <x v="455"/>
    <x v="5"/>
    <x v="726"/>
    <m/>
    <x v="208"/>
    <m/>
    <x v="1"/>
    <x v="0"/>
    <x v="290"/>
    <d v="2012-06-16T00:00:00"/>
    <x v="7"/>
    <x v="1"/>
    <s v="Concurso Iberoamericano de Cortometrajes"/>
    <m/>
    <x v="367"/>
    <x v="0"/>
    <m/>
    <x v="1"/>
    <x v="4"/>
    <x v="620"/>
    <x v="1"/>
    <x v="443"/>
    <x v="0"/>
    <x v="290"/>
    <x v="3701"/>
  </r>
  <r>
    <x v="1"/>
    <n v="899"/>
    <x v="618"/>
    <x v="2"/>
    <s v="CM"/>
    <s v="S"/>
    <x v="455"/>
    <x v="5"/>
    <x v="756"/>
    <m/>
    <x v="379"/>
    <m/>
    <x v="1"/>
    <x v="0"/>
    <x v="458"/>
    <d v="2012-06-22T00:00:00"/>
    <x v="7"/>
    <x v="1"/>
    <s v="Cortometrajes "/>
    <m/>
    <x v="0"/>
    <x v="0"/>
    <m/>
    <x v="0"/>
    <x v="4"/>
    <x v="620"/>
    <x v="1"/>
    <x v="0"/>
    <x v="0"/>
    <x v="458"/>
    <x v="3702"/>
  </r>
  <r>
    <x v="1"/>
    <n v="899"/>
    <x v="618"/>
    <x v="2"/>
    <s v="CM"/>
    <s v="S"/>
    <x v="455"/>
    <x v="5"/>
    <x v="651"/>
    <m/>
    <x v="343"/>
    <m/>
    <x v="33"/>
    <x v="0"/>
    <x v="286"/>
    <d v="2012-09-09T00:00:00"/>
    <x v="9"/>
    <x v="1"/>
    <s v="Grand Competition"/>
    <m/>
    <x v="0"/>
    <x v="0"/>
    <m/>
    <x v="0"/>
    <x v="4"/>
    <x v="620"/>
    <x v="33"/>
    <x v="0"/>
    <x v="0"/>
    <x v="286"/>
    <x v="3703"/>
  </r>
  <r>
    <x v="1"/>
    <n v="899"/>
    <x v="618"/>
    <x v="2"/>
    <s v="CM"/>
    <s v="S"/>
    <x v="455"/>
    <x v="5"/>
    <x v="512"/>
    <m/>
    <x v="307"/>
    <m/>
    <x v="1"/>
    <x v="0"/>
    <x v="354"/>
    <d v="2012-11-25T00:00:00"/>
    <x v="13"/>
    <x v="1"/>
    <s v="Programa Internacional 15"/>
    <m/>
    <x v="0"/>
    <x v="0"/>
    <m/>
    <x v="0"/>
    <x v="4"/>
    <x v="620"/>
    <x v="1"/>
    <x v="0"/>
    <x v="0"/>
    <x v="354"/>
    <x v="3704"/>
  </r>
  <r>
    <x v="1"/>
    <n v="900"/>
    <x v="619"/>
    <x v="0"/>
    <s v="CM"/>
    <s v="N"/>
    <x v="456"/>
    <x v="3"/>
    <x v="316"/>
    <m/>
    <x v="11"/>
    <m/>
    <x v="3"/>
    <x v="0"/>
    <x v="199"/>
    <d v="2012-08-25T00:00:00"/>
    <x v="16"/>
    <x v="1"/>
    <s v="Ficção"/>
    <m/>
    <x v="39"/>
    <x v="0"/>
    <m/>
    <x v="1"/>
    <x v="0"/>
    <x v="621"/>
    <x v="3"/>
    <x v="444"/>
    <x v="1"/>
    <x v="199"/>
    <x v="3705"/>
  </r>
  <r>
    <x v="1"/>
    <n v="1459"/>
    <x v="1392"/>
    <x v="0"/>
    <s v="LM"/>
    <s v=""/>
    <x v="79"/>
    <x v="11"/>
    <x v="46"/>
    <m/>
    <x v="24"/>
    <m/>
    <x v="3"/>
    <x v="0"/>
    <x v="389"/>
    <d v="2012-11-13T00:00:00"/>
    <x v="13"/>
    <x v="0"/>
    <m/>
    <s v="O Cinema à volta de Cinco Artes, Cinco Artes à volta do Cinema"/>
    <x v="0"/>
    <x v="1"/>
    <m/>
    <x v="0"/>
    <x v="5"/>
    <x v="1402"/>
    <x v="3"/>
    <x v="0"/>
    <x v="1"/>
    <x v="389"/>
    <x v="3706"/>
  </r>
  <r>
    <x v="1"/>
    <n v="1488"/>
    <x v="1393"/>
    <x v="2"/>
    <s v="CM"/>
    <s v="N"/>
    <x v="923"/>
    <x v="41"/>
    <x v="27"/>
    <m/>
    <x v="25"/>
    <m/>
    <x v="3"/>
    <x v="0"/>
    <x v="307"/>
    <d v="2012-11-18T00:00:00"/>
    <x v="13"/>
    <x v="1"/>
    <s v="Competição Nacional: Jovem Cineasta Português (+18 anos) "/>
    <m/>
    <x v="0"/>
    <x v="0"/>
    <m/>
    <x v="0"/>
    <x v="4"/>
    <x v="1403"/>
    <x v="3"/>
    <x v="0"/>
    <x v="1"/>
    <x v="307"/>
    <x v="3707"/>
  </r>
  <r>
    <x v="1"/>
    <n v="903"/>
    <x v="1394"/>
    <x v="1"/>
    <s v="CM"/>
    <s v="S"/>
    <x v="256"/>
    <x v="2"/>
    <x v="500"/>
    <m/>
    <x v="24"/>
    <m/>
    <x v="3"/>
    <x v="0"/>
    <x v="348"/>
    <d v="2012-03-11T00:00:00"/>
    <x v="2"/>
    <x v="0"/>
    <m/>
    <m/>
    <x v="0"/>
    <x v="1"/>
    <m/>
    <x v="0"/>
    <x v="2"/>
    <x v="1404"/>
    <x v="3"/>
    <x v="0"/>
    <x v="1"/>
    <x v="348"/>
    <x v="3708"/>
  </r>
  <r>
    <x v="1"/>
    <n v="904"/>
    <x v="1395"/>
    <x v="0"/>
    <s v="LM"/>
    <s v="N"/>
    <x v="924"/>
    <x v="2"/>
    <x v="757"/>
    <m/>
    <x v="380"/>
    <m/>
    <x v="3"/>
    <x v="0"/>
    <x v="474"/>
    <m/>
    <x v="15"/>
    <x v="0"/>
    <m/>
    <m/>
    <x v="0"/>
    <x v="1"/>
    <m/>
    <x v="0"/>
    <x v="5"/>
    <x v="1405"/>
    <x v="3"/>
    <x v="0"/>
    <x v="1"/>
    <x v="474"/>
    <x v="3709"/>
  </r>
  <r>
    <x v="1"/>
    <n v="905"/>
    <x v="622"/>
    <x v="0"/>
    <s v="CM"/>
    <s v="N"/>
    <x v="458"/>
    <x v="2"/>
    <x v="437"/>
    <m/>
    <x v="49"/>
    <m/>
    <x v="3"/>
    <x v="0"/>
    <x v="291"/>
    <m/>
    <x v="15"/>
    <x v="0"/>
    <m/>
    <m/>
    <x v="0"/>
    <x v="1"/>
    <m/>
    <x v="0"/>
    <x v="0"/>
    <x v="624"/>
    <x v="3"/>
    <x v="0"/>
    <x v="1"/>
    <x v="291"/>
    <x v="3710"/>
  </r>
  <r>
    <x v="1"/>
    <n v="905"/>
    <x v="622"/>
    <x v="0"/>
    <s v="CM"/>
    <s v="N"/>
    <x v="458"/>
    <x v="2"/>
    <x v="450"/>
    <m/>
    <x v="24"/>
    <m/>
    <x v="3"/>
    <x v="0"/>
    <x v="292"/>
    <m/>
    <x v="1"/>
    <x v="0"/>
    <m/>
    <m/>
    <x v="0"/>
    <x v="1"/>
    <m/>
    <x v="0"/>
    <x v="0"/>
    <x v="624"/>
    <x v="3"/>
    <x v="0"/>
    <x v="1"/>
    <x v="292"/>
    <x v="3711"/>
  </r>
  <r>
    <x v="1"/>
    <n v="905"/>
    <x v="622"/>
    <x v="0"/>
    <s v="CM"/>
    <s v="N"/>
    <x v="458"/>
    <x v="2"/>
    <x v="428"/>
    <m/>
    <x v="24"/>
    <m/>
    <x v="3"/>
    <x v="0"/>
    <x v="260"/>
    <d v="2012-04-19T00:00:00"/>
    <x v="5"/>
    <x v="0"/>
    <m/>
    <m/>
    <x v="0"/>
    <x v="1"/>
    <m/>
    <x v="0"/>
    <x v="0"/>
    <x v="624"/>
    <x v="3"/>
    <x v="0"/>
    <x v="1"/>
    <x v="260"/>
    <x v="3712"/>
  </r>
  <r>
    <x v="1"/>
    <n v="905"/>
    <x v="622"/>
    <x v="0"/>
    <s v="CM"/>
    <s v="N"/>
    <x v="458"/>
    <x v="2"/>
    <x v="451"/>
    <m/>
    <x v="24"/>
    <m/>
    <x v="3"/>
    <x v="0"/>
    <x v="295"/>
    <d v="2012-10-28T00:00:00"/>
    <x v="14"/>
    <x v="0"/>
    <m/>
    <m/>
    <x v="0"/>
    <x v="1"/>
    <m/>
    <x v="0"/>
    <x v="0"/>
    <x v="624"/>
    <x v="3"/>
    <x v="0"/>
    <x v="1"/>
    <x v="295"/>
    <x v="3713"/>
  </r>
  <r>
    <x v="1"/>
    <n v="1324"/>
    <x v="1396"/>
    <x v="1"/>
    <s v="CM"/>
    <s v="N"/>
    <x v="925"/>
    <x v="2"/>
    <x v="316"/>
    <m/>
    <x v="11"/>
    <m/>
    <x v="3"/>
    <x v="0"/>
    <x v="199"/>
    <d v="2012-08-25T00:00:00"/>
    <x v="16"/>
    <x v="1"/>
    <s v="Documentário"/>
    <m/>
    <x v="0"/>
    <x v="0"/>
    <m/>
    <x v="0"/>
    <x v="2"/>
    <x v="1406"/>
    <x v="3"/>
    <x v="0"/>
    <x v="1"/>
    <x v="199"/>
    <x v="3714"/>
  </r>
  <r>
    <x v="1"/>
    <n v="908"/>
    <x v="625"/>
    <x v="0"/>
    <s v="LM"/>
    <s v=""/>
    <x v="461"/>
    <x v="36"/>
    <x v="469"/>
    <m/>
    <x v="24"/>
    <m/>
    <x v="3"/>
    <x v="0"/>
    <x v="243"/>
    <d v="2012-06-17T00:00:00"/>
    <x v="7"/>
    <x v="0"/>
    <m/>
    <m/>
    <x v="0"/>
    <x v="1"/>
    <m/>
    <x v="0"/>
    <x v="5"/>
    <x v="627"/>
    <x v="3"/>
    <x v="0"/>
    <x v="1"/>
    <x v="243"/>
    <x v="3715"/>
  </r>
  <r>
    <x v="1"/>
    <n v="909"/>
    <x v="626"/>
    <x v="0"/>
    <s v="LM"/>
    <s v="S"/>
    <x v="462"/>
    <x v="5"/>
    <x v="677"/>
    <m/>
    <x v="83"/>
    <m/>
    <x v="3"/>
    <x v="0"/>
    <x v="316"/>
    <d v="2012-01-25T00:00:00"/>
    <x v="15"/>
    <x v="0"/>
    <m/>
    <m/>
    <x v="0"/>
    <x v="1"/>
    <m/>
    <x v="0"/>
    <x v="5"/>
    <x v="628"/>
    <x v="3"/>
    <x v="0"/>
    <x v="1"/>
    <x v="316"/>
    <x v="3716"/>
  </r>
  <r>
    <x v="1"/>
    <n v="909"/>
    <x v="626"/>
    <x v="0"/>
    <s v="LM"/>
    <s v="S"/>
    <x v="462"/>
    <x v="5"/>
    <x v="758"/>
    <m/>
    <x v="117"/>
    <m/>
    <x v="9"/>
    <x v="0"/>
    <x v="414"/>
    <d v="2012-02-20T00:00:00"/>
    <x v="1"/>
    <x v="0"/>
    <m/>
    <m/>
    <x v="0"/>
    <x v="0"/>
    <m/>
    <x v="0"/>
    <x v="5"/>
    <x v="628"/>
    <x v="9"/>
    <x v="0"/>
    <x v="0"/>
    <x v="414"/>
    <x v="3717"/>
  </r>
  <r>
    <x v="1"/>
    <n v="909"/>
    <x v="626"/>
    <x v="0"/>
    <s v="LM"/>
    <s v="S"/>
    <x v="462"/>
    <x v="5"/>
    <x v="4"/>
    <m/>
    <x v="4"/>
    <m/>
    <x v="2"/>
    <x v="0"/>
    <x v="355"/>
    <d v="2012-04-25T00:00:00"/>
    <x v="5"/>
    <x v="0"/>
    <m/>
    <m/>
    <x v="0"/>
    <x v="1"/>
    <m/>
    <x v="0"/>
    <x v="5"/>
    <x v="628"/>
    <x v="2"/>
    <x v="0"/>
    <x v="0"/>
    <x v="355"/>
    <x v="3718"/>
  </r>
  <r>
    <x v="1"/>
    <n v="909"/>
    <x v="626"/>
    <x v="0"/>
    <s v="LM"/>
    <s v="S"/>
    <x v="462"/>
    <x v="5"/>
    <x v="219"/>
    <m/>
    <x v="153"/>
    <m/>
    <x v="44"/>
    <x v="0"/>
    <x v="294"/>
    <d v="2012-10-21T00:00:00"/>
    <x v="14"/>
    <x v="1"/>
    <s v="Longa-Metragem "/>
    <m/>
    <x v="368"/>
    <x v="0"/>
    <m/>
    <x v="1"/>
    <x v="5"/>
    <x v="628"/>
    <x v="44"/>
    <x v="445"/>
    <x v="0"/>
    <x v="294"/>
    <x v="3719"/>
  </r>
  <r>
    <x v="1"/>
    <n v="913"/>
    <x v="629"/>
    <x v="0"/>
    <s v="CM"/>
    <s v="S"/>
    <x v="319"/>
    <x v="2"/>
    <x v="663"/>
    <m/>
    <x v="23"/>
    <m/>
    <x v="3"/>
    <x v="0"/>
    <x v="425"/>
    <m/>
    <x v="1"/>
    <x v="1"/>
    <m/>
    <m/>
    <x v="257"/>
    <x v="1"/>
    <m/>
    <x v="1"/>
    <x v="0"/>
    <x v="631"/>
    <x v="3"/>
    <x v="300"/>
    <x v="1"/>
    <x v="425"/>
    <x v="3720"/>
  </r>
  <r>
    <x v="1"/>
    <n v="913"/>
    <x v="629"/>
    <x v="0"/>
    <s v="CM"/>
    <s v="S"/>
    <x v="319"/>
    <x v="2"/>
    <x v="759"/>
    <m/>
    <x v="381"/>
    <m/>
    <x v="65"/>
    <x v="0"/>
    <x v="344"/>
    <d v="2012-03-04T00:00:00"/>
    <x v="2"/>
    <x v="1"/>
    <s v="International Short Film Competition - Fiction"/>
    <m/>
    <x v="0"/>
    <x v="0"/>
    <m/>
    <x v="0"/>
    <x v="0"/>
    <x v="631"/>
    <x v="65"/>
    <x v="0"/>
    <x v="0"/>
    <x v="344"/>
    <x v="3721"/>
  </r>
  <r>
    <x v="1"/>
    <n v="913"/>
    <x v="629"/>
    <x v="0"/>
    <s v="CM"/>
    <s v="S"/>
    <x v="319"/>
    <x v="2"/>
    <x v="411"/>
    <m/>
    <x v="268"/>
    <m/>
    <x v="0"/>
    <x v="0"/>
    <x v="241"/>
    <d v="2012-05-18T00:00:00"/>
    <x v="6"/>
    <x v="0"/>
    <m/>
    <s v="Mostra dos Festivais - FIKE"/>
    <x v="0"/>
    <x v="0"/>
    <m/>
    <x v="0"/>
    <x v="0"/>
    <x v="631"/>
    <x v="0"/>
    <x v="0"/>
    <x v="0"/>
    <x v="241"/>
    <x v="3722"/>
  </r>
  <r>
    <x v="1"/>
    <n v="913"/>
    <x v="629"/>
    <x v="0"/>
    <s v="CM"/>
    <s v="S"/>
    <x v="319"/>
    <x v="2"/>
    <x v="760"/>
    <m/>
    <x v="174"/>
    <m/>
    <x v="1"/>
    <x v="0"/>
    <x v="448"/>
    <d v="2012-05-22T00:00:00"/>
    <x v="6"/>
    <x v="1"/>
    <s v="Cortometrajes "/>
    <m/>
    <x v="0"/>
    <x v="0"/>
    <m/>
    <x v="0"/>
    <x v="0"/>
    <x v="631"/>
    <x v="1"/>
    <x v="0"/>
    <x v="0"/>
    <x v="448"/>
    <x v="3723"/>
  </r>
  <r>
    <x v="1"/>
    <n v="913"/>
    <x v="629"/>
    <x v="0"/>
    <s v="CM"/>
    <s v="S"/>
    <x v="319"/>
    <x v="2"/>
    <x v="608"/>
    <m/>
    <x v="185"/>
    <m/>
    <x v="0"/>
    <x v="0"/>
    <x v="264"/>
    <d v="2012-06-16T00:00:00"/>
    <x v="7"/>
    <x v="1"/>
    <s v="Mostra Competitiva"/>
    <m/>
    <x v="0"/>
    <x v="0"/>
    <m/>
    <x v="0"/>
    <x v="0"/>
    <x v="631"/>
    <x v="0"/>
    <x v="0"/>
    <x v="0"/>
    <x v="264"/>
    <x v="3724"/>
  </r>
  <r>
    <x v="1"/>
    <n v="913"/>
    <x v="629"/>
    <x v="0"/>
    <s v="CM"/>
    <s v="S"/>
    <x v="319"/>
    <x v="2"/>
    <x v="178"/>
    <m/>
    <x v="25"/>
    <m/>
    <x v="3"/>
    <x v="0"/>
    <x v="293"/>
    <d v="2012-07-08T00:00:00"/>
    <x v="8"/>
    <x v="0"/>
    <m/>
    <s v="Panorama Light&amp;Sound - Shortcutz"/>
    <x v="0"/>
    <x v="0"/>
    <m/>
    <x v="0"/>
    <x v="0"/>
    <x v="631"/>
    <x v="3"/>
    <x v="0"/>
    <x v="1"/>
    <x v="293"/>
    <x v="3725"/>
  </r>
  <r>
    <x v="1"/>
    <n v="1539"/>
    <x v="1397"/>
    <x v="0"/>
    <s v="LM"/>
    <s v="S"/>
    <x v="401"/>
    <x v="27"/>
    <x v="80"/>
    <m/>
    <x v="60"/>
    <m/>
    <x v="3"/>
    <x v="0"/>
    <x v="251"/>
    <d v="2012-11-18T00:00:00"/>
    <x v="13"/>
    <x v="0"/>
    <m/>
    <s v="Homenagens: João Pedro Rodrigues e João Rui Guerra da Mata"/>
    <x v="0"/>
    <x v="0"/>
    <m/>
    <x v="0"/>
    <x v="5"/>
    <x v="1407"/>
    <x v="3"/>
    <x v="0"/>
    <x v="1"/>
    <x v="251"/>
    <x v="3726"/>
  </r>
  <r>
    <x v="1"/>
    <n v="1424"/>
    <x v="1398"/>
    <x v="1"/>
    <s v="CM"/>
    <s v="N"/>
    <x v="791"/>
    <x v="41"/>
    <x v="761"/>
    <m/>
    <x v="75"/>
    <m/>
    <x v="15"/>
    <x v="0"/>
    <x v="233"/>
    <d v="2012-10-28T00:00:00"/>
    <x v="14"/>
    <x v="1"/>
    <s v="Cortometraggi - Concorso Premio Methexis"/>
    <m/>
    <x v="0"/>
    <x v="0"/>
    <m/>
    <x v="0"/>
    <x v="2"/>
    <x v="1408"/>
    <x v="15"/>
    <x v="0"/>
    <x v="0"/>
    <x v="233"/>
    <x v="3727"/>
  </r>
  <r>
    <x v="1"/>
    <n v="1502"/>
    <x v="1399"/>
    <x v="2"/>
    <s v="CM"/>
    <s v=""/>
    <x v="640"/>
    <x v="49"/>
    <x v="480"/>
    <m/>
    <x v="291"/>
    <m/>
    <x v="2"/>
    <x v="0"/>
    <x v="307"/>
    <d v="2012-11-20T00:00:00"/>
    <x v="13"/>
    <x v="0"/>
    <m/>
    <s v="Coups de coeur - Abi Feijó/Regina Pessoa: Oeuvres Croisées"/>
    <x v="0"/>
    <x v="0"/>
    <m/>
    <x v="0"/>
    <x v="4"/>
    <x v="1409"/>
    <x v="2"/>
    <x v="0"/>
    <x v="0"/>
    <x v="307"/>
    <x v="3728"/>
  </r>
  <r>
    <x v="1"/>
    <n v="916"/>
    <x v="632"/>
    <x v="1"/>
    <s v="CM"/>
    <s v="N"/>
    <x v="29"/>
    <x v="5"/>
    <x v="451"/>
    <m/>
    <x v="24"/>
    <m/>
    <x v="3"/>
    <x v="0"/>
    <x v="295"/>
    <d v="2012-10-28T00:00:00"/>
    <x v="14"/>
    <x v="0"/>
    <m/>
    <m/>
    <x v="0"/>
    <x v="1"/>
    <m/>
    <x v="0"/>
    <x v="2"/>
    <x v="634"/>
    <x v="3"/>
    <x v="0"/>
    <x v="1"/>
    <x v="295"/>
    <x v="3729"/>
  </r>
  <r>
    <x v="1"/>
    <n v="917"/>
    <x v="1400"/>
    <x v="2"/>
    <s v="CM"/>
    <s v="N"/>
    <x v="926"/>
    <x v="2"/>
    <x v="62"/>
    <m/>
    <x v="23"/>
    <m/>
    <x v="3"/>
    <x v="0"/>
    <x v="302"/>
    <d v="2012-03-04T00:00:00"/>
    <x v="19"/>
    <x v="1"/>
    <s v="Prémio de Cinema Português - Escolas de Cinema"/>
    <m/>
    <x v="0"/>
    <x v="0"/>
    <m/>
    <x v="0"/>
    <x v="4"/>
    <x v="1410"/>
    <x v="3"/>
    <x v="0"/>
    <x v="1"/>
    <x v="302"/>
    <x v="3730"/>
  </r>
  <r>
    <x v="1"/>
    <n v="1448"/>
    <x v="1401"/>
    <x v="1"/>
    <s v="CM"/>
    <s v=""/>
    <x v="158"/>
    <x v="46"/>
    <x v="25"/>
    <m/>
    <x v="24"/>
    <m/>
    <x v="3"/>
    <x v="0"/>
    <x v="294"/>
    <d v="2012-10-28T00:00:00"/>
    <x v="14"/>
    <x v="0"/>
    <m/>
    <s v="Homenagem a Fernando Lopes"/>
    <x v="0"/>
    <x v="0"/>
    <m/>
    <x v="0"/>
    <x v="2"/>
    <x v="1411"/>
    <x v="3"/>
    <x v="0"/>
    <x v="1"/>
    <x v="294"/>
    <x v="3731"/>
  </r>
  <r>
    <x v="1"/>
    <n v="1487"/>
    <x v="1402"/>
    <x v="2"/>
    <s v="CM"/>
    <s v="N"/>
    <x v="927"/>
    <x v="41"/>
    <x v="27"/>
    <m/>
    <x v="25"/>
    <m/>
    <x v="3"/>
    <x v="0"/>
    <x v="307"/>
    <d v="2012-11-18T00:00:00"/>
    <x v="13"/>
    <x v="1"/>
    <s v="Competição Nacional: Jovem Cineasta Português (+18 anos) "/>
    <m/>
    <x v="7"/>
    <x v="0"/>
    <m/>
    <x v="1"/>
    <x v="4"/>
    <x v="1412"/>
    <x v="3"/>
    <x v="446"/>
    <x v="1"/>
    <x v="307"/>
    <x v="3732"/>
  </r>
  <r>
    <x v="1"/>
    <n v="1515"/>
    <x v="1403"/>
    <x v="1"/>
    <s v="CM"/>
    <s v="N"/>
    <x v="928"/>
    <x v="2"/>
    <x v="489"/>
    <m/>
    <x v="297"/>
    <m/>
    <x v="3"/>
    <x v="0"/>
    <x v="267"/>
    <d v="2012-11-17T00:00:00"/>
    <x v="13"/>
    <x v="1"/>
    <s v="Olhares e Enquadramentos"/>
    <m/>
    <x v="0"/>
    <x v="0"/>
    <m/>
    <x v="0"/>
    <x v="2"/>
    <x v="1413"/>
    <x v="3"/>
    <x v="0"/>
    <x v="1"/>
    <x v="267"/>
    <x v="3733"/>
  </r>
  <r>
    <x v="1"/>
    <n v="920"/>
    <x v="635"/>
    <x v="0"/>
    <s v="CM"/>
    <s v="N"/>
    <x v="467"/>
    <x v="4"/>
    <x v="162"/>
    <m/>
    <x v="124"/>
    <m/>
    <x v="3"/>
    <x v="0"/>
    <x v="417"/>
    <m/>
    <x v="9"/>
    <x v="0"/>
    <m/>
    <m/>
    <x v="0"/>
    <x v="1"/>
    <m/>
    <x v="0"/>
    <x v="0"/>
    <x v="637"/>
    <x v="3"/>
    <x v="0"/>
    <x v="1"/>
    <x v="417"/>
    <x v="3734"/>
  </r>
  <r>
    <x v="1"/>
    <n v="923"/>
    <x v="1404"/>
    <x v="1"/>
    <s v="LM"/>
    <s v=""/>
    <x v="348"/>
    <x v="2"/>
    <x v="762"/>
    <m/>
    <x v="0"/>
    <m/>
    <x v="0"/>
    <x v="0"/>
    <x v="399"/>
    <d v="2012-01-15T00:00:00"/>
    <x v="15"/>
    <x v="0"/>
    <m/>
    <m/>
    <x v="0"/>
    <x v="1"/>
    <m/>
    <x v="0"/>
    <x v="1"/>
    <x v="1414"/>
    <x v="0"/>
    <x v="0"/>
    <x v="0"/>
    <x v="399"/>
    <x v="3735"/>
  </r>
  <r>
    <x v="1"/>
    <n v="924"/>
    <x v="1405"/>
    <x v="0"/>
    <s v="CM"/>
    <s v=""/>
    <x v="47"/>
    <x v="2"/>
    <x v="146"/>
    <m/>
    <x v="24"/>
    <m/>
    <x v="3"/>
    <x v="0"/>
    <x v="281"/>
    <d v="2012-05-06T00:00:00"/>
    <x v="4"/>
    <x v="1"/>
    <s v="Competição Nacional Curtas 3"/>
    <s v="Observatório Curtas 2"/>
    <x v="0"/>
    <x v="0"/>
    <m/>
    <x v="0"/>
    <x v="0"/>
    <x v="1415"/>
    <x v="3"/>
    <x v="0"/>
    <x v="1"/>
    <x v="281"/>
    <x v="3736"/>
  </r>
  <r>
    <x v="1"/>
    <n v="1538"/>
    <x v="1406"/>
    <x v="0"/>
    <s v="LM"/>
    <s v="S"/>
    <x v="14"/>
    <x v="41"/>
    <x v="80"/>
    <m/>
    <x v="60"/>
    <m/>
    <x v="3"/>
    <x v="0"/>
    <x v="251"/>
    <d v="2012-11-18T00:00:00"/>
    <x v="13"/>
    <x v="2"/>
    <s v="Selecção Oficial - Fora de Competição"/>
    <m/>
    <x v="0"/>
    <x v="0"/>
    <m/>
    <x v="0"/>
    <x v="5"/>
    <x v="1416"/>
    <x v="3"/>
    <x v="0"/>
    <x v="1"/>
    <x v="251"/>
    <x v="3737"/>
  </r>
  <r>
    <x v="1"/>
    <n v="1463"/>
    <x v="1407"/>
    <x v="1"/>
    <s v="CM"/>
    <s v="N"/>
    <x v="929"/>
    <x v="41"/>
    <x v="520"/>
    <m/>
    <x v="46"/>
    <m/>
    <x v="3"/>
    <x v="0"/>
    <x v="297"/>
    <d v="2012-10-27T00:00:00"/>
    <x v="14"/>
    <x v="1"/>
    <s v="Divulgação/Promoção"/>
    <m/>
    <x v="369"/>
    <x v="0"/>
    <m/>
    <x v="1"/>
    <x v="2"/>
    <x v="1417"/>
    <x v="3"/>
    <x v="447"/>
    <x v="1"/>
    <x v="297"/>
    <x v="3738"/>
  </r>
  <r>
    <x v="1"/>
    <n v="928"/>
    <x v="1408"/>
    <x v="1"/>
    <s v="LM"/>
    <s v="N"/>
    <x v="690"/>
    <x v="3"/>
    <x v="470"/>
    <m/>
    <x v="289"/>
    <m/>
    <x v="3"/>
    <x v="0"/>
    <x v="316"/>
    <d v="2012-01-25T00:00:00"/>
    <x v="15"/>
    <x v="0"/>
    <m/>
    <m/>
    <x v="0"/>
    <x v="3"/>
    <m/>
    <x v="0"/>
    <x v="1"/>
    <x v="1418"/>
    <x v="3"/>
    <x v="0"/>
    <x v="1"/>
    <x v="316"/>
    <x v="3739"/>
  </r>
  <r>
    <x v="1"/>
    <n v="928"/>
    <x v="1408"/>
    <x v="1"/>
    <s v="LM"/>
    <s v="N"/>
    <x v="690"/>
    <x v="3"/>
    <x v="182"/>
    <m/>
    <x v="17"/>
    <m/>
    <x v="2"/>
    <x v="0"/>
    <x v="323"/>
    <d v="2012-04-03T00:00:00"/>
    <x v="3"/>
    <x v="1"/>
    <s v="Compétition Internationale"/>
    <m/>
    <x v="0"/>
    <x v="0"/>
    <m/>
    <x v="0"/>
    <x v="1"/>
    <x v="1418"/>
    <x v="2"/>
    <x v="0"/>
    <x v="0"/>
    <x v="323"/>
    <x v="3740"/>
  </r>
  <r>
    <x v="1"/>
    <n v="928"/>
    <x v="1408"/>
    <x v="1"/>
    <s v="LM"/>
    <s v="N"/>
    <x v="690"/>
    <x v="3"/>
    <x v="763"/>
    <m/>
    <x v="382"/>
    <m/>
    <x v="49"/>
    <x v="0"/>
    <x v="283"/>
    <d v="2012-07-22T00:00:00"/>
    <x v="8"/>
    <x v="0"/>
    <m/>
    <s v="Portraits of Modern Times"/>
    <x v="0"/>
    <x v="0"/>
    <m/>
    <x v="0"/>
    <x v="1"/>
    <x v="1418"/>
    <x v="49"/>
    <x v="0"/>
    <x v="0"/>
    <x v="283"/>
    <x v="3741"/>
  </r>
  <r>
    <x v="1"/>
    <n v="928"/>
    <x v="1408"/>
    <x v="1"/>
    <s v="LM"/>
    <s v="N"/>
    <x v="690"/>
    <x v="3"/>
    <x v="22"/>
    <m/>
    <x v="22"/>
    <m/>
    <x v="3"/>
    <x v="0"/>
    <x v="251"/>
    <d v="2012-11-18T00:00:00"/>
    <x v="13"/>
    <x v="1"/>
    <s v="Secção Competitiva"/>
    <m/>
    <x v="0"/>
    <x v="0"/>
    <m/>
    <x v="0"/>
    <x v="1"/>
    <x v="1418"/>
    <x v="3"/>
    <x v="0"/>
    <x v="1"/>
    <x v="251"/>
    <x v="3742"/>
  </r>
  <r>
    <x v="1"/>
    <n v="1328"/>
    <x v="1409"/>
    <x v="0"/>
    <s v="CM"/>
    <s v="N"/>
    <x v="156"/>
    <x v="41"/>
    <x v="316"/>
    <m/>
    <x v="11"/>
    <m/>
    <x v="3"/>
    <x v="0"/>
    <x v="199"/>
    <d v="2012-08-25T00:00:00"/>
    <x v="16"/>
    <x v="1"/>
    <s v="Ficção"/>
    <m/>
    <x v="0"/>
    <x v="0"/>
    <m/>
    <x v="0"/>
    <x v="0"/>
    <x v="1419"/>
    <x v="3"/>
    <x v="0"/>
    <x v="1"/>
    <x v="199"/>
    <x v="3743"/>
  </r>
  <r>
    <x v="1"/>
    <n v="929"/>
    <x v="641"/>
    <x v="1"/>
    <s v="LM"/>
    <s v="N"/>
    <x v="85"/>
    <x v="1"/>
    <x v="58"/>
    <m/>
    <x v="47"/>
    <m/>
    <x v="3"/>
    <x v="0"/>
    <x v="118"/>
    <d v="2012-09-09T00:00:00"/>
    <x v="9"/>
    <x v="0"/>
    <m/>
    <m/>
    <x v="0"/>
    <x v="1"/>
    <m/>
    <x v="0"/>
    <x v="1"/>
    <x v="643"/>
    <x v="3"/>
    <x v="0"/>
    <x v="1"/>
    <x v="118"/>
    <x v="3744"/>
  </r>
  <r>
    <x v="1"/>
    <n v="1589"/>
    <x v="1410"/>
    <x v="2"/>
    <s v="CM"/>
    <s v="N"/>
    <x v="930"/>
    <x v="2"/>
    <x v="653"/>
    <m/>
    <x v="11"/>
    <m/>
    <x v="3"/>
    <x v="0"/>
    <x v="252"/>
    <m/>
    <x v="14"/>
    <x v="1"/>
    <s v="Tema C - Animação"/>
    <m/>
    <x v="5"/>
    <x v="0"/>
    <m/>
    <x v="1"/>
    <x v="4"/>
    <x v="1420"/>
    <x v="3"/>
    <x v="448"/>
    <x v="1"/>
    <x v="252"/>
    <x v="3745"/>
  </r>
  <r>
    <x v="1"/>
    <n v="930"/>
    <x v="642"/>
    <x v="0"/>
    <s v="LM"/>
    <s v="S"/>
    <x v="18"/>
    <x v="2"/>
    <x v="62"/>
    <m/>
    <x v="23"/>
    <m/>
    <x v="3"/>
    <x v="0"/>
    <x v="302"/>
    <d v="2012-03-04T00:00:00"/>
    <x v="19"/>
    <x v="0"/>
    <m/>
    <s v="Retrospectivas - António-Pedro Vasconcelos"/>
    <x v="0"/>
    <x v="0"/>
    <m/>
    <x v="0"/>
    <x v="5"/>
    <x v="644"/>
    <x v="3"/>
    <x v="0"/>
    <x v="1"/>
    <x v="302"/>
    <x v="3746"/>
  </r>
  <r>
    <x v="1"/>
    <n v="1499"/>
    <x v="1411"/>
    <x v="2"/>
    <s v="CM"/>
    <s v="N"/>
    <x v="575"/>
    <x v="3"/>
    <x v="27"/>
    <m/>
    <x v="25"/>
    <m/>
    <x v="3"/>
    <x v="0"/>
    <x v="307"/>
    <d v="2012-11-18T00:00:00"/>
    <x v="13"/>
    <x v="1"/>
    <s v="Competição Nacional Jovem Cineasta Português (-18)"/>
    <m/>
    <x v="0"/>
    <x v="0"/>
    <m/>
    <x v="0"/>
    <x v="4"/>
    <x v="1421"/>
    <x v="3"/>
    <x v="0"/>
    <x v="1"/>
    <x v="307"/>
    <x v="3747"/>
  </r>
  <r>
    <x v="1"/>
    <n v="932"/>
    <x v="644"/>
    <x v="2"/>
    <s v="CM"/>
    <s v="S"/>
    <x v="472"/>
    <x v="5"/>
    <x v="62"/>
    <m/>
    <x v="23"/>
    <m/>
    <x v="3"/>
    <x v="0"/>
    <x v="302"/>
    <d v="2012-03-04T00:00:00"/>
    <x v="19"/>
    <x v="0"/>
    <m/>
    <s v="Panorama do Cinema Português - Casa da Animação"/>
    <x v="0"/>
    <x v="0"/>
    <m/>
    <x v="0"/>
    <x v="4"/>
    <x v="646"/>
    <x v="3"/>
    <x v="0"/>
    <x v="1"/>
    <x v="302"/>
    <x v="3748"/>
  </r>
  <r>
    <x v="1"/>
    <n v="932"/>
    <x v="644"/>
    <x v="2"/>
    <s v="CM"/>
    <s v="S"/>
    <x v="472"/>
    <x v="5"/>
    <x v="26"/>
    <m/>
    <x v="24"/>
    <m/>
    <x v="3"/>
    <x v="0"/>
    <x v="268"/>
    <d v="2012-03-24T00:00:00"/>
    <x v="2"/>
    <x v="1"/>
    <s v="Competição Portugueses"/>
    <m/>
    <x v="0"/>
    <x v="0"/>
    <m/>
    <x v="0"/>
    <x v="4"/>
    <x v="646"/>
    <x v="3"/>
    <x v="0"/>
    <x v="1"/>
    <x v="268"/>
    <x v="3749"/>
  </r>
  <r>
    <x v="1"/>
    <n v="932"/>
    <x v="644"/>
    <x v="2"/>
    <s v="CM"/>
    <s v="S"/>
    <x v="472"/>
    <x v="5"/>
    <x v="323"/>
    <m/>
    <x v="209"/>
    <m/>
    <x v="51"/>
    <x v="0"/>
    <x v="248"/>
    <d v="2012-04-01T00:00:00"/>
    <x v="3"/>
    <x v="1"/>
    <s v="Competition IV"/>
    <m/>
    <x v="0"/>
    <x v="0"/>
    <m/>
    <x v="0"/>
    <x v="4"/>
    <x v="646"/>
    <x v="51"/>
    <x v="0"/>
    <x v="0"/>
    <x v="248"/>
    <x v="3750"/>
  </r>
  <r>
    <x v="1"/>
    <n v="932"/>
    <x v="644"/>
    <x v="2"/>
    <s v="CM"/>
    <s v="S"/>
    <x v="472"/>
    <x v="5"/>
    <x v="764"/>
    <m/>
    <x v="23"/>
    <m/>
    <x v="3"/>
    <x v="0"/>
    <x v="313"/>
    <m/>
    <x v="5"/>
    <x v="1"/>
    <m/>
    <m/>
    <x v="0"/>
    <x v="1"/>
    <m/>
    <x v="0"/>
    <x v="4"/>
    <x v="646"/>
    <x v="3"/>
    <x v="0"/>
    <x v="1"/>
    <x v="313"/>
    <x v="3751"/>
  </r>
  <r>
    <x v="1"/>
    <n v="932"/>
    <x v="644"/>
    <x v="2"/>
    <s v="CM"/>
    <s v="S"/>
    <x v="472"/>
    <x v="5"/>
    <x v="539"/>
    <m/>
    <x v="76"/>
    <m/>
    <x v="3"/>
    <x v="0"/>
    <x v="367"/>
    <d v="2012-05-06T00:00:00"/>
    <x v="6"/>
    <x v="1"/>
    <s v="Animação "/>
    <m/>
    <x v="0"/>
    <x v="0"/>
    <m/>
    <x v="0"/>
    <x v="4"/>
    <x v="646"/>
    <x v="3"/>
    <x v="0"/>
    <x v="1"/>
    <x v="367"/>
    <x v="3752"/>
  </r>
  <r>
    <x v="1"/>
    <n v="932"/>
    <x v="644"/>
    <x v="2"/>
    <s v="CM"/>
    <s v="S"/>
    <x v="472"/>
    <x v="5"/>
    <x v="431"/>
    <m/>
    <x v="277"/>
    <m/>
    <x v="14"/>
    <x v="0"/>
    <x v="243"/>
    <d v="2012-06-02T00:00:00"/>
    <x v="7"/>
    <x v="0"/>
    <m/>
    <m/>
    <x v="0"/>
    <x v="0"/>
    <m/>
    <x v="0"/>
    <x v="4"/>
    <x v="646"/>
    <x v="14"/>
    <x v="0"/>
    <x v="0"/>
    <x v="243"/>
    <x v="3753"/>
  </r>
  <r>
    <x v="1"/>
    <n v="932"/>
    <x v="644"/>
    <x v="2"/>
    <s v="CM"/>
    <s v="S"/>
    <x v="472"/>
    <x v="5"/>
    <x v="512"/>
    <m/>
    <x v="307"/>
    <m/>
    <x v="1"/>
    <x v="0"/>
    <x v="354"/>
    <d v="2012-11-25T00:00:00"/>
    <x v="13"/>
    <x v="1"/>
    <s v="Programa Internacional 18"/>
    <m/>
    <x v="0"/>
    <x v="0"/>
    <m/>
    <x v="0"/>
    <x v="4"/>
    <x v="646"/>
    <x v="1"/>
    <x v="0"/>
    <x v="0"/>
    <x v="354"/>
    <x v="3754"/>
  </r>
  <r>
    <x v="1"/>
    <n v="933"/>
    <x v="1412"/>
    <x v="2"/>
    <s v="CM"/>
    <s v="N"/>
    <x v="931"/>
    <x v="2"/>
    <x v="192"/>
    <m/>
    <x v="140"/>
    <m/>
    <x v="3"/>
    <x v="0"/>
    <x v="250"/>
    <d v="2012-07-29T00:00:00"/>
    <x v="8"/>
    <x v="1"/>
    <s v="Competição Eu no Meio dos Outros"/>
    <m/>
    <x v="370"/>
    <x v="0"/>
    <m/>
    <x v="1"/>
    <x v="4"/>
    <x v="1422"/>
    <x v="3"/>
    <x v="449"/>
    <x v="1"/>
    <x v="250"/>
    <x v="3755"/>
  </r>
  <r>
    <x v="1"/>
    <n v="934"/>
    <x v="645"/>
    <x v="0"/>
    <s v="LM"/>
    <s v="S"/>
    <x v="40"/>
    <x v="37"/>
    <x v="594"/>
    <m/>
    <x v="39"/>
    <m/>
    <x v="3"/>
    <x v="0"/>
    <x v="403"/>
    <d v="2012-02-26T00:00:00"/>
    <x v="1"/>
    <x v="0"/>
    <m/>
    <m/>
    <x v="0"/>
    <x v="1"/>
    <m/>
    <x v="0"/>
    <x v="5"/>
    <x v="647"/>
    <x v="3"/>
    <x v="0"/>
    <x v="1"/>
    <x v="403"/>
    <x v="3756"/>
  </r>
  <r>
    <x v="1"/>
    <n v="935"/>
    <x v="646"/>
    <x v="2"/>
    <s v="CM"/>
    <s v="S"/>
    <x v="281"/>
    <x v="2"/>
    <x v="621"/>
    <m/>
    <x v="212"/>
    <m/>
    <x v="9"/>
    <x v="0"/>
    <x v="271"/>
    <d v="2012-02-05T00:00:00"/>
    <x v="18"/>
    <x v="0"/>
    <m/>
    <s v="Dream Machine"/>
    <x v="0"/>
    <x v="0"/>
    <m/>
    <x v="0"/>
    <x v="4"/>
    <x v="648"/>
    <x v="9"/>
    <x v="0"/>
    <x v="0"/>
    <x v="271"/>
    <x v="3757"/>
  </r>
  <r>
    <x v="1"/>
    <n v="935"/>
    <x v="646"/>
    <x v="2"/>
    <s v="CM"/>
    <s v="S"/>
    <x v="281"/>
    <x v="2"/>
    <x v="456"/>
    <m/>
    <x v="24"/>
    <m/>
    <x v="3"/>
    <x v="0"/>
    <x v="390"/>
    <m/>
    <x v="15"/>
    <x v="0"/>
    <m/>
    <m/>
    <x v="0"/>
    <x v="1"/>
    <m/>
    <x v="0"/>
    <x v="4"/>
    <x v="648"/>
    <x v="3"/>
    <x v="0"/>
    <x v="1"/>
    <x v="390"/>
    <x v="3758"/>
  </r>
  <r>
    <x v="1"/>
    <n v="935"/>
    <x v="646"/>
    <x v="2"/>
    <s v="CM"/>
    <s v="S"/>
    <x v="281"/>
    <x v="2"/>
    <x v="765"/>
    <m/>
    <x v="383"/>
    <m/>
    <x v="2"/>
    <x v="0"/>
    <x v="292"/>
    <d v="2012-02-14T00:00:00"/>
    <x v="1"/>
    <x v="1"/>
    <s v="Courts métrages pour les 7/10 ans"/>
    <m/>
    <x v="0"/>
    <x v="0"/>
    <m/>
    <x v="0"/>
    <x v="4"/>
    <x v="648"/>
    <x v="2"/>
    <x v="0"/>
    <x v="0"/>
    <x v="292"/>
    <x v="3759"/>
  </r>
  <r>
    <x v="1"/>
    <n v="935"/>
    <x v="646"/>
    <x v="2"/>
    <s v="CM"/>
    <s v="S"/>
    <x v="281"/>
    <x v="2"/>
    <x v="455"/>
    <m/>
    <x v="24"/>
    <m/>
    <x v="3"/>
    <x v="0"/>
    <x v="299"/>
    <m/>
    <x v="1"/>
    <x v="0"/>
    <m/>
    <m/>
    <x v="0"/>
    <x v="1"/>
    <m/>
    <x v="0"/>
    <x v="4"/>
    <x v="648"/>
    <x v="3"/>
    <x v="0"/>
    <x v="1"/>
    <x v="299"/>
    <x v="3760"/>
  </r>
  <r>
    <x v="1"/>
    <n v="935"/>
    <x v="646"/>
    <x v="2"/>
    <s v="CM"/>
    <s v="S"/>
    <x v="281"/>
    <x v="2"/>
    <x v="62"/>
    <m/>
    <x v="23"/>
    <m/>
    <x v="3"/>
    <x v="0"/>
    <x v="302"/>
    <d v="2012-03-04T00:00:00"/>
    <x v="19"/>
    <x v="0"/>
    <m/>
    <s v="Panorama do Cinema Português - Casa da Animação"/>
    <x v="0"/>
    <x v="0"/>
    <m/>
    <x v="0"/>
    <x v="4"/>
    <x v="648"/>
    <x v="3"/>
    <x v="0"/>
    <x v="1"/>
    <x v="302"/>
    <x v="3761"/>
  </r>
  <r>
    <x v="1"/>
    <n v="935"/>
    <x v="646"/>
    <x v="2"/>
    <s v="CM"/>
    <s v="S"/>
    <x v="281"/>
    <x v="2"/>
    <x v="456"/>
    <m/>
    <x v="24"/>
    <m/>
    <x v="3"/>
    <x v="0"/>
    <x v="300"/>
    <m/>
    <x v="1"/>
    <x v="0"/>
    <m/>
    <s v="Especial Curtas Nomeadas para Melhor Curta Prémios Shortcutz Lisboa 2011"/>
    <x v="0"/>
    <x v="1"/>
    <m/>
    <x v="0"/>
    <x v="4"/>
    <x v="648"/>
    <x v="3"/>
    <x v="0"/>
    <x v="1"/>
    <x v="300"/>
    <x v="3762"/>
  </r>
  <r>
    <x v="1"/>
    <n v="935"/>
    <x v="646"/>
    <x v="2"/>
    <s v="CM"/>
    <s v="S"/>
    <x v="281"/>
    <x v="2"/>
    <x v="473"/>
    <m/>
    <x v="24"/>
    <m/>
    <x v="3"/>
    <x v="0"/>
    <x v="317"/>
    <m/>
    <x v="2"/>
    <x v="1"/>
    <m/>
    <m/>
    <x v="127"/>
    <x v="2"/>
    <m/>
    <x v="1"/>
    <x v="4"/>
    <x v="648"/>
    <x v="3"/>
    <x v="168"/>
    <x v="1"/>
    <x v="317"/>
    <x v="3763"/>
  </r>
  <r>
    <x v="1"/>
    <n v="935"/>
    <x v="646"/>
    <x v="2"/>
    <s v="CM"/>
    <s v="S"/>
    <x v="281"/>
    <x v="2"/>
    <x v="26"/>
    <m/>
    <x v="24"/>
    <m/>
    <x v="3"/>
    <x v="0"/>
    <x v="268"/>
    <d v="2012-03-25T00:00:00"/>
    <x v="2"/>
    <x v="1"/>
    <s v="Competição Internacional 4"/>
    <m/>
    <x v="0"/>
    <x v="0"/>
    <m/>
    <x v="0"/>
    <x v="4"/>
    <x v="648"/>
    <x v="3"/>
    <x v="0"/>
    <x v="1"/>
    <x v="268"/>
    <x v="3764"/>
  </r>
  <r>
    <x v="1"/>
    <n v="935"/>
    <x v="646"/>
    <x v="2"/>
    <s v="CM"/>
    <s v="S"/>
    <x v="281"/>
    <x v="2"/>
    <x v="200"/>
    <m/>
    <x v="145"/>
    <m/>
    <x v="2"/>
    <x v="0"/>
    <x v="332"/>
    <d v="2012-03-25T00:00:00"/>
    <x v="2"/>
    <x v="0"/>
    <m/>
    <s v="Panorama Animation Portugaise"/>
    <x v="0"/>
    <x v="0"/>
    <m/>
    <x v="0"/>
    <x v="4"/>
    <x v="648"/>
    <x v="2"/>
    <x v="0"/>
    <x v="0"/>
    <x v="332"/>
    <x v="3765"/>
  </r>
  <r>
    <x v="1"/>
    <n v="935"/>
    <x v="646"/>
    <x v="2"/>
    <s v="CM"/>
    <s v="S"/>
    <x v="281"/>
    <x v="2"/>
    <x v="488"/>
    <m/>
    <x v="296"/>
    <m/>
    <x v="1"/>
    <x v="0"/>
    <x v="329"/>
    <d v="2012-04-14T00:00:00"/>
    <x v="5"/>
    <x v="1"/>
    <s v="Competición Cortometrajes"/>
    <m/>
    <x v="0"/>
    <x v="0"/>
    <m/>
    <x v="0"/>
    <x v="4"/>
    <x v="648"/>
    <x v="1"/>
    <x v="0"/>
    <x v="0"/>
    <x v="329"/>
    <x v="3766"/>
  </r>
  <r>
    <x v="1"/>
    <n v="935"/>
    <x v="646"/>
    <x v="2"/>
    <s v="CM"/>
    <s v="S"/>
    <x v="281"/>
    <x v="2"/>
    <x v="555"/>
    <m/>
    <x v="317"/>
    <m/>
    <x v="8"/>
    <x v="0"/>
    <x v="358"/>
    <d v="2012-04-29T00:00:00"/>
    <x v="5"/>
    <x v="0"/>
    <m/>
    <s v="Sessão IBERIA ANIMA-TE"/>
    <x v="0"/>
    <x v="0"/>
    <m/>
    <x v="0"/>
    <x v="4"/>
    <x v="648"/>
    <x v="8"/>
    <x v="0"/>
    <x v="0"/>
    <x v="358"/>
    <x v="3767"/>
  </r>
  <r>
    <x v="1"/>
    <n v="935"/>
    <x v="646"/>
    <x v="2"/>
    <s v="CM"/>
    <s v="S"/>
    <x v="281"/>
    <x v="2"/>
    <x v="590"/>
    <m/>
    <x v="328"/>
    <m/>
    <x v="11"/>
    <x v="0"/>
    <x v="281"/>
    <d v="2012-05-01T00:00:00"/>
    <x v="4"/>
    <x v="0"/>
    <m/>
    <s v="Pedro Serrazina: The Specifics of Using Space and Narration in Animation "/>
    <x v="0"/>
    <x v="0"/>
    <m/>
    <x v="0"/>
    <x v="4"/>
    <x v="648"/>
    <x v="11"/>
    <x v="0"/>
    <x v="0"/>
    <x v="281"/>
    <x v="3768"/>
  </r>
  <r>
    <x v="1"/>
    <n v="935"/>
    <x v="646"/>
    <x v="2"/>
    <s v="CM"/>
    <s v="S"/>
    <x v="281"/>
    <x v="2"/>
    <x v="27"/>
    <m/>
    <x v="25"/>
    <m/>
    <x v="3"/>
    <x v="0"/>
    <x v="307"/>
    <d v="2012-11-18T00:00:00"/>
    <x v="13"/>
    <x v="0"/>
    <m/>
    <s v="Ilustração e Animação"/>
    <x v="0"/>
    <x v="0"/>
    <m/>
    <x v="0"/>
    <x v="4"/>
    <x v="648"/>
    <x v="3"/>
    <x v="0"/>
    <x v="1"/>
    <x v="307"/>
    <x v="3769"/>
  </r>
  <r>
    <x v="1"/>
    <n v="1504"/>
    <x v="1413"/>
    <x v="2"/>
    <s v="CM"/>
    <s v="S"/>
    <x v="640"/>
    <x v="43"/>
    <x v="480"/>
    <m/>
    <x v="291"/>
    <m/>
    <x v="2"/>
    <x v="0"/>
    <x v="307"/>
    <d v="2012-11-20T00:00:00"/>
    <x v="13"/>
    <x v="0"/>
    <m/>
    <s v="Coups de coeur - Abi Feijó/Regina Pessoa: Oeuvres Croisées"/>
    <x v="0"/>
    <x v="0"/>
    <m/>
    <x v="0"/>
    <x v="4"/>
    <x v="1423"/>
    <x v="2"/>
    <x v="0"/>
    <x v="0"/>
    <x v="307"/>
    <x v="3770"/>
  </r>
  <r>
    <x v="1"/>
    <n v="938"/>
    <x v="1414"/>
    <x v="0"/>
    <s v="LM"/>
    <s v="S"/>
    <x v="158"/>
    <x v="1"/>
    <x v="435"/>
    <m/>
    <x v="24"/>
    <m/>
    <x v="3"/>
    <x v="0"/>
    <x v="269"/>
    <d v="2012-03-11T00:00:00"/>
    <x v="2"/>
    <x v="0"/>
    <m/>
    <m/>
    <x v="0"/>
    <x v="1"/>
    <m/>
    <x v="0"/>
    <x v="5"/>
    <x v="1424"/>
    <x v="3"/>
    <x v="0"/>
    <x v="1"/>
    <x v="269"/>
    <x v="3771"/>
  </r>
  <r>
    <x v="1"/>
    <n v="940"/>
    <x v="648"/>
    <x v="0"/>
    <s v="CM"/>
    <s v="N"/>
    <x v="473"/>
    <x v="2"/>
    <x v="449"/>
    <m/>
    <x v="22"/>
    <m/>
    <x v="3"/>
    <x v="0"/>
    <x v="290"/>
    <m/>
    <x v="7"/>
    <x v="1"/>
    <s v="Livre"/>
    <m/>
    <x v="0"/>
    <x v="0"/>
    <m/>
    <x v="0"/>
    <x v="0"/>
    <x v="650"/>
    <x v="3"/>
    <x v="0"/>
    <x v="1"/>
    <x v="290"/>
    <x v="3772"/>
  </r>
  <r>
    <x v="1"/>
    <n v="1231"/>
    <x v="649"/>
    <x v="0"/>
    <s v="LM"/>
    <s v="N"/>
    <x v="63"/>
    <x v="7"/>
    <x v="149"/>
    <m/>
    <x v="114"/>
    <m/>
    <x v="35"/>
    <x v="0"/>
    <x v="339"/>
    <d v="2012-11-07T00:00:00"/>
    <x v="0"/>
    <x v="0"/>
    <m/>
    <s v="In Focus: Manuel Mozos"/>
    <x v="0"/>
    <x v="0"/>
    <m/>
    <x v="0"/>
    <x v="5"/>
    <x v="651"/>
    <x v="35"/>
    <x v="0"/>
    <x v="0"/>
    <x v="339"/>
    <x v="3773"/>
  </r>
  <r>
    <x v="1"/>
    <n v="941"/>
    <x v="1415"/>
    <x v="0"/>
    <s v="CM"/>
    <s v="N"/>
    <x v="427"/>
    <x v="41"/>
    <x v="766"/>
    <m/>
    <x v="135"/>
    <m/>
    <x v="2"/>
    <x v="0"/>
    <x v="448"/>
    <d v="2012-05-27T00:00:00"/>
    <x v="6"/>
    <x v="0"/>
    <m/>
    <m/>
    <x v="371"/>
    <x v="0"/>
    <m/>
    <x v="1"/>
    <x v="0"/>
    <x v="1425"/>
    <x v="2"/>
    <x v="450"/>
    <x v="0"/>
    <x v="448"/>
    <x v="3774"/>
  </r>
  <r>
    <x v="1"/>
    <n v="941"/>
    <x v="1415"/>
    <x v="0"/>
    <s v="CM"/>
    <s v="N"/>
    <x v="427"/>
    <x v="41"/>
    <x v="68"/>
    <m/>
    <x v="53"/>
    <m/>
    <x v="3"/>
    <x v="0"/>
    <x v="253"/>
    <d v="2012-07-15T00:00:00"/>
    <x v="8"/>
    <x v="1"/>
    <s v="Competição Nacional"/>
    <m/>
    <x v="372"/>
    <x v="0"/>
    <m/>
    <x v="1"/>
    <x v="0"/>
    <x v="1425"/>
    <x v="3"/>
    <x v="451"/>
    <x v="1"/>
    <x v="253"/>
    <x v="3775"/>
  </r>
  <r>
    <x v="1"/>
    <n v="941"/>
    <x v="1415"/>
    <x v="0"/>
    <s v="CM"/>
    <s v="N"/>
    <x v="427"/>
    <x v="41"/>
    <x v="510"/>
    <m/>
    <x v="133"/>
    <m/>
    <x v="0"/>
    <x v="0"/>
    <x v="199"/>
    <d v="2012-08-31T00:00:00"/>
    <x v="16"/>
    <x v="0"/>
    <m/>
    <s v="Por uns Minutos a mais"/>
    <x v="0"/>
    <x v="0"/>
    <m/>
    <x v="0"/>
    <x v="0"/>
    <x v="1425"/>
    <x v="0"/>
    <x v="0"/>
    <x v="0"/>
    <x v="199"/>
    <x v="3776"/>
  </r>
  <r>
    <x v="1"/>
    <n v="941"/>
    <x v="1415"/>
    <x v="0"/>
    <s v="CM"/>
    <s v="N"/>
    <x v="427"/>
    <x v="41"/>
    <x v="385"/>
    <m/>
    <x v="17"/>
    <m/>
    <x v="2"/>
    <x v="0"/>
    <x v="445"/>
    <d v="2012-09-09T00:00:00"/>
    <x v="9"/>
    <x v="1"/>
    <s v="Compétition Internationale#4"/>
    <m/>
    <x v="0"/>
    <x v="0"/>
    <m/>
    <x v="0"/>
    <x v="0"/>
    <x v="1425"/>
    <x v="2"/>
    <x v="0"/>
    <x v="0"/>
    <x v="445"/>
    <x v="3777"/>
  </r>
  <r>
    <x v="1"/>
    <n v="941"/>
    <x v="1415"/>
    <x v="0"/>
    <s v="CM"/>
    <s v="N"/>
    <x v="427"/>
    <x v="41"/>
    <x v="149"/>
    <m/>
    <x v="114"/>
    <m/>
    <x v="35"/>
    <x v="0"/>
    <x v="339"/>
    <d v="2012-11-07T00:00:00"/>
    <x v="0"/>
    <x v="0"/>
    <m/>
    <s v="Short Film Program2"/>
    <x v="0"/>
    <x v="0"/>
    <m/>
    <x v="0"/>
    <x v="0"/>
    <x v="1425"/>
    <x v="35"/>
    <x v="0"/>
    <x v="0"/>
    <x v="339"/>
    <x v="3778"/>
  </r>
  <r>
    <x v="1"/>
    <n v="941"/>
    <x v="1415"/>
    <x v="0"/>
    <s v="CM"/>
    <s v="N"/>
    <x v="427"/>
    <x v="41"/>
    <x v="698"/>
    <m/>
    <x v="360"/>
    <m/>
    <x v="34"/>
    <x v="0"/>
    <x v="381"/>
    <d v="2012-11-11T00:00:00"/>
    <x v="13"/>
    <x v="1"/>
    <s v="Swiss Competition"/>
    <m/>
    <x v="373"/>
    <x v="0"/>
    <m/>
    <x v="1"/>
    <x v="0"/>
    <x v="1425"/>
    <x v="34"/>
    <x v="452"/>
    <x v="0"/>
    <x v="381"/>
    <x v="3779"/>
  </r>
  <r>
    <x v="1"/>
    <n v="941"/>
    <x v="1415"/>
    <x v="0"/>
    <s v="CM"/>
    <s v="N"/>
    <x v="427"/>
    <x v="41"/>
    <x v="404"/>
    <m/>
    <x v="264"/>
    <m/>
    <x v="15"/>
    <x v="0"/>
    <x v="234"/>
    <d v="2012-12-01T00:00:00"/>
    <x v="11"/>
    <x v="0"/>
    <m/>
    <s v="Onde"/>
    <x v="0"/>
    <x v="0"/>
    <m/>
    <x v="0"/>
    <x v="0"/>
    <x v="1425"/>
    <x v="15"/>
    <x v="0"/>
    <x v="0"/>
    <x v="234"/>
    <x v="3780"/>
  </r>
  <r>
    <x v="1"/>
    <n v="941"/>
    <x v="1415"/>
    <x v="0"/>
    <s v="CM"/>
    <s v="N"/>
    <x v="427"/>
    <x v="41"/>
    <x v="448"/>
    <m/>
    <x v="59"/>
    <m/>
    <x v="3"/>
    <x v="0"/>
    <x v="289"/>
    <d v="2012-12-02T00:00:00"/>
    <x v="11"/>
    <x v="1"/>
    <s v="Competição Nacional"/>
    <m/>
    <x v="0"/>
    <x v="0"/>
    <m/>
    <x v="0"/>
    <x v="0"/>
    <x v="1425"/>
    <x v="3"/>
    <x v="0"/>
    <x v="1"/>
    <x v="289"/>
    <x v="3781"/>
  </r>
  <r>
    <x v="1"/>
    <n v="1522"/>
    <x v="1416"/>
    <x v="0"/>
    <s v="LM"/>
    <s v="S"/>
    <x v="348"/>
    <x v="46"/>
    <x v="309"/>
    <m/>
    <x v="174"/>
    <m/>
    <x v="1"/>
    <x v="0"/>
    <x v="326"/>
    <d v="2012-11-25T00:00:00"/>
    <x v="13"/>
    <x v="0"/>
    <m/>
    <s v="Secciones Paralelas: Pedro Costa"/>
    <x v="0"/>
    <x v="0"/>
    <m/>
    <x v="0"/>
    <x v="5"/>
    <x v="1426"/>
    <x v="1"/>
    <x v="0"/>
    <x v="0"/>
    <x v="326"/>
    <x v="3782"/>
  </r>
  <r>
    <x v="1"/>
    <n v="942"/>
    <x v="1417"/>
    <x v="0"/>
    <s v="CM"/>
    <s v="N"/>
    <x v="932"/>
    <x v="3"/>
    <x v="413"/>
    <m/>
    <x v="270"/>
    <m/>
    <x v="3"/>
    <x v="0"/>
    <x v="243"/>
    <d v="2012-06-03T00:00:00"/>
    <x v="7"/>
    <x v="1"/>
    <s v="Geral"/>
    <m/>
    <x v="47"/>
    <x v="0"/>
    <m/>
    <x v="1"/>
    <x v="0"/>
    <x v="1427"/>
    <x v="3"/>
    <x v="453"/>
    <x v="1"/>
    <x v="243"/>
    <x v="3783"/>
  </r>
  <r>
    <x v="1"/>
    <n v="942"/>
    <x v="1417"/>
    <x v="0"/>
    <s v="CM"/>
    <s v="N"/>
    <x v="932"/>
    <x v="3"/>
    <x v="662"/>
    <m/>
    <x v="23"/>
    <m/>
    <x v="3"/>
    <x v="0"/>
    <x v="264"/>
    <m/>
    <x v="7"/>
    <x v="1"/>
    <m/>
    <m/>
    <x v="0"/>
    <x v="1"/>
    <m/>
    <x v="0"/>
    <x v="0"/>
    <x v="1427"/>
    <x v="3"/>
    <x v="0"/>
    <x v="1"/>
    <x v="264"/>
    <x v="3784"/>
  </r>
  <r>
    <x v="1"/>
    <n v="942"/>
    <x v="1417"/>
    <x v="0"/>
    <s v="CM"/>
    <s v="N"/>
    <x v="932"/>
    <x v="3"/>
    <x v="502"/>
    <m/>
    <x v="24"/>
    <m/>
    <x v="3"/>
    <x v="0"/>
    <x v="350"/>
    <m/>
    <x v="14"/>
    <x v="1"/>
    <m/>
    <m/>
    <x v="0"/>
    <x v="1"/>
    <m/>
    <x v="0"/>
    <x v="0"/>
    <x v="1427"/>
    <x v="3"/>
    <x v="0"/>
    <x v="1"/>
    <x v="350"/>
    <x v="3785"/>
  </r>
  <r>
    <x v="1"/>
    <n v="943"/>
    <x v="650"/>
    <x v="2"/>
    <s v="CM"/>
    <s v="S"/>
    <x v="11"/>
    <x v="18"/>
    <x v="178"/>
    <m/>
    <x v="25"/>
    <m/>
    <x v="3"/>
    <x v="0"/>
    <x v="293"/>
    <d v="2012-07-08T00:00:00"/>
    <x v="8"/>
    <x v="0"/>
    <m/>
    <s v="Panorama Light&amp;Sound - Shortcutz"/>
    <x v="0"/>
    <x v="0"/>
    <m/>
    <x v="0"/>
    <x v="4"/>
    <x v="652"/>
    <x v="3"/>
    <x v="0"/>
    <x v="1"/>
    <x v="293"/>
    <x v="3786"/>
  </r>
  <r>
    <x v="1"/>
    <n v="944"/>
    <x v="651"/>
    <x v="1"/>
    <s v="LM"/>
    <s v=""/>
    <x v="348"/>
    <x v="2"/>
    <x v="709"/>
    <m/>
    <x v="65"/>
    <m/>
    <x v="9"/>
    <x v="0"/>
    <x v="303"/>
    <d v="2012-10-14T00:00:00"/>
    <x v="10"/>
    <x v="0"/>
    <m/>
    <s v="Cinéastes/Cinema of Our Time"/>
    <x v="0"/>
    <x v="0"/>
    <m/>
    <x v="0"/>
    <x v="1"/>
    <x v="653"/>
    <x v="9"/>
    <x v="0"/>
    <x v="0"/>
    <x v="303"/>
    <x v="3787"/>
  </r>
  <r>
    <x v="1"/>
    <n v="945"/>
    <x v="1418"/>
    <x v="0"/>
    <s v="CM"/>
    <s v="N"/>
    <x v="933"/>
    <x v="2"/>
    <x v="62"/>
    <m/>
    <x v="23"/>
    <m/>
    <x v="3"/>
    <x v="0"/>
    <x v="302"/>
    <d v="2012-03-04T00:00:00"/>
    <x v="19"/>
    <x v="1"/>
    <s v="Prémio de Cinema Português - Escolas de Cinema"/>
    <m/>
    <x v="0"/>
    <x v="0"/>
    <m/>
    <x v="0"/>
    <x v="0"/>
    <x v="1428"/>
    <x v="3"/>
    <x v="0"/>
    <x v="1"/>
    <x v="302"/>
    <x v="3788"/>
  </r>
  <r>
    <x v="1"/>
    <n v="945"/>
    <x v="1418"/>
    <x v="0"/>
    <s v="CM"/>
    <s v="N"/>
    <x v="933"/>
    <x v="2"/>
    <x v="767"/>
    <m/>
    <x v="65"/>
    <m/>
    <x v="9"/>
    <x v="0"/>
    <x v="301"/>
    <d v="2012-06-16T00:00:00"/>
    <x v="7"/>
    <x v="1"/>
    <s v="U-Can: Escola Artística Soares dos Reis"/>
    <m/>
    <x v="0"/>
    <x v="0"/>
    <m/>
    <x v="0"/>
    <x v="0"/>
    <x v="1428"/>
    <x v="9"/>
    <x v="0"/>
    <x v="0"/>
    <x v="301"/>
    <x v="3789"/>
  </r>
  <r>
    <x v="1"/>
    <n v="946"/>
    <x v="1419"/>
    <x v="1"/>
    <s v="CM"/>
    <s v="S"/>
    <x v="615"/>
    <x v="41"/>
    <x v="146"/>
    <m/>
    <x v="24"/>
    <m/>
    <x v="3"/>
    <x v="0"/>
    <x v="281"/>
    <d v="2012-05-06T00:00:00"/>
    <x v="4"/>
    <x v="1"/>
    <s v="Competição Nacional Curtas 5"/>
    <s v="Observatório Curtas 2"/>
    <x v="0"/>
    <x v="0"/>
    <m/>
    <x v="0"/>
    <x v="2"/>
    <x v="1429"/>
    <x v="3"/>
    <x v="0"/>
    <x v="1"/>
    <x v="281"/>
    <x v="3790"/>
  </r>
  <r>
    <x v="1"/>
    <n v="946"/>
    <x v="1419"/>
    <x v="1"/>
    <s v="CM"/>
    <s v="S"/>
    <x v="615"/>
    <x v="41"/>
    <x v="106"/>
    <m/>
    <x v="82"/>
    <m/>
    <x v="21"/>
    <x v="0"/>
    <x v="349"/>
    <d v="2012-09-23T00:00:00"/>
    <x v="9"/>
    <x v="0"/>
    <m/>
    <s v="Janela Aberta"/>
    <x v="0"/>
    <x v="0"/>
    <m/>
    <x v="0"/>
    <x v="2"/>
    <x v="1429"/>
    <x v="21"/>
    <x v="0"/>
    <x v="0"/>
    <x v="349"/>
    <x v="3791"/>
  </r>
  <r>
    <x v="1"/>
    <n v="946"/>
    <x v="1419"/>
    <x v="1"/>
    <s v="CM"/>
    <s v="S"/>
    <x v="615"/>
    <x v="41"/>
    <x v="133"/>
    <m/>
    <x v="101"/>
    <m/>
    <x v="3"/>
    <x v="0"/>
    <x v="331"/>
    <d v="2012-12-09T00:00:00"/>
    <x v="12"/>
    <x v="0"/>
    <m/>
    <s v="Sessões Especiais"/>
    <x v="0"/>
    <x v="0"/>
    <m/>
    <x v="0"/>
    <x v="2"/>
    <x v="1429"/>
    <x v="3"/>
    <x v="0"/>
    <x v="1"/>
    <x v="331"/>
    <x v="3792"/>
  </r>
  <r>
    <x v="1"/>
    <n v="946"/>
    <x v="1419"/>
    <x v="1"/>
    <s v="CM"/>
    <s v="S"/>
    <x v="615"/>
    <x v="41"/>
    <x v="46"/>
    <m/>
    <x v="24"/>
    <m/>
    <x v="3"/>
    <x v="0"/>
    <x v="231"/>
    <d v="2012-12-11T00:00:00"/>
    <x v="12"/>
    <x v="1"/>
    <s v="Prémio de Cinema para Filmes sobre Arte"/>
    <m/>
    <x v="0"/>
    <x v="0"/>
    <m/>
    <x v="0"/>
    <x v="2"/>
    <x v="1429"/>
    <x v="3"/>
    <x v="0"/>
    <x v="1"/>
    <x v="231"/>
    <x v="3793"/>
  </r>
  <r>
    <x v="1"/>
    <n v="948"/>
    <x v="1420"/>
    <x v="2"/>
    <s v="CM"/>
    <s v="S"/>
    <x v="934"/>
    <x v="41"/>
    <x v="68"/>
    <m/>
    <x v="53"/>
    <m/>
    <x v="3"/>
    <x v="0"/>
    <x v="253"/>
    <d v="2012-07-15T00:00:00"/>
    <x v="8"/>
    <x v="1"/>
    <s v="Competição Navional"/>
    <m/>
    <x v="0"/>
    <x v="0"/>
    <m/>
    <x v="0"/>
    <x v="4"/>
    <x v="1430"/>
    <x v="3"/>
    <x v="0"/>
    <x v="1"/>
    <x v="253"/>
    <x v="3794"/>
  </r>
  <r>
    <x v="1"/>
    <n v="948"/>
    <x v="1420"/>
    <x v="2"/>
    <s v="CM"/>
    <s v="S"/>
    <x v="934"/>
    <x v="41"/>
    <x v="22"/>
    <m/>
    <x v="22"/>
    <m/>
    <x v="3"/>
    <x v="0"/>
    <x v="251"/>
    <d v="2012-11-18T00:00:00"/>
    <x v="13"/>
    <x v="1"/>
    <s v="Secção Competitiva"/>
    <m/>
    <x v="97"/>
    <x v="0"/>
    <m/>
    <x v="1"/>
    <x v="4"/>
    <x v="1430"/>
    <x v="3"/>
    <x v="454"/>
    <x v="1"/>
    <x v="251"/>
    <x v="3795"/>
  </r>
  <r>
    <x v="1"/>
    <n v="948"/>
    <x v="1420"/>
    <x v="2"/>
    <s v="CM"/>
    <s v="S"/>
    <x v="934"/>
    <x v="41"/>
    <x v="27"/>
    <m/>
    <x v="25"/>
    <m/>
    <x v="3"/>
    <x v="0"/>
    <x v="307"/>
    <d v="2012-11-18T00:00:00"/>
    <x v="13"/>
    <x v="1"/>
    <s v="Competição Nacional: Prémio António Gaio"/>
    <m/>
    <x v="166"/>
    <x v="0"/>
    <m/>
    <x v="1"/>
    <x v="4"/>
    <x v="1430"/>
    <x v="3"/>
    <x v="455"/>
    <x v="1"/>
    <x v="307"/>
    <x v="3796"/>
  </r>
  <r>
    <x v="1"/>
    <n v="949"/>
    <x v="653"/>
    <x v="1"/>
    <s v="LM"/>
    <s v="S"/>
    <x v="25"/>
    <x v="13"/>
    <x v="55"/>
    <m/>
    <x v="45"/>
    <m/>
    <x v="3"/>
    <x v="0"/>
    <x v="322"/>
    <d v="2012-02-01T00:00:00"/>
    <x v="18"/>
    <x v="0"/>
    <m/>
    <s v="15º Programa: As Escolhas de Sérgio Tréfaut"/>
    <x v="0"/>
    <x v="1"/>
    <m/>
    <x v="0"/>
    <x v="1"/>
    <x v="655"/>
    <x v="3"/>
    <x v="0"/>
    <x v="1"/>
    <x v="322"/>
    <x v="3797"/>
  </r>
  <r>
    <x v="1"/>
    <n v="949"/>
    <x v="653"/>
    <x v="1"/>
    <s v="LM"/>
    <s v="S"/>
    <x v="25"/>
    <x v="13"/>
    <x v="768"/>
    <m/>
    <x v="62"/>
    <m/>
    <x v="3"/>
    <x v="0"/>
    <x v="475"/>
    <m/>
    <x v="5"/>
    <x v="0"/>
    <m/>
    <m/>
    <x v="0"/>
    <x v="1"/>
    <m/>
    <x v="0"/>
    <x v="1"/>
    <x v="655"/>
    <x v="3"/>
    <x v="0"/>
    <x v="1"/>
    <x v="475"/>
    <x v="3798"/>
  </r>
  <r>
    <x v="1"/>
    <n v="1482"/>
    <x v="1421"/>
    <x v="1"/>
    <s v="CM"/>
    <s v="S"/>
    <x v="870"/>
    <x v="0"/>
    <x v="88"/>
    <m/>
    <x v="67"/>
    <m/>
    <x v="3"/>
    <x v="0"/>
    <x v="262"/>
    <d v="2012-10-13T00:00:00"/>
    <x v="14"/>
    <x v="0"/>
    <m/>
    <s v="António Escudeiro: Um Eco-Cineasta"/>
    <x v="0"/>
    <x v="0"/>
    <m/>
    <x v="0"/>
    <x v="2"/>
    <x v="1431"/>
    <x v="3"/>
    <x v="0"/>
    <x v="1"/>
    <x v="262"/>
    <x v="3799"/>
  </r>
  <r>
    <x v="1"/>
    <n v="1648"/>
    <x v="1422"/>
    <x v="1"/>
    <s v="LM"/>
    <s v="N"/>
    <x v="935"/>
    <x v="15"/>
    <x v="557"/>
    <m/>
    <x v="20"/>
    <m/>
    <x v="5"/>
    <x v="0"/>
    <x v="374"/>
    <d v="2012-11-17T00:00:00"/>
    <x v="0"/>
    <x v="0"/>
    <m/>
    <m/>
    <x v="0"/>
    <x v="1"/>
    <m/>
    <x v="0"/>
    <x v="1"/>
    <x v="1432"/>
    <x v="5"/>
    <x v="0"/>
    <x v="0"/>
    <x v="374"/>
    <x v="3800"/>
  </r>
  <r>
    <x v="1"/>
    <n v="1598"/>
    <x v="1423"/>
    <x v="0"/>
    <s v="CM"/>
    <s v="N"/>
    <x v="600"/>
    <x v="41"/>
    <x v="630"/>
    <m/>
    <x v="339"/>
    <m/>
    <x v="3"/>
    <x v="0"/>
    <x v="341"/>
    <d v="2012-11-03T00:00:00"/>
    <x v="13"/>
    <x v="1"/>
    <s v="Geral"/>
    <m/>
    <x v="0"/>
    <x v="1"/>
    <m/>
    <x v="0"/>
    <x v="0"/>
    <x v="1433"/>
    <x v="3"/>
    <x v="0"/>
    <x v="1"/>
    <x v="341"/>
    <x v="3801"/>
  </r>
  <r>
    <x v="1"/>
    <n v="1598"/>
    <x v="1423"/>
    <x v="0"/>
    <s v="CM"/>
    <s v="N"/>
    <x v="600"/>
    <x v="41"/>
    <x v="22"/>
    <m/>
    <x v="22"/>
    <m/>
    <x v="3"/>
    <x v="0"/>
    <x v="251"/>
    <d v="2012-11-18T00:00:00"/>
    <x v="13"/>
    <x v="1"/>
    <s v="Ensaios Visuais"/>
    <m/>
    <x v="0"/>
    <x v="0"/>
    <m/>
    <x v="0"/>
    <x v="0"/>
    <x v="1433"/>
    <x v="3"/>
    <x v="0"/>
    <x v="1"/>
    <x v="251"/>
    <x v="3802"/>
  </r>
  <r>
    <x v="1"/>
    <n v="180"/>
    <x v="1424"/>
    <x v="3"/>
    <s v="CM"/>
    <s v="N"/>
    <x v="936"/>
    <x v="0"/>
    <x v="408"/>
    <m/>
    <x v="266"/>
    <m/>
    <x v="2"/>
    <x v="0"/>
    <x v="238"/>
    <d v="2012-08-25T00:00:00"/>
    <x v="16"/>
    <x v="0"/>
    <m/>
    <s v="Route du Doc: Portugal"/>
    <x v="0"/>
    <x v="1"/>
    <m/>
    <x v="0"/>
    <x v="6"/>
    <x v="1434"/>
    <x v="2"/>
    <x v="0"/>
    <x v="0"/>
    <x v="238"/>
    <x v="3803"/>
  </r>
  <r>
    <x v="1"/>
    <n v="1384"/>
    <x v="1425"/>
    <x v="1"/>
    <s v="CM"/>
    <s v="N"/>
    <x v="937"/>
    <x v="41"/>
    <x v="88"/>
    <m/>
    <x v="67"/>
    <m/>
    <x v="3"/>
    <x v="0"/>
    <x v="262"/>
    <d v="2012-10-13T00:00:00"/>
    <x v="14"/>
    <x v="1"/>
    <s v="Competição Lusófona - Curtas Metragens"/>
    <m/>
    <x v="0"/>
    <x v="0"/>
    <m/>
    <x v="0"/>
    <x v="2"/>
    <x v="1435"/>
    <x v="3"/>
    <x v="0"/>
    <x v="1"/>
    <x v="262"/>
    <x v="3804"/>
  </r>
  <r>
    <x v="1"/>
    <n v="1384"/>
    <x v="1425"/>
    <x v="1"/>
    <s v="CM"/>
    <s v="N"/>
    <x v="937"/>
    <x v="41"/>
    <x v="25"/>
    <m/>
    <x v="24"/>
    <m/>
    <x v="3"/>
    <x v="0"/>
    <x v="294"/>
    <d v="2012-10-28T00:00:00"/>
    <x v="14"/>
    <x v="0"/>
    <m/>
    <s v="Verdes Anos"/>
    <x v="0"/>
    <x v="0"/>
    <m/>
    <x v="0"/>
    <x v="2"/>
    <x v="1435"/>
    <x v="3"/>
    <x v="0"/>
    <x v="1"/>
    <x v="294"/>
    <x v="3805"/>
  </r>
  <r>
    <x v="1"/>
    <n v="953"/>
    <x v="1426"/>
    <x v="0"/>
    <s v="LM"/>
    <s v="S"/>
    <x v="430"/>
    <x v="2"/>
    <x v="769"/>
    <m/>
    <x v="24"/>
    <m/>
    <x v="3"/>
    <x v="0"/>
    <x v="476"/>
    <m/>
    <x v="1"/>
    <x v="0"/>
    <m/>
    <m/>
    <x v="0"/>
    <x v="1"/>
    <m/>
    <x v="0"/>
    <x v="5"/>
    <x v="1436"/>
    <x v="3"/>
    <x v="0"/>
    <x v="1"/>
    <x v="476"/>
    <x v="3806"/>
  </r>
  <r>
    <x v="1"/>
    <n v="954"/>
    <x v="657"/>
    <x v="0"/>
    <s v="CM"/>
    <s v="N"/>
    <x v="45"/>
    <x v="2"/>
    <x v="521"/>
    <m/>
    <x v="65"/>
    <m/>
    <x v="9"/>
    <x v="0"/>
    <x v="361"/>
    <d v="2012-01-15T00:00:00"/>
    <x v="15"/>
    <x v="0"/>
    <m/>
    <m/>
    <x v="0"/>
    <x v="1"/>
    <m/>
    <x v="0"/>
    <x v="0"/>
    <x v="659"/>
    <x v="9"/>
    <x v="0"/>
    <x v="0"/>
    <x v="361"/>
    <x v="3807"/>
  </r>
  <r>
    <x v="1"/>
    <n v="954"/>
    <x v="657"/>
    <x v="0"/>
    <s v="CM"/>
    <s v="N"/>
    <x v="45"/>
    <x v="2"/>
    <x v="90"/>
    <m/>
    <x v="69"/>
    <m/>
    <x v="8"/>
    <x v="0"/>
    <x v="273"/>
    <d v="2012-02-05T00:00:00"/>
    <x v="18"/>
    <x v="0"/>
    <m/>
    <s v="Spectrum Shorts - Dig!Dig!!Dig!"/>
    <x v="0"/>
    <x v="0"/>
    <m/>
    <x v="0"/>
    <x v="0"/>
    <x v="659"/>
    <x v="8"/>
    <x v="0"/>
    <x v="0"/>
    <x v="273"/>
    <x v="3808"/>
  </r>
  <r>
    <x v="1"/>
    <n v="954"/>
    <x v="657"/>
    <x v="0"/>
    <s v="CM"/>
    <s v="N"/>
    <x v="45"/>
    <x v="2"/>
    <x v="553"/>
    <m/>
    <x v="17"/>
    <m/>
    <x v="2"/>
    <x v="0"/>
    <x v="352"/>
    <d v="2012-02-12T00:00:00"/>
    <x v="18"/>
    <x v="0"/>
    <m/>
    <s v="Focus: Les Artistes - Gabriel Abrantes"/>
    <x v="0"/>
    <x v="0"/>
    <m/>
    <x v="0"/>
    <x v="0"/>
    <x v="659"/>
    <x v="2"/>
    <x v="0"/>
    <x v="0"/>
    <x v="352"/>
    <x v="3809"/>
  </r>
  <r>
    <x v="1"/>
    <n v="954"/>
    <x v="657"/>
    <x v="0"/>
    <s v="CM"/>
    <s v="N"/>
    <x v="45"/>
    <x v="2"/>
    <x v="91"/>
    <m/>
    <x v="70"/>
    <m/>
    <x v="18"/>
    <x v="0"/>
    <x v="362"/>
    <d v="2012-04-26T00:00:00"/>
    <x v="5"/>
    <x v="0"/>
    <m/>
    <s v="Cinemascape: World Cinema Shorts"/>
    <x v="0"/>
    <x v="0"/>
    <m/>
    <x v="0"/>
    <x v="0"/>
    <x v="659"/>
    <x v="18"/>
    <x v="0"/>
    <x v="0"/>
    <x v="362"/>
    <x v="3810"/>
  </r>
  <r>
    <x v="1"/>
    <n v="954"/>
    <x v="657"/>
    <x v="0"/>
    <s v="CM"/>
    <s v="N"/>
    <x v="45"/>
    <x v="2"/>
    <x v="403"/>
    <m/>
    <x v="263"/>
    <m/>
    <x v="2"/>
    <x v="0"/>
    <x v="232"/>
    <d v="2012-04-15T00:00:00"/>
    <x v="5"/>
    <x v="1"/>
    <s v="Compétition Européenne"/>
    <m/>
    <x v="0"/>
    <x v="0"/>
    <m/>
    <x v="0"/>
    <x v="0"/>
    <x v="659"/>
    <x v="2"/>
    <x v="0"/>
    <x v="0"/>
    <x v="232"/>
    <x v="3811"/>
  </r>
  <r>
    <x v="1"/>
    <n v="954"/>
    <x v="657"/>
    <x v="0"/>
    <s v="CM"/>
    <s v="N"/>
    <x v="45"/>
    <x v="2"/>
    <x v="522"/>
    <m/>
    <x v="165"/>
    <m/>
    <x v="4"/>
    <x v="0"/>
    <x v="363"/>
    <d v="2012-04-22T00:00:00"/>
    <x v="5"/>
    <x v="0"/>
    <m/>
    <s v="Adolescencias"/>
    <x v="0"/>
    <x v="0"/>
    <m/>
    <x v="0"/>
    <x v="0"/>
    <x v="659"/>
    <x v="4"/>
    <x v="0"/>
    <x v="0"/>
    <x v="363"/>
    <x v="3812"/>
  </r>
  <r>
    <x v="1"/>
    <n v="954"/>
    <x v="657"/>
    <x v="0"/>
    <s v="CM"/>
    <s v="N"/>
    <x v="45"/>
    <x v="2"/>
    <x v="574"/>
    <m/>
    <x v="322"/>
    <m/>
    <x v="9"/>
    <x v="0"/>
    <x v="358"/>
    <d v="2012-05-03T00:00:00"/>
    <x v="4"/>
    <x v="1"/>
    <s v="New Directors"/>
    <m/>
    <x v="0"/>
    <x v="0"/>
    <m/>
    <x v="0"/>
    <x v="0"/>
    <x v="659"/>
    <x v="9"/>
    <x v="0"/>
    <x v="0"/>
    <x v="358"/>
    <x v="3813"/>
  </r>
  <r>
    <x v="1"/>
    <n v="954"/>
    <x v="657"/>
    <x v="0"/>
    <s v="CM"/>
    <s v="N"/>
    <x v="45"/>
    <x v="2"/>
    <x v="146"/>
    <m/>
    <x v="24"/>
    <m/>
    <x v="3"/>
    <x v="0"/>
    <x v="281"/>
    <d v="2012-05-06T00:00:00"/>
    <x v="4"/>
    <x v="1"/>
    <s v="Competição Nacional Curtas 4"/>
    <s v="Observatório Curtas 3"/>
    <x v="0"/>
    <x v="0"/>
    <m/>
    <x v="0"/>
    <x v="0"/>
    <x v="659"/>
    <x v="3"/>
    <x v="0"/>
    <x v="1"/>
    <x v="281"/>
    <x v="3814"/>
  </r>
  <r>
    <x v="1"/>
    <n v="954"/>
    <x v="657"/>
    <x v="0"/>
    <s v="CM"/>
    <s v="N"/>
    <x v="45"/>
    <x v="2"/>
    <x v="540"/>
    <m/>
    <x v="174"/>
    <m/>
    <x v="1"/>
    <x v="0"/>
    <x v="368"/>
    <d v="2012-06-12T00:00:00"/>
    <x v="7"/>
    <x v="0"/>
    <m/>
    <m/>
    <x v="0"/>
    <x v="1"/>
    <m/>
    <x v="0"/>
    <x v="0"/>
    <x v="659"/>
    <x v="1"/>
    <x v="0"/>
    <x v="0"/>
    <x v="368"/>
    <x v="3815"/>
  </r>
  <r>
    <x v="1"/>
    <n v="954"/>
    <x v="657"/>
    <x v="0"/>
    <s v="CM"/>
    <s v="N"/>
    <x v="45"/>
    <x v="2"/>
    <x v="770"/>
    <m/>
    <x v="94"/>
    <m/>
    <x v="6"/>
    <x v="0"/>
    <x v="477"/>
    <d v="2012-08-19T00:00:00"/>
    <x v="16"/>
    <x v="0"/>
    <m/>
    <s v="Telescope: Visions from the EU"/>
    <x v="0"/>
    <x v="0"/>
    <m/>
    <x v="0"/>
    <x v="0"/>
    <x v="659"/>
    <x v="6"/>
    <x v="0"/>
    <x v="0"/>
    <x v="477"/>
    <x v="3816"/>
  </r>
  <r>
    <x v="1"/>
    <n v="954"/>
    <x v="657"/>
    <x v="0"/>
    <s v="CM"/>
    <s v="N"/>
    <x v="45"/>
    <x v="2"/>
    <x v="491"/>
    <m/>
    <x v="299"/>
    <m/>
    <x v="61"/>
    <x v="0"/>
    <x v="336"/>
    <d v="2012-10-07T00:00:00"/>
    <x v="14"/>
    <x v="0"/>
    <m/>
    <s v="Muestras: Nuevos Caminos"/>
    <x v="0"/>
    <x v="0"/>
    <m/>
    <x v="0"/>
    <x v="0"/>
    <x v="659"/>
    <x v="61"/>
    <x v="0"/>
    <x v="0"/>
    <x v="336"/>
    <x v="3817"/>
  </r>
  <r>
    <x v="1"/>
    <n v="954"/>
    <x v="657"/>
    <x v="0"/>
    <s v="CM"/>
    <s v="N"/>
    <x v="45"/>
    <x v="2"/>
    <x v="444"/>
    <m/>
    <x v="283"/>
    <m/>
    <x v="3"/>
    <x v="0"/>
    <x v="285"/>
    <d v="2012-10-17T00:00:00"/>
    <x v="14"/>
    <x v="0"/>
    <m/>
    <m/>
    <x v="0"/>
    <x v="1"/>
    <m/>
    <x v="0"/>
    <x v="0"/>
    <x v="659"/>
    <x v="3"/>
    <x v="0"/>
    <x v="1"/>
    <x v="285"/>
    <x v="3818"/>
  </r>
  <r>
    <x v="1"/>
    <n v="955"/>
    <x v="1427"/>
    <x v="0"/>
    <s v="LM"/>
    <s v="S"/>
    <x v="20"/>
    <x v="2"/>
    <x v="707"/>
    <m/>
    <x v="22"/>
    <m/>
    <x v="3"/>
    <x v="0"/>
    <x v="259"/>
    <d v="2012-03-28T00:00:00"/>
    <x v="2"/>
    <x v="0"/>
    <m/>
    <m/>
    <x v="0"/>
    <x v="1"/>
    <m/>
    <x v="0"/>
    <x v="5"/>
    <x v="1437"/>
    <x v="3"/>
    <x v="0"/>
    <x v="1"/>
    <x v="259"/>
    <x v="3819"/>
  </r>
  <r>
    <x v="1"/>
    <n v="955"/>
    <x v="1427"/>
    <x v="0"/>
    <s v="LM"/>
    <s v="S"/>
    <x v="20"/>
    <x v="2"/>
    <x v="407"/>
    <m/>
    <x v="154"/>
    <m/>
    <x v="0"/>
    <x v="0"/>
    <x v="237"/>
    <d v="2012-07-08T00:00:00"/>
    <x v="17"/>
    <x v="0"/>
    <m/>
    <m/>
    <x v="0"/>
    <x v="1"/>
    <m/>
    <x v="0"/>
    <x v="5"/>
    <x v="1437"/>
    <x v="0"/>
    <x v="0"/>
    <x v="0"/>
    <x v="237"/>
    <x v="3820"/>
  </r>
  <r>
    <x v="1"/>
    <n v="1284"/>
    <x v="1428"/>
    <x v="1"/>
    <s v="CM"/>
    <s v=""/>
    <x v="938"/>
    <x v="2"/>
    <x v="192"/>
    <m/>
    <x v="140"/>
    <m/>
    <x v="3"/>
    <x v="0"/>
    <x v="250"/>
    <d v="2012-07-29T00:00:00"/>
    <x v="8"/>
    <x v="1"/>
    <s v="Competição AVANCA"/>
    <m/>
    <x v="0"/>
    <x v="0"/>
    <m/>
    <x v="0"/>
    <x v="2"/>
    <x v="1438"/>
    <x v="3"/>
    <x v="0"/>
    <x v="1"/>
    <x v="250"/>
    <x v="3821"/>
  </r>
  <r>
    <x v="1"/>
    <n v="1284"/>
    <x v="1428"/>
    <x v="1"/>
    <s v="CM"/>
    <s v=""/>
    <x v="938"/>
    <x v="2"/>
    <x v="489"/>
    <m/>
    <x v="297"/>
    <m/>
    <x v="3"/>
    <x v="0"/>
    <x v="267"/>
    <d v="2012-11-17T00:00:00"/>
    <x v="13"/>
    <x v="1"/>
    <s v="Memórias, Gestos e Espaços"/>
    <m/>
    <x v="0"/>
    <x v="0"/>
    <m/>
    <x v="0"/>
    <x v="2"/>
    <x v="1438"/>
    <x v="3"/>
    <x v="0"/>
    <x v="1"/>
    <x v="267"/>
    <x v="3822"/>
  </r>
  <r>
    <x v="1"/>
    <n v="1469"/>
    <x v="1429"/>
    <x v="1"/>
    <s v="CM"/>
    <s v="N"/>
    <x v="939"/>
    <x v="41"/>
    <x v="520"/>
    <m/>
    <x v="46"/>
    <m/>
    <x v="3"/>
    <x v="0"/>
    <x v="297"/>
    <d v="2012-10-27T00:00:00"/>
    <x v="14"/>
    <x v="1"/>
    <s v="Documentário/Reportagem"/>
    <m/>
    <x v="374"/>
    <x v="0"/>
    <m/>
    <x v="1"/>
    <x v="2"/>
    <x v="1439"/>
    <x v="3"/>
    <x v="456"/>
    <x v="1"/>
    <x v="297"/>
    <x v="3823"/>
  </r>
  <r>
    <x v="1"/>
    <n v="957"/>
    <x v="1430"/>
    <x v="0"/>
    <s v="CM"/>
    <s v="N"/>
    <x v="940"/>
    <x v="1"/>
    <x v="565"/>
    <m/>
    <x v="320"/>
    <m/>
    <x v="5"/>
    <x v="0"/>
    <x v="372"/>
    <d v="2012-03-25T00:00:00"/>
    <x v="2"/>
    <x v="1"/>
    <s v="Schockblock 6"/>
    <m/>
    <x v="0"/>
    <x v="0"/>
    <m/>
    <x v="0"/>
    <x v="0"/>
    <x v="1440"/>
    <x v="5"/>
    <x v="0"/>
    <x v="0"/>
    <x v="372"/>
    <x v="3824"/>
  </r>
  <r>
    <x v="1"/>
    <n v="959"/>
    <x v="1431"/>
    <x v="1"/>
    <s v="CM"/>
    <s v="N"/>
    <x v="941"/>
    <x v="2"/>
    <x v="413"/>
    <m/>
    <x v="270"/>
    <m/>
    <x v="3"/>
    <x v="0"/>
    <x v="243"/>
    <d v="2012-06-03T00:00:00"/>
    <x v="7"/>
    <x v="1"/>
    <s v="Universidades"/>
    <m/>
    <x v="0"/>
    <x v="0"/>
    <m/>
    <x v="0"/>
    <x v="2"/>
    <x v="1441"/>
    <x v="3"/>
    <x v="0"/>
    <x v="1"/>
    <x v="243"/>
    <x v="3825"/>
  </r>
  <r>
    <x v="1"/>
    <n v="1565"/>
    <x v="1432"/>
    <x v="1"/>
    <s v="CM"/>
    <s v="N"/>
    <x v="942"/>
    <x v="41"/>
    <x v="402"/>
    <m/>
    <x v="24"/>
    <m/>
    <x v="3"/>
    <x v="0"/>
    <x v="231"/>
    <d v="2012-12-09T00:00:00"/>
    <x v="12"/>
    <x v="1"/>
    <s v="Categoria Património Imaterial"/>
    <m/>
    <x v="0"/>
    <x v="1"/>
    <m/>
    <x v="0"/>
    <x v="2"/>
    <x v="1442"/>
    <x v="3"/>
    <x v="0"/>
    <x v="1"/>
    <x v="231"/>
    <x v="3826"/>
  </r>
  <r>
    <x v="1"/>
    <n v="1560"/>
    <x v="1433"/>
    <x v="0"/>
    <s v="CM"/>
    <s v="N"/>
    <x v="943"/>
    <x v="41"/>
    <x v="402"/>
    <m/>
    <x v="24"/>
    <m/>
    <x v="3"/>
    <x v="0"/>
    <x v="231"/>
    <d v="2012-12-09T00:00:00"/>
    <x v="12"/>
    <x v="1"/>
    <s v="Categoria Fundação INATEL e Prémio Jovem Realizador"/>
    <m/>
    <x v="375"/>
    <x v="1"/>
    <m/>
    <x v="1"/>
    <x v="0"/>
    <x v="1443"/>
    <x v="3"/>
    <x v="457"/>
    <x v="1"/>
    <x v="231"/>
    <x v="3827"/>
  </r>
  <r>
    <x v="1"/>
    <n v="1540"/>
    <x v="1434"/>
    <x v="0"/>
    <s v="CM"/>
    <s v="S"/>
    <x v="401"/>
    <x v="46"/>
    <x v="80"/>
    <m/>
    <x v="60"/>
    <m/>
    <x v="3"/>
    <x v="0"/>
    <x v="251"/>
    <d v="2012-11-18T00:00:00"/>
    <x v="13"/>
    <x v="0"/>
    <m/>
    <s v="Homenagens: João Pedro Rodrigues e João Rui Guerra da Mata"/>
    <x v="0"/>
    <x v="0"/>
    <m/>
    <x v="0"/>
    <x v="0"/>
    <x v="1444"/>
    <x v="3"/>
    <x v="0"/>
    <x v="1"/>
    <x v="251"/>
    <x v="3828"/>
  </r>
  <r>
    <x v="1"/>
    <n v="960"/>
    <x v="1435"/>
    <x v="2"/>
    <s v="CM"/>
    <s v="N"/>
    <x v="944"/>
    <x v="2"/>
    <x v="413"/>
    <m/>
    <x v="270"/>
    <m/>
    <x v="3"/>
    <x v="0"/>
    <x v="243"/>
    <d v="2012-06-03T00:00:00"/>
    <x v="7"/>
    <x v="1"/>
    <s v="Universidades"/>
    <m/>
    <x v="0"/>
    <x v="0"/>
    <m/>
    <x v="0"/>
    <x v="4"/>
    <x v="1445"/>
    <x v="3"/>
    <x v="0"/>
    <x v="1"/>
    <x v="243"/>
    <x v="3829"/>
  </r>
  <r>
    <x v="1"/>
    <n v="962"/>
    <x v="1436"/>
    <x v="1"/>
    <s v="CM"/>
    <s v="N"/>
    <x v="945"/>
    <x v="2"/>
    <x v="481"/>
    <m/>
    <x v="24"/>
    <m/>
    <x v="3"/>
    <x v="0"/>
    <x v="320"/>
    <m/>
    <x v="5"/>
    <x v="0"/>
    <m/>
    <m/>
    <x v="0"/>
    <x v="1"/>
    <m/>
    <x v="0"/>
    <x v="2"/>
    <x v="1446"/>
    <x v="3"/>
    <x v="0"/>
    <x v="1"/>
    <x v="320"/>
    <x v="3830"/>
  </r>
  <r>
    <x v="1"/>
    <n v="963"/>
    <x v="661"/>
    <x v="0"/>
    <s v="CM"/>
    <s v="S"/>
    <x v="235"/>
    <x v="27"/>
    <x v="162"/>
    <m/>
    <x v="124"/>
    <m/>
    <x v="3"/>
    <x v="0"/>
    <x v="252"/>
    <m/>
    <x v="14"/>
    <x v="0"/>
    <m/>
    <m/>
    <x v="0"/>
    <x v="1"/>
    <m/>
    <x v="0"/>
    <x v="0"/>
    <x v="663"/>
    <x v="3"/>
    <x v="0"/>
    <x v="1"/>
    <x v="252"/>
    <x v="3831"/>
  </r>
  <r>
    <x v="1"/>
    <n v="965"/>
    <x v="663"/>
    <x v="0"/>
    <s v="CM"/>
    <s v="N"/>
    <x v="477"/>
    <x v="5"/>
    <x v="711"/>
    <m/>
    <x v="24"/>
    <m/>
    <x v="3"/>
    <x v="0"/>
    <x v="326"/>
    <m/>
    <x v="13"/>
    <x v="1"/>
    <m/>
    <m/>
    <x v="0"/>
    <x v="1"/>
    <m/>
    <x v="0"/>
    <x v="0"/>
    <x v="665"/>
    <x v="3"/>
    <x v="0"/>
    <x v="1"/>
    <x v="326"/>
    <x v="3832"/>
  </r>
  <r>
    <x v="1"/>
    <n v="1350"/>
    <x v="1437"/>
    <x v="0"/>
    <s v="CM"/>
    <s v="N"/>
    <x v="946"/>
    <x v="2"/>
    <x v="434"/>
    <m/>
    <x v="279"/>
    <m/>
    <x v="3"/>
    <x v="0"/>
    <x v="266"/>
    <d v="2012-09-30T00:00:00"/>
    <x v="9"/>
    <x v="1"/>
    <s v="Competição Regional"/>
    <m/>
    <x v="376"/>
    <x v="0"/>
    <m/>
    <x v="1"/>
    <x v="0"/>
    <x v="1447"/>
    <x v="3"/>
    <x v="458"/>
    <x v="1"/>
    <x v="266"/>
    <x v="3833"/>
  </r>
  <r>
    <x v="1"/>
    <n v="1394"/>
    <x v="1438"/>
    <x v="0"/>
    <s v="CM"/>
    <s v=""/>
    <x v="461"/>
    <x v="42"/>
    <x v="162"/>
    <m/>
    <x v="124"/>
    <m/>
    <x v="3"/>
    <x v="0"/>
    <x v="417"/>
    <m/>
    <x v="9"/>
    <x v="0"/>
    <m/>
    <m/>
    <x v="0"/>
    <x v="1"/>
    <m/>
    <x v="0"/>
    <x v="0"/>
    <x v="1448"/>
    <x v="3"/>
    <x v="0"/>
    <x v="1"/>
    <x v="417"/>
    <x v="3834"/>
  </r>
  <r>
    <x v="1"/>
    <n v="969"/>
    <x v="667"/>
    <x v="2"/>
    <s v="CM"/>
    <s v="S"/>
    <x v="73"/>
    <x v="1"/>
    <x v="427"/>
    <m/>
    <x v="275"/>
    <m/>
    <x v="65"/>
    <x v="0"/>
    <x v="259"/>
    <d v="2012-03-11T00:00:00"/>
    <x v="2"/>
    <x v="0"/>
    <m/>
    <m/>
    <x v="0"/>
    <x v="0"/>
    <m/>
    <x v="0"/>
    <x v="4"/>
    <x v="669"/>
    <x v="65"/>
    <x v="0"/>
    <x v="0"/>
    <x v="259"/>
    <x v="3835"/>
  </r>
  <r>
    <x v="1"/>
    <n v="969"/>
    <x v="667"/>
    <x v="2"/>
    <s v="CM"/>
    <s v="S"/>
    <x v="73"/>
    <x v="1"/>
    <x v="428"/>
    <m/>
    <x v="24"/>
    <m/>
    <x v="3"/>
    <x v="0"/>
    <x v="260"/>
    <d v="2012-04-19T00:00:00"/>
    <x v="5"/>
    <x v="0"/>
    <m/>
    <m/>
    <x v="0"/>
    <x v="1"/>
    <m/>
    <x v="0"/>
    <x v="4"/>
    <x v="669"/>
    <x v="3"/>
    <x v="0"/>
    <x v="1"/>
    <x v="260"/>
    <x v="3836"/>
  </r>
  <r>
    <x v="1"/>
    <n v="1297"/>
    <x v="1439"/>
    <x v="0"/>
    <s v="CM"/>
    <s v="N"/>
    <x v="947"/>
    <x v="2"/>
    <x v="445"/>
    <m/>
    <x v="284"/>
    <m/>
    <x v="3"/>
    <x v="0"/>
    <x v="286"/>
    <d v="2012-09-08T00:00:00"/>
    <x v="9"/>
    <x v="1"/>
    <m/>
    <m/>
    <x v="0"/>
    <x v="0"/>
    <m/>
    <x v="0"/>
    <x v="0"/>
    <x v="1449"/>
    <x v="3"/>
    <x v="0"/>
    <x v="1"/>
    <x v="286"/>
    <x v="3837"/>
  </r>
  <r>
    <x v="1"/>
    <n v="970"/>
    <x v="1440"/>
    <x v="0"/>
    <s v="CM"/>
    <s v="S"/>
    <x v="394"/>
    <x v="9"/>
    <x v="337"/>
    <m/>
    <x v="37"/>
    <m/>
    <x v="3"/>
    <x v="0"/>
    <x v="409"/>
    <m/>
    <x v="1"/>
    <x v="0"/>
    <m/>
    <m/>
    <x v="0"/>
    <x v="1"/>
    <m/>
    <x v="0"/>
    <x v="0"/>
    <x v="1450"/>
    <x v="3"/>
    <x v="0"/>
    <x v="1"/>
    <x v="409"/>
    <x v="3838"/>
  </r>
  <r>
    <x v="1"/>
    <n v="1989"/>
    <x v="1441"/>
    <x v="1"/>
    <s v="CM"/>
    <s v="N"/>
    <x v="95"/>
    <x v="3"/>
    <x v="46"/>
    <m/>
    <x v="24"/>
    <m/>
    <x v="3"/>
    <x v="0"/>
    <x v="231"/>
    <d v="2012-12-11T00:00:00"/>
    <x v="12"/>
    <x v="1"/>
    <s v="Prémio de Cinema para Filmes sobre Arte"/>
    <m/>
    <x v="0"/>
    <x v="0"/>
    <m/>
    <x v="0"/>
    <x v="2"/>
    <x v="1451"/>
    <x v="3"/>
    <x v="0"/>
    <x v="1"/>
    <x v="231"/>
    <x v="3839"/>
  </r>
  <r>
    <x v="1"/>
    <n v="972"/>
    <x v="1442"/>
    <x v="1"/>
    <s v="CM"/>
    <s v=""/>
    <x v="948"/>
    <x v="2"/>
    <x v="519"/>
    <m/>
    <x v="24"/>
    <m/>
    <x v="3"/>
    <x v="0"/>
    <x v="319"/>
    <d v="2012-04-21T00:00:00"/>
    <x v="5"/>
    <x v="0"/>
    <m/>
    <m/>
    <x v="0"/>
    <x v="1"/>
    <m/>
    <x v="0"/>
    <x v="2"/>
    <x v="1452"/>
    <x v="3"/>
    <x v="0"/>
    <x v="1"/>
    <x v="319"/>
    <x v="3840"/>
  </r>
  <r>
    <x v="1"/>
    <n v="973"/>
    <x v="1443"/>
    <x v="1"/>
    <s v="CM"/>
    <s v="N"/>
    <x v="949"/>
    <x v="41"/>
    <x v="432"/>
    <m/>
    <x v="39"/>
    <m/>
    <x v="3"/>
    <x v="0"/>
    <x v="265"/>
    <d v="2012-04-21T00:00:00"/>
    <x v="5"/>
    <x v="1"/>
    <s v="Competição Regional"/>
    <m/>
    <x v="377"/>
    <x v="0"/>
    <m/>
    <x v="1"/>
    <x v="2"/>
    <x v="1453"/>
    <x v="3"/>
    <x v="459"/>
    <x v="1"/>
    <x v="265"/>
    <x v="3841"/>
  </r>
  <r>
    <x v="1"/>
    <n v="973"/>
    <x v="1443"/>
    <x v="1"/>
    <s v="CM"/>
    <s v="N"/>
    <x v="949"/>
    <x v="41"/>
    <x v="433"/>
    <m/>
    <x v="278"/>
    <m/>
    <x v="3"/>
    <x v="0"/>
    <x v="242"/>
    <d v="2012-06-03T00:00:00"/>
    <x v="7"/>
    <x v="0"/>
    <m/>
    <m/>
    <x v="0"/>
    <x v="3"/>
    <m/>
    <x v="0"/>
    <x v="2"/>
    <x v="1453"/>
    <x v="3"/>
    <x v="0"/>
    <x v="1"/>
    <x v="242"/>
    <x v="3842"/>
  </r>
  <r>
    <x v="1"/>
    <n v="974"/>
    <x v="669"/>
    <x v="0"/>
    <s v="CM"/>
    <s v="S"/>
    <x v="316"/>
    <x v="13"/>
    <x v="753"/>
    <m/>
    <x v="376"/>
    <m/>
    <x v="3"/>
    <x v="0"/>
    <x v="344"/>
    <d v="2012-03-04T00:00:00"/>
    <x v="2"/>
    <x v="0"/>
    <m/>
    <m/>
    <x v="0"/>
    <x v="1"/>
    <m/>
    <x v="0"/>
    <x v="0"/>
    <x v="671"/>
    <x v="3"/>
    <x v="0"/>
    <x v="1"/>
    <x v="344"/>
    <x v="3843"/>
  </r>
  <r>
    <x v="1"/>
    <n v="975"/>
    <x v="1444"/>
    <x v="1"/>
    <s v="CM"/>
    <s v="N"/>
    <x v="733"/>
    <x v="1"/>
    <x v="771"/>
    <m/>
    <x v="349"/>
    <m/>
    <x v="3"/>
    <x v="0"/>
    <x v="394"/>
    <m/>
    <x v="2"/>
    <x v="0"/>
    <m/>
    <m/>
    <x v="0"/>
    <x v="1"/>
    <m/>
    <x v="0"/>
    <x v="2"/>
    <x v="1454"/>
    <x v="3"/>
    <x v="0"/>
    <x v="1"/>
    <x v="394"/>
    <x v="3844"/>
  </r>
  <r>
    <x v="1"/>
    <n v="976"/>
    <x v="670"/>
    <x v="0"/>
    <s v="CM"/>
    <s v="N"/>
    <x v="482"/>
    <x v="3"/>
    <x v="62"/>
    <m/>
    <x v="23"/>
    <m/>
    <x v="3"/>
    <x v="0"/>
    <x v="302"/>
    <d v="2012-03-04T00:00:00"/>
    <x v="19"/>
    <x v="0"/>
    <m/>
    <s v="Panorama do Cinema Português - Agência da Curta Metragem"/>
    <x v="0"/>
    <x v="0"/>
    <m/>
    <x v="0"/>
    <x v="0"/>
    <x v="672"/>
    <x v="3"/>
    <x v="0"/>
    <x v="1"/>
    <x v="302"/>
    <x v="3845"/>
  </r>
  <r>
    <x v="1"/>
    <n v="976"/>
    <x v="670"/>
    <x v="0"/>
    <s v="CM"/>
    <s v="N"/>
    <x v="482"/>
    <x v="3"/>
    <x v="427"/>
    <m/>
    <x v="275"/>
    <m/>
    <x v="65"/>
    <x v="0"/>
    <x v="259"/>
    <d v="2012-03-11T00:00:00"/>
    <x v="2"/>
    <x v="0"/>
    <m/>
    <s v="Portugal1"/>
    <x v="0"/>
    <x v="0"/>
    <m/>
    <x v="0"/>
    <x v="0"/>
    <x v="672"/>
    <x v="65"/>
    <x v="0"/>
    <x v="0"/>
    <x v="259"/>
    <x v="3846"/>
  </r>
  <r>
    <x v="1"/>
    <n v="977"/>
    <x v="671"/>
    <x v="0"/>
    <s v="LM"/>
    <s v="S"/>
    <x v="374"/>
    <x v="20"/>
    <x v="55"/>
    <m/>
    <x v="45"/>
    <m/>
    <x v="3"/>
    <x v="0"/>
    <x v="244"/>
    <d v="2012-02-29T00:00:00"/>
    <x v="1"/>
    <x v="0"/>
    <m/>
    <s v="16º Programa: As Escolhas de Teresa Villaverde"/>
    <x v="0"/>
    <x v="1"/>
    <m/>
    <x v="0"/>
    <x v="5"/>
    <x v="673"/>
    <x v="3"/>
    <x v="0"/>
    <x v="1"/>
    <x v="244"/>
    <x v="3847"/>
  </r>
  <r>
    <x v="1"/>
    <n v="980"/>
    <x v="1445"/>
    <x v="0"/>
    <s v="LM"/>
    <s v="S"/>
    <x v="430"/>
    <x v="1"/>
    <x v="506"/>
    <m/>
    <x v="24"/>
    <m/>
    <x v="3"/>
    <x v="0"/>
    <x v="478"/>
    <m/>
    <x v="1"/>
    <x v="0"/>
    <m/>
    <m/>
    <x v="0"/>
    <x v="1"/>
    <m/>
    <x v="0"/>
    <x v="5"/>
    <x v="1455"/>
    <x v="3"/>
    <x v="0"/>
    <x v="1"/>
    <x v="478"/>
    <x v="3848"/>
  </r>
  <r>
    <x v="1"/>
    <n v="981"/>
    <x v="674"/>
    <x v="0"/>
    <s v="CM"/>
    <s v="N"/>
    <x v="298"/>
    <x v="5"/>
    <x v="63"/>
    <m/>
    <x v="24"/>
    <m/>
    <x v="3"/>
    <x v="0"/>
    <x v="274"/>
    <d v="2012-05-16T00:00:00"/>
    <x v="6"/>
    <x v="1"/>
    <s v="Competição Curtas Metragens"/>
    <m/>
    <x v="0"/>
    <x v="0"/>
    <m/>
    <x v="0"/>
    <x v="0"/>
    <x v="676"/>
    <x v="3"/>
    <x v="0"/>
    <x v="1"/>
    <x v="274"/>
    <x v="3849"/>
  </r>
  <r>
    <x v="1"/>
    <n v="981"/>
    <x v="674"/>
    <x v="0"/>
    <s v="CM"/>
    <s v="N"/>
    <x v="298"/>
    <x v="5"/>
    <x v="722"/>
    <m/>
    <x v="366"/>
    <m/>
    <x v="35"/>
    <x v="0"/>
    <x v="406"/>
    <d v="2012-06-16T00:00:00"/>
    <x v="7"/>
    <x v="1"/>
    <s v="Wettbewerb"/>
    <m/>
    <x v="0"/>
    <x v="0"/>
    <m/>
    <x v="0"/>
    <x v="0"/>
    <x v="676"/>
    <x v="35"/>
    <x v="0"/>
    <x v="0"/>
    <x v="406"/>
    <x v="3850"/>
  </r>
  <r>
    <x v="1"/>
    <n v="982"/>
    <x v="1446"/>
    <x v="0"/>
    <s v="LM"/>
    <s v="N"/>
    <x v="18"/>
    <x v="50"/>
    <x v="62"/>
    <m/>
    <x v="23"/>
    <m/>
    <x v="3"/>
    <x v="0"/>
    <x v="302"/>
    <d v="2012-03-04T00:00:00"/>
    <x v="19"/>
    <x v="0"/>
    <m/>
    <s v="Retrospectivas - António-Pedro Vasconcelos"/>
    <x v="0"/>
    <x v="0"/>
    <m/>
    <x v="0"/>
    <x v="5"/>
    <x v="1456"/>
    <x v="3"/>
    <x v="0"/>
    <x v="1"/>
    <x v="302"/>
    <x v="3851"/>
  </r>
  <r>
    <x v="1"/>
    <n v="983"/>
    <x v="1447"/>
    <x v="0"/>
    <s v="CM"/>
    <s v="N"/>
    <x v="950"/>
    <x v="2"/>
    <x v="626"/>
    <m/>
    <x v="338"/>
    <m/>
    <x v="3"/>
    <x v="0"/>
    <x v="404"/>
    <m/>
    <x v="2"/>
    <x v="1"/>
    <m/>
    <m/>
    <x v="378"/>
    <x v="0"/>
    <m/>
    <x v="1"/>
    <x v="0"/>
    <x v="1457"/>
    <x v="3"/>
    <x v="460"/>
    <x v="1"/>
    <x v="404"/>
    <x v="3852"/>
  </r>
  <r>
    <x v="1"/>
    <n v="983"/>
    <x v="1447"/>
    <x v="0"/>
    <s v="CM"/>
    <s v="N"/>
    <x v="950"/>
    <x v="2"/>
    <x v="764"/>
    <m/>
    <x v="23"/>
    <m/>
    <x v="3"/>
    <x v="0"/>
    <x v="313"/>
    <m/>
    <x v="5"/>
    <x v="1"/>
    <m/>
    <m/>
    <x v="0"/>
    <x v="1"/>
    <m/>
    <x v="0"/>
    <x v="0"/>
    <x v="1457"/>
    <x v="3"/>
    <x v="0"/>
    <x v="1"/>
    <x v="313"/>
    <x v="3853"/>
  </r>
  <r>
    <x v="1"/>
    <n v="983"/>
    <x v="1447"/>
    <x v="0"/>
    <s v="CM"/>
    <s v="N"/>
    <x v="950"/>
    <x v="2"/>
    <x v="412"/>
    <m/>
    <x v="269"/>
    <m/>
    <x v="3"/>
    <x v="0"/>
    <x v="242"/>
    <m/>
    <x v="7"/>
    <x v="1"/>
    <m/>
    <m/>
    <x v="297"/>
    <x v="0"/>
    <m/>
    <x v="1"/>
    <x v="0"/>
    <x v="1457"/>
    <x v="3"/>
    <x v="461"/>
    <x v="1"/>
    <x v="242"/>
    <x v="3854"/>
  </r>
  <r>
    <x v="1"/>
    <n v="983"/>
    <x v="1447"/>
    <x v="0"/>
    <s v="CM"/>
    <s v="N"/>
    <x v="950"/>
    <x v="2"/>
    <x v="600"/>
    <m/>
    <x v="11"/>
    <m/>
    <x v="3"/>
    <x v="0"/>
    <x v="236"/>
    <m/>
    <x v="7"/>
    <x v="1"/>
    <m/>
    <m/>
    <x v="0"/>
    <x v="1"/>
    <m/>
    <x v="0"/>
    <x v="0"/>
    <x v="1457"/>
    <x v="3"/>
    <x v="0"/>
    <x v="1"/>
    <x v="236"/>
    <x v="3855"/>
  </r>
  <r>
    <x v="1"/>
    <n v="983"/>
    <x v="1447"/>
    <x v="0"/>
    <s v="CM"/>
    <s v="N"/>
    <x v="950"/>
    <x v="2"/>
    <x v="70"/>
    <m/>
    <x v="38"/>
    <m/>
    <x v="3"/>
    <x v="0"/>
    <x v="349"/>
    <d v="2012-09-16T00:00:00"/>
    <x v="9"/>
    <x v="1"/>
    <m/>
    <m/>
    <x v="0"/>
    <x v="0"/>
    <m/>
    <x v="0"/>
    <x v="0"/>
    <x v="1457"/>
    <x v="3"/>
    <x v="0"/>
    <x v="1"/>
    <x v="349"/>
    <x v="3856"/>
  </r>
  <r>
    <x v="1"/>
    <n v="984"/>
    <x v="1448"/>
    <x v="5"/>
    <s v="CM"/>
    <s v="N"/>
    <x v="951"/>
    <x v="2"/>
    <x v="316"/>
    <m/>
    <x v="11"/>
    <m/>
    <x v="3"/>
    <x v="0"/>
    <x v="453"/>
    <d v="2012-08-25T00:00:00"/>
    <x v="16"/>
    <x v="1"/>
    <s v="Videoclips"/>
    <m/>
    <x v="5"/>
    <x v="0"/>
    <m/>
    <x v="1"/>
    <x v="15"/>
    <x v="1458"/>
    <x v="3"/>
    <x v="462"/>
    <x v="1"/>
    <x v="453"/>
    <x v="3857"/>
  </r>
  <r>
    <x v="1"/>
    <n v="985"/>
    <x v="1449"/>
    <x v="0"/>
    <s v="CM"/>
    <s v="N"/>
    <x v="952"/>
    <x v="2"/>
    <x v="419"/>
    <m/>
    <x v="11"/>
    <m/>
    <x v="3"/>
    <x v="0"/>
    <x v="243"/>
    <m/>
    <x v="7"/>
    <x v="1"/>
    <m/>
    <m/>
    <x v="0"/>
    <x v="1"/>
    <m/>
    <x v="0"/>
    <x v="0"/>
    <x v="1459"/>
    <x v="3"/>
    <x v="0"/>
    <x v="1"/>
    <x v="243"/>
    <x v="3858"/>
  </r>
  <r>
    <x v="1"/>
    <n v="1299"/>
    <x v="1450"/>
    <x v="0"/>
    <s v="CM"/>
    <s v="N"/>
    <x v="953"/>
    <x v="2"/>
    <x v="445"/>
    <m/>
    <x v="284"/>
    <m/>
    <x v="3"/>
    <x v="0"/>
    <x v="286"/>
    <d v="2012-09-08T00:00:00"/>
    <x v="9"/>
    <x v="1"/>
    <m/>
    <m/>
    <x v="0"/>
    <x v="0"/>
    <m/>
    <x v="0"/>
    <x v="0"/>
    <x v="1460"/>
    <x v="3"/>
    <x v="0"/>
    <x v="1"/>
    <x v="286"/>
    <x v="3859"/>
  </r>
  <r>
    <x v="1"/>
    <n v="1299"/>
    <x v="1450"/>
    <x v="0"/>
    <s v="CM"/>
    <s v="N"/>
    <x v="953"/>
    <x v="2"/>
    <x v="576"/>
    <m/>
    <x v="323"/>
    <m/>
    <x v="3"/>
    <x v="0"/>
    <x v="285"/>
    <d v="2012-10-20T00:00:00"/>
    <x v="14"/>
    <x v="1"/>
    <m/>
    <m/>
    <x v="379"/>
    <x v="0"/>
    <m/>
    <x v="1"/>
    <x v="0"/>
    <x v="1460"/>
    <x v="3"/>
    <x v="463"/>
    <x v="1"/>
    <x v="285"/>
    <x v="3860"/>
  </r>
  <r>
    <x v="1"/>
    <n v="1362"/>
    <x v="1451"/>
    <x v="0"/>
    <s v="LM"/>
    <s v=""/>
    <x v="954"/>
    <x v="41"/>
    <x v="471"/>
    <m/>
    <x v="75"/>
    <m/>
    <x v="15"/>
    <x v="0"/>
    <x v="251"/>
    <d v="2012-11-17T00:00:00"/>
    <x v="13"/>
    <x v="1"/>
    <s v="CinemaXXI: Lungometraggi in Concorso"/>
    <m/>
    <x v="0"/>
    <x v="0"/>
    <m/>
    <x v="0"/>
    <x v="5"/>
    <x v="1461"/>
    <x v="15"/>
    <x v="0"/>
    <x v="0"/>
    <x v="251"/>
    <x v="3861"/>
  </r>
  <r>
    <x v="1"/>
    <n v="988"/>
    <x v="1452"/>
    <x v="0"/>
    <s v="CM"/>
    <s v="N"/>
    <x v="955"/>
    <x v="41"/>
    <x v="316"/>
    <m/>
    <x v="11"/>
    <m/>
    <x v="3"/>
    <x v="0"/>
    <x v="199"/>
    <d v="2012-08-25T00:00:00"/>
    <x v="16"/>
    <x v="1"/>
    <s v="Ficção"/>
    <m/>
    <x v="7"/>
    <x v="0"/>
    <m/>
    <x v="1"/>
    <x v="0"/>
    <x v="1462"/>
    <x v="3"/>
    <x v="464"/>
    <x v="1"/>
    <x v="199"/>
    <x v="3862"/>
  </r>
  <r>
    <x v="1"/>
    <n v="988"/>
    <x v="1452"/>
    <x v="0"/>
    <s v="CM"/>
    <s v="N"/>
    <x v="955"/>
    <x v="41"/>
    <x v="459"/>
    <m/>
    <x v="287"/>
    <m/>
    <x v="3"/>
    <x v="0"/>
    <x v="267"/>
    <m/>
    <x v="13"/>
    <x v="1"/>
    <m/>
    <m/>
    <x v="0"/>
    <x v="2"/>
    <m/>
    <x v="0"/>
    <x v="0"/>
    <x v="1462"/>
    <x v="3"/>
    <x v="0"/>
    <x v="1"/>
    <x v="267"/>
    <x v="3863"/>
  </r>
  <r>
    <x v="1"/>
    <n v="990"/>
    <x v="678"/>
    <x v="0"/>
    <s v="CM"/>
    <s v="N"/>
    <x v="486"/>
    <x v="3"/>
    <x v="62"/>
    <m/>
    <x v="23"/>
    <m/>
    <x v="3"/>
    <x v="0"/>
    <x v="302"/>
    <d v="2012-03-04T00:00:00"/>
    <x v="19"/>
    <x v="1"/>
    <s v="Prémio de Cinema Português - Escolas de Cinema"/>
    <s v="Especial Festival Black &amp; White"/>
    <x v="0"/>
    <x v="0"/>
    <m/>
    <x v="0"/>
    <x v="0"/>
    <x v="680"/>
    <x v="3"/>
    <x v="0"/>
    <x v="1"/>
    <x v="302"/>
    <x v="3864"/>
  </r>
  <r>
    <x v="1"/>
    <n v="990"/>
    <x v="678"/>
    <x v="0"/>
    <s v="CM"/>
    <s v="N"/>
    <x v="486"/>
    <x v="3"/>
    <x v="446"/>
    <m/>
    <x v="65"/>
    <m/>
    <x v="9"/>
    <x v="0"/>
    <x v="287"/>
    <m/>
    <x v="2"/>
    <x v="0"/>
    <m/>
    <m/>
    <x v="0"/>
    <x v="1"/>
    <m/>
    <x v="0"/>
    <x v="0"/>
    <x v="680"/>
    <x v="9"/>
    <x v="0"/>
    <x v="0"/>
    <x v="287"/>
    <x v="3865"/>
  </r>
  <r>
    <x v="1"/>
    <n v="990"/>
    <x v="678"/>
    <x v="0"/>
    <s v="CM"/>
    <s v="N"/>
    <x v="486"/>
    <x v="3"/>
    <x v="413"/>
    <m/>
    <x v="270"/>
    <m/>
    <x v="3"/>
    <x v="0"/>
    <x v="243"/>
    <d v="2012-06-03T00:00:00"/>
    <x v="7"/>
    <x v="1"/>
    <s v="Universidades"/>
    <m/>
    <x v="0"/>
    <x v="0"/>
    <m/>
    <x v="0"/>
    <x v="0"/>
    <x v="680"/>
    <x v="3"/>
    <x v="0"/>
    <x v="1"/>
    <x v="243"/>
    <x v="3866"/>
  </r>
  <r>
    <x v="1"/>
    <n v="990"/>
    <x v="678"/>
    <x v="0"/>
    <s v="CM"/>
    <s v="N"/>
    <x v="486"/>
    <x v="3"/>
    <x v="431"/>
    <m/>
    <x v="277"/>
    <m/>
    <x v="14"/>
    <x v="0"/>
    <x v="243"/>
    <d v="2012-06-02T00:00:00"/>
    <x v="7"/>
    <x v="0"/>
    <m/>
    <m/>
    <x v="380"/>
    <x v="0"/>
    <m/>
    <x v="1"/>
    <x v="0"/>
    <x v="680"/>
    <x v="14"/>
    <x v="465"/>
    <x v="0"/>
    <x v="243"/>
    <x v="3867"/>
  </r>
  <r>
    <x v="1"/>
    <n v="990"/>
    <x v="678"/>
    <x v="0"/>
    <s v="CM"/>
    <s v="N"/>
    <x v="486"/>
    <x v="3"/>
    <x v="457"/>
    <m/>
    <x v="285"/>
    <m/>
    <x v="3"/>
    <x v="0"/>
    <x v="301"/>
    <d v="2012-06-16T00:00:00"/>
    <x v="7"/>
    <x v="1"/>
    <s v="U-Can: Universidade Católica do Porto"/>
    <m/>
    <x v="381"/>
    <x v="0"/>
    <m/>
    <x v="1"/>
    <x v="0"/>
    <x v="680"/>
    <x v="3"/>
    <x v="466"/>
    <x v="1"/>
    <x v="301"/>
    <x v="3868"/>
  </r>
  <r>
    <x v="1"/>
    <n v="990"/>
    <x v="678"/>
    <x v="0"/>
    <s v="CM"/>
    <s v="N"/>
    <x v="486"/>
    <x v="3"/>
    <x v="772"/>
    <m/>
    <x v="23"/>
    <m/>
    <x v="3"/>
    <x v="0"/>
    <x v="374"/>
    <m/>
    <x v="14"/>
    <x v="1"/>
    <m/>
    <m/>
    <x v="319"/>
    <x v="1"/>
    <m/>
    <x v="1"/>
    <x v="0"/>
    <x v="680"/>
    <x v="3"/>
    <x v="385"/>
    <x v="1"/>
    <x v="374"/>
    <x v="3869"/>
  </r>
  <r>
    <x v="1"/>
    <n v="886"/>
    <x v="1453"/>
    <x v="0"/>
    <s v="CM"/>
    <s v=""/>
    <x v="298"/>
    <x v="41"/>
    <x v="22"/>
    <m/>
    <x v="22"/>
    <m/>
    <x v="3"/>
    <x v="0"/>
    <x v="251"/>
    <d v="2012-11-18T00:00:00"/>
    <x v="13"/>
    <x v="1"/>
    <s v="Secção Competitiva"/>
    <m/>
    <x v="0"/>
    <x v="0"/>
    <m/>
    <x v="0"/>
    <x v="0"/>
    <x v="1463"/>
    <x v="3"/>
    <x v="0"/>
    <x v="1"/>
    <x v="251"/>
    <x v="3870"/>
  </r>
  <r>
    <x v="1"/>
    <n v="1534"/>
    <x v="1454"/>
    <x v="1"/>
    <s v="LM"/>
    <s v=""/>
    <x v="270"/>
    <x v="46"/>
    <x v="443"/>
    <m/>
    <x v="240"/>
    <m/>
    <x v="58"/>
    <x v="0"/>
    <x v="284"/>
    <d v="2012-11-28T00:00:00"/>
    <x v="13"/>
    <x v="0"/>
    <m/>
    <m/>
    <x v="0"/>
    <x v="1"/>
    <m/>
    <x v="0"/>
    <x v="1"/>
    <x v="1464"/>
    <x v="58"/>
    <x v="0"/>
    <x v="0"/>
    <x v="284"/>
    <x v="3871"/>
  </r>
  <r>
    <x v="1"/>
    <n v="993"/>
    <x v="682"/>
    <x v="0"/>
    <s v="LM"/>
    <s v="S"/>
    <x v="490"/>
    <x v="3"/>
    <x v="146"/>
    <m/>
    <x v="24"/>
    <m/>
    <x v="3"/>
    <x v="0"/>
    <x v="281"/>
    <d v="2012-05-06T00:00:00"/>
    <x v="4"/>
    <x v="1"/>
    <s v="Competição Nacional Longas Metragens"/>
    <s v="Cinema Emergente Longas Metragens"/>
    <x v="382"/>
    <x v="0"/>
    <m/>
    <x v="1"/>
    <x v="5"/>
    <x v="684"/>
    <x v="3"/>
    <x v="467"/>
    <x v="1"/>
    <x v="281"/>
    <x v="3872"/>
  </r>
  <r>
    <x v="1"/>
    <n v="993"/>
    <x v="682"/>
    <x v="0"/>
    <s v="LM"/>
    <s v="S"/>
    <x v="490"/>
    <x v="3"/>
    <x v="760"/>
    <m/>
    <x v="174"/>
    <m/>
    <x v="1"/>
    <x v="0"/>
    <x v="448"/>
    <d v="2012-05-22T00:00:00"/>
    <x v="6"/>
    <x v="1"/>
    <s v="Largometrajes"/>
    <m/>
    <x v="0"/>
    <x v="0"/>
    <m/>
    <x v="0"/>
    <x v="5"/>
    <x v="684"/>
    <x v="1"/>
    <x v="0"/>
    <x v="0"/>
    <x v="448"/>
    <x v="3873"/>
  </r>
  <r>
    <x v="1"/>
    <n v="993"/>
    <x v="682"/>
    <x v="0"/>
    <s v="LM"/>
    <s v="S"/>
    <x v="490"/>
    <x v="3"/>
    <x v="306"/>
    <m/>
    <x v="117"/>
    <m/>
    <x v="9"/>
    <x v="0"/>
    <x v="255"/>
    <d v="2012-06-24T00:00:00"/>
    <x v="7"/>
    <x v="1"/>
    <s v="Narrative Competition"/>
    <m/>
    <x v="383"/>
    <x v="0"/>
    <m/>
    <x v="1"/>
    <x v="5"/>
    <x v="684"/>
    <x v="9"/>
    <x v="468"/>
    <x v="0"/>
    <x v="255"/>
    <x v="3874"/>
  </r>
  <r>
    <x v="1"/>
    <n v="993"/>
    <x v="682"/>
    <x v="0"/>
    <s v="LM"/>
    <s v="S"/>
    <x v="490"/>
    <x v="3"/>
    <x v="773"/>
    <m/>
    <x v="384"/>
    <m/>
    <x v="72"/>
    <x v="0"/>
    <x v="354"/>
    <d v="2012-11-24T00:00:00"/>
    <x v="13"/>
    <x v="1"/>
    <s v="Compétition Oficielle Long-Métrages"/>
    <m/>
    <x v="384"/>
    <x v="0"/>
    <m/>
    <x v="1"/>
    <x v="5"/>
    <x v="684"/>
    <x v="72"/>
    <x v="469"/>
    <x v="0"/>
    <x v="354"/>
    <x v="3875"/>
  </r>
  <r>
    <x v="1"/>
    <n v="995"/>
    <x v="1455"/>
    <x v="1"/>
    <s v="CM"/>
    <s v="N"/>
    <x v="566"/>
    <x v="41"/>
    <x v="412"/>
    <m/>
    <x v="269"/>
    <m/>
    <x v="3"/>
    <x v="0"/>
    <x v="242"/>
    <m/>
    <x v="7"/>
    <x v="1"/>
    <m/>
    <m/>
    <x v="0"/>
    <x v="0"/>
    <m/>
    <x v="0"/>
    <x v="2"/>
    <x v="1465"/>
    <x v="3"/>
    <x v="0"/>
    <x v="1"/>
    <x v="242"/>
    <x v="3876"/>
  </r>
  <r>
    <x v="1"/>
    <n v="995"/>
    <x v="1455"/>
    <x v="1"/>
    <s v="CM"/>
    <s v="N"/>
    <x v="566"/>
    <x v="41"/>
    <x v="67"/>
    <m/>
    <x v="23"/>
    <m/>
    <x v="3"/>
    <x v="0"/>
    <x v="264"/>
    <d v="2012-06-17T00:00:00"/>
    <x v="7"/>
    <x v="1"/>
    <s v="Curtas Nacionais"/>
    <m/>
    <x v="0"/>
    <x v="0"/>
    <m/>
    <x v="0"/>
    <x v="2"/>
    <x v="1465"/>
    <x v="3"/>
    <x v="0"/>
    <x v="1"/>
    <x v="264"/>
    <x v="3877"/>
  </r>
  <r>
    <x v="1"/>
    <n v="995"/>
    <x v="1455"/>
    <x v="1"/>
    <s v="CM"/>
    <s v="N"/>
    <x v="566"/>
    <x v="41"/>
    <x v="68"/>
    <m/>
    <x v="53"/>
    <m/>
    <x v="3"/>
    <x v="0"/>
    <x v="253"/>
    <d v="2012-07-15T00:00:00"/>
    <x v="8"/>
    <x v="1"/>
    <s v="Take One!"/>
    <m/>
    <x v="0"/>
    <x v="0"/>
    <m/>
    <x v="0"/>
    <x v="2"/>
    <x v="1465"/>
    <x v="3"/>
    <x v="0"/>
    <x v="1"/>
    <x v="253"/>
    <x v="3878"/>
  </r>
  <r>
    <x v="1"/>
    <n v="996"/>
    <x v="1456"/>
    <x v="0"/>
    <s v="CM"/>
    <s v="N"/>
    <x v="956"/>
    <x v="2"/>
    <x v="412"/>
    <m/>
    <x v="269"/>
    <m/>
    <x v="3"/>
    <x v="0"/>
    <x v="242"/>
    <m/>
    <x v="7"/>
    <x v="1"/>
    <m/>
    <m/>
    <x v="0"/>
    <x v="0"/>
    <m/>
    <x v="0"/>
    <x v="0"/>
    <x v="1466"/>
    <x v="3"/>
    <x v="0"/>
    <x v="1"/>
    <x v="242"/>
    <x v="3879"/>
  </r>
  <r>
    <x v="1"/>
    <n v="997"/>
    <x v="684"/>
    <x v="0"/>
    <s v="CM"/>
    <s v="N"/>
    <x v="37"/>
    <x v="5"/>
    <x v="409"/>
    <m/>
    <x v="58"/>
    <m/>
    <x v="17"/>
    <x v="0"/>
    <x v="239"/>
    <d v="2012-12-08T00:00:00"/>
    <x v="11"/>
    <x v="0"/>
    <m/>
    <s v="No Place like: 4 Houses, 4 Films"/>
    <x v="0"/>
    <x v="1"/>
    <m/>
    <x v="0"/>
    <x v="0"/>
    <x v="686"/>
    <x v="17"/>
    <x v="0"/>
    <x v="0"/>
    <x v="239"/>
    <x v="3880"/>
  </r>
  <r>
    <x v="1"/>
    <n v="998"/>
    <x v="1457"/>
    <x v="4"/>
    <s v="CM"/>
    <s v="N"/>
    <x v="957"/>
    <x v="2"/>
    <x v="62"/>
    <m/>
    <x v="23"/>
    <m/>
    <x v="3"/>
    <x v="0"/>
    <x v="302"/>
    <d v="2012-03-04T00:00:00"/>
    <x v="19"/>
    <x v="1"/>
    <s v="Prémio de Cinema Português - Escolas de Cinema"/>
    <m/>
    <x v="0"/>
    <x v="0"/>
    <m/>
    <x v="0"/>
    <x v="8"/>
    <x v="1467"/>
    <x v="3"/>
    <x v="0"/>
    <x v="1"/>
    <x v="302"/>
    <x v="3881"/>
  </r>
  <r>
    <x v="1"/>
    <n v="998"/>
    <x v="1457"/>
    <x v="4"/>
    <s v="CM"/>
    <s v="N"/>
    <x v="957"/>
    <x v="2"/>
    <x v="457"/>
    <m/>
    <x v="285"/>
    <m/>
    <x v="3"/>
    <x v="0"/>
    <x v="301"/>
    <d v="2012-06-16T00:00:00"/>
    <x v="7"/>
    <x v="1"/>
    <s v="U-Can: Escola Artística Soares dos Reis"/>
    <m/>
    <x v="0"/>
    <x v="0"/>
    <m/>
    <x v="0"/>
    <x v="8"/>
    <x v="1467"/>
    <x v="3"/>
    <x v="0"/>
    <x v="1"/>
    <x v="301"/>
    <x v="3882"/>
  </r>
  <r>
    <x v="1"/>
    <n v="1464"/>
    <x v="1458"/>
    <x v="1"/>
    <s v="CM"/>
    <s v="N"/>
    <x v="958"/>
    <x v="41"/>
    <x v="520"/>
    <m/>
    <x v="46"/>
    <m/>
    <x v="3"/>
    <x v="0"/>
    <x v="297"/>
    <d v="2012-10-27T00:00:00"/>
    <x v="14"/>
    <x v="1"/>
    <s v="Divulgação/Promoção"/>
    <m/>
    <x v="385"/>
    <x v="0"/>
    <m/>
    <x v="1"/>
    <x v="2"/>
    <x v="1468"/>
    <x v="3"/>
    <x v="470"/>
    <x v="1"/>
    <x v="297"/>
    <x v="3883"/>
  </r>
  <r>
    <x v="1"/>
    <n v="1423"/>
    <x v="1459"/>
    <x v="0"/>
    <s v="CM"/>
    <s v="N"/>
    <x v="240"/>
    <x v="41"/>
    <x v="68"/>
    <m/>
    <x v="53"/>
    <m/>
    <x v="3"/>
    <x v="0"/>
    <x v="253"/>
    <d v="2012-07-15T00:00:00"/>
    <x v="8"/>
    <x v="0"/>
    <m/>
    <s v="Panorama Nacional"/>
    <x v="0"/>
    <x v="0"/>
    <m/>
    <x v="0"/>
    <x v="0"/>
    <x v="1469"/>
    <x v="3"/>
    <x v="0"/>
    <x v="1"/>
    <x v="253"/>
    <x v="3884"/>
  </r>
  <r>
    <x v="1"/>
    <n v="1423"/>
    <x v="1459"/>
    <x v="0"/>
    <s v="CM"/>
    <s v="N"/>
    <x v="240"/>
    <x v="41"/>
    <x v="22"/>
    <m/>
    <x v="22"/>
    <m/>
    <x v="3"/>
    <x v="0"/>
    <x v="251"/>
    <d v="2012-11-18T00:00:00"/>
    <x v="13"/>
    <x v="1"/>
    <s v="Secção Competitiva"/>
    <m/>
    <x v="0"/>
    <x v="0"/>
    <m/>
    <x v="0"/>
    <x v="0"/>
    <x v="1469"/>
    <x v="3"/>
    <x v="0"/>
    <x v="1"/>
    <x v="251"/>
    <x v="3885"/>
  </r>
  <r>
    <x v="1"/>
    <n v="1423"/>
    <x v="1459"/>
    <x v="0"/>
    <s v="CM"/>
    <s v="N"/>
    <x v="240"/>
    <x v="41"/>
    <x v="448"/>
    <m/>
    <x v="59"/>
    <m/>
    <x v="3"/>
    <x v="0"/>
    <x v="289"/>
    <d v="2012-12-02T00:00:00"/>
    <x v="11"/>
    <x v="1"/>
    <s v="Competição Nacional"/>
    <m/>
    <x v="0"/>
    <x v="0"/>
    <m/>
    <x v="0"/>
    <x v="0"/>
    <x v="1469"/>
    <x v="3"/>
    <x v="0"/>
    <x v="1"/>
    <x v="289"/>
    <x v="3886"/>
  </r>
  <r>
    <x v="1"/>
    <n v="1000"/>
    <x v="1460"/>
    <x v="1"/>
    <s v="CM"/>
    <s v="N"/>
    <x v="388"/>
    <x v="2"/>
    <x v="454"/>
    <m/>
    <x v="15"/>
    <m/>
    <x v="3"/>
    <x v="0"/>
    <x v="298"/>
    <m/>
    <x v="8"/>
    <x v="1"/>
    <s v="Documentário"/>
    <m/>
    <x v="40"/>
    <x v="0"/>
    <m/>
    <x v="1"/>
    <x v="2"/>
    <x v="1470"/>
    <x v="3"/>
    <x v="471"/>
    <x v="1"/>
    <x v="298"/>
    <x v="3887"/>
  </r>
  <r>
    <x v="1"/>
    <n v="937"/>
    <x v="1461"/>
    <x v="1"/>
    <s v="LM"/>
    <s v="N"/>
    <x v="959"/>
    <x v="41"/>
    <x v="22"/>
    <m/>
    <x v="22"/>
    <m/>
    <x v="3"/>
    <x v="0"/>
    <x v="251"/>
    <d v="2012-11-18T00:00:00"/>
    <x v="13"/>
    <x v="1"/>
    <s v="Secção Competitiva"/>
    <m/>
    <x v="0"/>
    <x v="0"/>
    <m/>
    <x v="0"/>
    <x v="1"/>
    <x v="1471"/>
    <x v="3"/>
    <x v="0"/>
    <x v="1"/>
    <x v="251"/>
    <x v="3888"/>
  </r>
  <r>
    <x v="1"/>
    <n v="1001"/>
    <x v="686"/>
    <x v="1"/>
    <s v="CM"/>
    <s v="N"/>
    <x v="468"/>
    <x v="3"/>
    <x v="376"/>
    <m/>
    <x v="247"/>
    <m/>
    <x v="34"/>
    <x v="0"/>
    <x v="355"/>
    <d v="2012-04-27T00:00:00"/>
    <x v="5"/>
    <x v="1"/>
    <s v="Compétition Internationale Courts Métrages"/>
    <m/>
    <x v="0"/>
    <x v="0"/>
    <m/>
    <x v="0"/>
    <x v="2"/>
    <x v="688"/>
    <x v="34"/>
    <x v="0"/>
    <x v="0"/>
    <x v="355"/>
    <x v="3889"/>
  </r>
  <r>
    <x v="1"/>
    <n v="1001"/>
    <x v="686"/>
    <x v="1"/>
    <s v="CM"/>
    <s v="N"/>
    <x v="468"/>
    <x v="3"/>
    <x v="377"/>
    <m/>
    <x v="16"/>
    <m/>
    <x v="1"/>
    <x v="0"/>
    <x v="324"/>
    <d v="2012-05-13T00:00:00"/>
    <x v="6"/>
    <x v="1"/>
    <s v="Competición Internacional  - Cortometraje "/>
    <m/>
    <x v="0"/>
    <x v="0"/>
    <m/>
    <x v="0"/>
    <x v="2"/>
    <x v="688"/>
    <x v="1"/>
    <x v="0"/>
    <x v="0"/>
    <x v="324"/>
    <x v="3890"/>
  </r>
  <r>
    <x v="1"/>
    <n v="1001"/>
    <x v="686"/>
    <x v="1"/>
    <s v="CM"/>
    <s v="N"/>
    <x v="468"/>
    <x v="3"/>
    <x v="726"/>
    <m/>
    <x v="208"/>
    <m/>
    <x v="1"/>
    <x v="0"/>
    <x v="290"/>
    <d v="2012-06-16T00:00:00"/>
    <x v="7"/>
    <x v="1"/>
    <s v="Concurso Iberoamericano de Cortometrajes Documentales"/>
    <m/>
    <x v="0"/>
    <x v="0"/>
    <m/>
    <x v="0"/>
    <x v="2"/>
    <x v="688"/>
    <x v="1"/>
    <x v="0"/>
    <x v="0"/>
    <x v="290"/>
    <x v="3891"/>
  </r>
  <r>
    <x v="1"/>
    <n v="1001"/>
    <x v="686"/>
    <x v="1"/>
    <s v="CM"/>
    <s v="N"/>
    <x v="468"/>
    <x v="3"/>
    <x v="628"/>
    <m/>
    <x v="24"/>
    <m/>
    <x v="3"/>
    <x v="0"/>
    <x v="436"/>
    <m/>
    <x v="9"/>
    <x v="0"/>
    <m/>
    <m/>
    <x v="0"/>
    <x v="1"/>
    <m/>
    <x v="0"/>
    <x v="2"/>
    <x v="688"/>
    <x v="3"/>
    <x v="0"/>
    <x v="1"/>
    <x v="436"/>
    <x v="3892"/>
  </r>
  <r>
    <x v="1"/>
    <n v="1001"/>
    <x v="686"/>
    <x v="1"/>
    <s v="CM"/>
    <s v="N"/>
    <x v="468"/>
    <x v="3"/>
    <x v="485"/>
    <m/>
    <x v="293"/>
    <m/>
    <x v="64"/>
    <x v="0"/>
    <x v="328"/>
    <d v="2012-09-29T00:00:00"/>
    <x v="9"/>
    <x v="1"/>
    <s v="International Competition2"/>
    <m/>
    <x v="0"/>
    <x v="0"/>
    <m/>
    <x v="0"/>
    <x v="2"/>
    <x v="688"/>
    <x v="64"/>
    <x v="0"/>
    <x v="0"/>
    <x v="328"/>
    <x v="3893"/>
  </r>
  <r>
    <x v="1"/>
    <n v="1001"/>
    <x v="686"/>
    <x v="1"/>
    <s v="CM"/>
    <s v="N"/>
    <x v="468"/>
    <x v="3"/>
    <x v="483"/>
    <m/>
    <x v="246"/>
    <m/>
    <x v="24"/>
    <x v="0"/>
    <x v="325"/>
    <d v="2012-11-12T00:00:00"/>
    <x v="13"/>
    <x v="0"/>
    <m/>
    <s v="Kung Fu Shorts"/>
    <x v="0"/>
    <x v="0"/>
    <m/>
    <x v="0"/>
    <x v="2"/>
    <x v="688"/>
    <x v="24"/>
    <x v="0"/>
    <x v="0"/>
    <x v="325"/>
    <x v="3894"/>
  </r>
  <r>
    <x v="1"/>
    <n v="2203"/>
    <x v="1462"/>
    <x v="0"/>
    <s v="CM"/>
    <s v=""/>
    <x v="0"/>
    <x v="10"/>
    <x v="179"/>
    <m/>
    <x v="133"/>
    <m/>
    <x v="0"/>
    <x v="0"/>
    <x v="233"/>
    <d v="2012-11-01T00:00:00"/>
    <x v="0"/>
    <x v="0"/>
    <m/>
    <s v="Homenagem a Miguel Gomes"/>
    <x v="0"/>
    <x v="0"/>
    <m/>
    <x v="0"/>
    <x v="0"/>
    <x v="1472"/>
    <x v="0"/>
    <x v="0"/>
    <x v="0"/>
    <x v="233"/>
    <x v="3895"/>
  </r>
  <r>
    <x v="1"/>
    <n v="1285"/>
    <x v="1463"/>
    <x v="0"/>
    <s v="CM"/>
    <s v="N"/>
    <x v="960"/>
    <x v="3"/>
    <x v="192"/>
    <m/>
    <x v="140"/>
    <m/>
    <x v="3"/>
    <x v="0"/>
    <x v="250"/>
    <d v="2012-07-29T00:00:00"/>
    <x v="8"/>
    <x v="1"/>
    <s v="Competição AVANCA"/>
    <m/>
    <x v="0"/>
    <x v="0"/>
    <m/>
    <x v="0"/>
    <x v="0"/>
    <x v="1473"/>
    <x v="3"/>
    <x v="0"/>
    <x v="1"/>
    <x v="250"/>
    <x v="3896"/>
  </r>
  <r>
    <x v="1"/>
    <n v="1289"/>
    <x v="1464"/>
    <x v="1"/>
    <s v="CM"/>
    <s v=""/>
    <x v="59"/>
    <x v="2"/>
    <x v="446"/>
    <m/>
    <x v="65"/>
    <m/>
    <x v="9"/>
    <x v="0"/>
    <x v="287"/>
    <m/>
    <x v="2"/>
    <x v="0"/>
    <m/>
    <m/>
    <x v="0"/>
    <x v="1"/>
    <m/>
    <x v="0"/>
    <x v="2"/>
    <x v="1474"/>
    <x v="9"/>
    <x v="0"/>
    <x v="0"/>
    <x v="287"/>
    <x v="3897"/>
  </r>
  <r>
    <x v="1"/>
    <n v="1005"/>
    <x v="1465"/>
    <x v="0"/>
    <s v="CM"/>
    <s v="N"/>
    <x v="961"/>
    <x v="2"/>
    <x v="413"/>
    <m/>
    <x v="270"/>
    <m/>
    <x v="3"/>
    <x v="0"/>
    <x v="243"/>
    <d v="2012-06-03T00:00:00"/>
    <x v="7"/>
    <x v="1"/>
    <s v="Universidades"/>
    <m/>
    <x v="0"/>
    <x v="0"/>
    <m/>
    <x v="0"/>
    <x v="0"/>
    <x v="1475"/>
    <x v="3"/>
    <x v="0"/>
    <x v="1"/>
    <x v="243"/>
    <x v="3898"/>
  </r>
  <r>
    <x v="1"/>
    <n v="1005"/>
    <x v="1465"/>
    <x v="0"/>
    <s v="CM"/>
    <s v="N"/>
    <x v="961"/>
    <x v="2"/>
    <x v="37"/>
    <m/>
    <x v="35"/>
    <m/>
    <x v="2"/>
    <x v="0"/>
    <x v="304"/>
    <d v="2012-12-02T00:00:00"/>
    <x v="11"/>
    <x v="0"/>
    <m/>
    <s v="Panorama Fenêtre Ouverte Universitaire"/>
    <x v="0"/>
    <x v="0"/>
    <m/>
    <x v="0"/>
    <x v="0"/>
    <x v="1475"/>
    <x v="2"/>
    <x v="0"/>
    <x v="0"/>
    <x v="304"/>
    <x v="3899"/>
  </r>
  <r>
    <x v="1"/>
    <n v="1006"/>
    <x v="1466"/>
    <x v="1"/>
    <s v="CM"/>
    <s v="S"/>
    <x v="1"/>
    <x v="2"/>
    <x v="405"/>
    <m/>
    <x v="24"/>
    <m/>
    <x v="3"/>
    <x v="0"/>
    <x v="235"/>
    <m/>
    <x v="15"/>
    <x v="0"/>
    <m/>
    <m/>
    <x v="0"/>
    <x v="1"/>
    <m/>
    <x v="0"/>
    <x v="2"/>
    <x v="1476"/>
    <x v="3"/>
    <x v="0"/>
    <x v="1"/>
    <x v="235"/>
    <x v="3900"/>
  </r>
  <r>
    <x v="1"/>
    <n v="1606"/>
    <x v="1467"/>
    <x v="2"/>
    <s v="CM"/>
    <s v="N"/>
    <x v="962"/>
    <x v="41"/>
    <x v="22"/>
    <m/>
    <x v="22"/>
    <m/>
    <x v="3"/>
    <x v="0"/>
    <x v="251"/>
    <d v="2012-11-18T00:00:00"/>
    <x v="13"/>
    <x v="1"/>
    <s v="Ensaios Visuais"/>
    <m/>
    <x v="0"/>
    <x v="0"/>
    <m/>
    <x v="0"/>
    <x v="4"/>
    <x v="1477"/>
    <x v="3"/>
    <x v="0"/>
    <x v="1"/>
    <x v="251"/>
    <x v="3901"/>
  </r>
  <r>
    <x v="1"/>
    <n v="1592"/>
    <x v="1468"/>
    <x v="1"/>
    <s v="CM"/>
    <s v="N"/>
    <x v="456"/>
    <x v="41"/>
    <x v="501"/>
    <m/>
    <x v="11"/>
    <m/>
    <x v="3"/>
    <x v="0"/>
    <x v="312"/>
    <d v="2012-09-30T00:00:00"/>
    <x v="9"/>
    <x v="0"/>
    <m/>
    <m/>
    <x v="0"/>
    <x v="0"/>
    <m/>
    <x v="0"/>
    <x v="2"/>
    <x v="1478"/>
    <x v="3"/>
    <x v="0"/>
    <x v="1"/>
    <x v="312"/>
    <x v="3902"/>
  </r>
  <r>
    <x v="1"/>
    <n v="1592"/>
    <x v="1468"/>
    <x v="1"/>
    <s v="CM"/>
    <s v="N"/>
    <x v="456"/>
    <x v="41"/>
    <x v="653"/>
    <m/>
    <x v="11"/>
    <m/>
    <x v="3"/>
    <x v="0"/>
    <x v="252"/>
    <m/>
    <x v="14"/>
    <x v="1"/>
    <s v="Tema A - Algarve: História, Tradição, Actualidade, Ria Formosa"/>
    <m/>
    <x v="5"/>
    <x v="0"/>
    <m/>
    <x v="1"/>
    <x v="2"/>
    <x v="1478"/>
    <x v="3"/>
    <x v="472"/>
    <x v="1"/>
    <x v="252"/>
    <x v="3903"/>
  </r>
  <r>
    <x v="1"/>
    <n v="1012"/>
    <x v="1469"/>
    <x v="0"/>
    <s v="CM"/>
    <s v="N"/>
    <x v="963"/>
    <x v="3"/>
    <x v="774"/>
    <m/>
    <x v="24"/>
    <m/>
    <x v="3"/>
    <x v="0"/>
    <x v="360"/>
    <m/>
    <x v="6"/>
    <x v="1"/>
    <m/>
    <m/>
    <x v="0"/>
    <x v="1"/>
    <m/>
    <x v="0"/>
    <x v="0"/>
    <x v="1479"/>
    <x v="3"/>
    <x v="0"/>
    <x v="1"/>
    <x v="360"/>
    <x v="3904"/>
  </r>
  <r>
    <x v="1"/>
    <n v="1012"/>
    <x v="1469"/>
    <x v="0"/>
    <s v="CM"/>
    <s v="N"/>
    <x v="963"/>
    <x v="3"/>
    <x v="402"/>
    <m/>
    <x v="24"/>
    <m/>
    <x v="3"/>
    <x v="0"/>
    <x v="231"/>
    <d v="2012-12-09T00:00:00"/>
    <x v="12"/>
    <x v="1"/>
    <s v="Categoria Fundação INATEL"/>
    <m/>
    <x v="0"/>
    <x v="1"/>
    <m/>
    <x v="0"/>
    <x v="0"/>
    <x v="1479"/>
    <x v="3"/>
    <x v="0"/>
    <x v="1"/>
    <x v="231"/>
    <x v="3905"/>
  </r>
  <r>
    <x v="1"/>
    <n v="1013"/>
    <x v="1470"/>
    <x v="1"/>
    <s v="CM"/>
    <s v="N"/>
    <x v="297"/>
    <x v="2"/>
    <x v="615"/>
    <m/>
    <x v="334"/>
    <m/>
    <x v="1"/>
    <x v="0"/>
    <x v="394"/>
    <d v="2012-03-31T00:00:00"/>
    <x v="2"/>
    <x v="0"/>
    <m/>
    <s v="Cortos de Castilla y Léon"/>
    <x v="0"/>
    <x v="0"/>
    <m/>
    <x v="0"/>
    <x v="2"/>
    <x v="1480"/>
    <x v="1"/>
    <x v="0"/>
    <x v="0"/>
    <x v="394"/>
    <x v="3906"/>
  </r>
  <r>
    <x v="1"/>
    <n v="1013"/>
    <x v="1470"/>
    <x v="1"/>
    <s v="CM"/>
    <s v="N"/>
    <x v="297"/>
    <x v="2"/>
    <x v="432"/>
    <m/>
    <x v="39"/>
    <m/>
    <x v="3"/>
    <x v="0"/>
    <x v="265"/>
    <d v="2012-04-21T00:00:00"/>
    <x v="5"/>
    <x v="1"/>
    <s v="Competição Nacional"/>
    <m/>
    <x v="0"/>
    <x v="0"/>
    <m/>
    <x v="0"/>
    <x v="2"/>
    <x v="1480"/>
    <x v="3"/>
    <x v="0"/>
    <x v="1"/>
    <x v="265"/>
    <x v="3907"/>
  </r>
  <r>
    <x v="1"/>
    <n v="1013"/>
    <x v="1470"/>
    <x v="1"/>
    <s v="CM"/>
    <s v="N"/>
    <x v="297"/>
    <x v="2"/>
    <x v="775"/>
    <m/>
    <x v="385"/>
    <m/>
    <x v="9"/>
    <x v="0"/>
    <x v="442"/>
    <d v="2012-04-29T00:00:00"/>
    <x v="5"/>
    <x v="1"/>
    <s v="Documentary Shorts Competition"/>
    <m/>
    <x v="386"/>
    <x v="0"/>
    <m/>
    <x v="1"/>
    <x v="2"/>
    <x v="1480"/>
    <x v="9"/>
    <x v="473"/>
    <x v="0"/>
    <x v="442"/>
    <x v="3908"/>
  </r>
  <r>
    <x v="1"/>
    <n v="1013"/>
    <x v="1470"/>
    <x v="1"/>
    <s v="CM"/>
    <s v="N"/>
    <x v="297"/>
    <x v="2"/>
    <x v="316"/>
    <m/>
    <x v="11"/>
    <m/>
    <x v="3"/>
    <x v="0"/>
    <x v="199"/>
    <d v="2012-08-25T00:00:00"/>
    <x v="16"/>
    <x v="1"/>
    <s v="Documentário"/>
    <m/>
    <x v="0"/>
    <x v="0"/>
    <m/>
    <x v="0"/>
    <x v="2"/>
    <x v="1480"/>
    <x v="3"/>
    <x v="0"/>
    <x v="1"/>
    <x v="199"/>
    <x v="3909"/>
  </r>
  <r>
    <x v="1"/>
    <n v="1013"/>
    <x v="1470"/>
    <x v="1"/>
    <s v="CM"/>
    <s v="N"/>
    <x v="297"/>
    <x v="2"/>
    <x v="70"/>
    <m/>
    <x v="38"/>
    <m/>
    <x v="3"/>
    <x v="0"/>
    <x v="349"/>
    <d v="2012-09-16T00:00:00"/>
    <x v="9"/>
    <x v="1"/>
    <m/>
    <m/>
    <x v="104"/>
    <x v="0"/>
    <m/>
    <x v="1"/>
    <x v="2"/>
    <x v="1480"/>
    <x v="3"/>
    <x v="474"/>
    <x v="1"/>
    <x v="349"/>
    <x v="3910"/>
  </r>
  <r>
    <x v="1"/>
    <n v="1013"/>
    <x v="1470"/>
    <x v="1"/>
    <s v="CM"/>
    <s v="N"/>
    <x v="297"/>
    <x v="2"/>
    <x v="22"/>
    <m/>
    <x v="22"/>
    <m/>
    <x v="3"/>
    <x v="0"/>
    <x v="251"/>
    <d v="2012-11-18T00:00:00"/>
    <x v="13"/>
    <x v="1"/>
    <s v="Decção Competitiva"/>
    <m/>
    <x v="0"/>
    <x v="0"/>
    <m/>
    <x v="0"/>
    <x v="2"/>
    <x v="1480"/>
    <x v="3"/>
    <x v="0"/>
    <x v="1"/>
    <x v="251"/>
    <x v="3911"/>
  </r>
  <r>
    <x v="1"/>
    <n v="1013"/>
    <x v="1470"/>
    <x v="1"/>
    <s v="CM"/>
    <s v="N"/>
    <x v="297"/>
    <x v="2"/>
    <x v="448"/>
    <m/>
    <x v="59"/>
    <m/>
    <x v="3"/>
    <x v="0"/>
    <x v="289"/>
    <d v="2012-12-02T00:00:00"/>
    <x v="11"/>
    <x v="1"/>
    <s v="Competição Nacional"/>
    <m/>
    <x v="0"/>
    <x v="0"/>
    <m/>
    <x v="0"/>
    <x v="2"/>
    <x v="1480"/>
    <x v="3"/>
    <x v="0"/>
    <x v="1"/>
    <x v="289"/>
    <x v="3912"/>
  </r>
  <r>
    <x v="1"/>
    <n v="1013"/>
    <x v="1470"/>
    <x v="1"/>
    <s v="CM"/>
    <s v="N"/>
    <x v="297"/>
    <x v="2"/>
    <x v="37"/>
    <m/>
    <x v="35"/>
    <m/>
    <x v="2"/>
    <x v="0"/>
    <x v="304"/>
    <d v="2012-12-02T00:00:00"/>
    <x v="11"/>
    <x v="0"/>
    <m/>
    <s v="Panorama Fenêtre Ouverte Documentaire"/>
    <x v="0"/>
    <x v="0"/>
    <m/>
    <x v="0"/>
    <x v="2"/>
    <x v="1480"/>
    <x v="2"/>
    <x v="0"/>
    <x v="0"/>
    <x v="304"/>
    <x v="3913"/>
  </r>
  <r>
    <x v="1"/>
    <n v="1015"/>
    <x v="696"/>
    <x v="0"/>
    <s v="CM"/>
    <s v="N"/>
    <x v="499"/>
    <x v="2"/>
    <x v="776"/>
    <m/>
    <x v="24"/>
    <m/>
    <x v="3"/>
    <x v="0"/>
    <x v="345"/>
    <m/>
    <x v="7"/>
    <x v="1"/>
    <m/>
    <m/>
    <x v="0"/>
    <x v="1"/>
    <m/>
    <x v="0"/>
    <x v="0"/>
    <x v="699"/>
    <x v="3"/>
    <x v="0"/>
    <x v="1"/>
    <x v="345"/>
    <x v="3914"/>
  </r>
  <r>
    <x v="1"/>
    <n v="1018"/>
    <x v="1471"/>
    <x v="0"/>
    <s v="CM"/>
    <s v="N"/>
    <x v="964"/>
    <x v="2"/>
    <x v="703"/>
    <m/>
    <x v="23"/>
    <m/>
    <x v="3"/>
    <x v="0"/>
    <x v="363"/>
    <m/>
    <x v="5"/>
    <x v="1"/>
    <m/>
    <m/>
    <x v="0"/>
    <x v="1"/>
    <m/>
    <x v="0"/>
    <x v="0"/>
    <x v="1481"/>
    <x v="3"/>
    <x v="0"/>
    <x v="1"/>
    <x v="363"/>
    <x v="3915"/>
  </r>
  <r>
    <x v="1"/>
    <n v="1018"/>
    <x v="1471"/>
    <x v="0"/>
    <s v="CM"/>
    <s v="N"/>
    <x v="964"/>
    <x v="2"/>
    <x v="467"/>
    <m/>
    <x v="24"/>
    <m/>
    <x v="3"/>
    <x v="0"/>
    <x v="314"/>
    <m/>
    <x v="6"/>
    <x v="1"/>
    <m/>
    <m/>
    <x v="0"/>
    <x v="1"/>
    <m/>
    <x v="0"/>
    <x v="0"/>
    <x v="1481"/>
    <x v="3"/>
    <x v="0"/>
    <x v="1"/>
    <x v="314"/>
    <x v="3916"/>
  </r>
  <r>
    <x v="1"/>
    <n v="1019"/>
    <x v="1472"/>
    <x v="0"/>
    <s v="CM"/>
    <s v="N"/>
    <x v="965"/>
    <x v="2"/>
    <x v="437"/>
    <m/>
    <x v="49"/>
    <m/>
    <x v="3"/>
    <x v="0"/>
    <x v="291"/>
    <m/>
    <x v="15"/>
    <x v="0"/>
    <m/>
    <m/>
    <x v="0"/>
    <x v="1"/>
    <m/>
    <x v="0"/>
    <x v="0"/>
    <x v="1482"/>
    <x v="3"/>
    <x v="0"/>
    <x v="1"/>
    <x v="291"/>
    <x v="3917"/>
  </r>
  <r>
    <x v="1"/>
    <n v="1019"/>
    <x v="1472"/>
    <x v="0"/>
    <s v="CM"/>
    <s v="N"/>
    <x v="965"/>
    <x v="2"/>
    <x v="417"/>
    <m/>
    <x v="24"/>
    <m/>
    <x v="3"/>
    <x v="0"/>
    <x v="247"/>
    <m/>
    <x v="1"/>
    <x v="1"/>
    <m/>
    <m/>
    <x v="0"/>
    <x v="1"/>
    <m/>
    <x v="0"/>
    <x v="0"/>
    <x v="1482"/>
    <x v="3"/>
    <x v="0"/>
    <x v="1"/>
    <x v="247"/>
    <x v="3918"/>
  </r>
  <r>
    <x v="1"/>
    <n v="1019"/>
    <x v="1472"/>
    <x v="0"/>
    <s v="CM"/>
    <s v="N"/>
    <x v="965"/>
    <x v="2"/>
    <x v="62"/>
    <m/>
    <x v="23"/>
    <m/>
    <x v="3"/>
    <x v="0"/>
    <x v="302"/>
    <d v="2012-03-04T00:00:00"/>
    <x v="19"/>
    <x v="1"/>
    <s v="Prémio de Cinema Português - Escolas de Cinema"/>
    <m/>
    <x v="0"/>
    <x v="0"/>
    <m/>
    <x v="0"/>
    <x v="0"/>
    <x v="1482"/>
    <x v="3"/>
    <x v="0"/>
    <x v="1"/>
    <x v="302"/>
    <x v="3919"/>
  </r>
  <r>
    <x v="1"/>
    <n v="1019"/>
    <x v="1472"/>
    <x v="0"/>
    <s v="CM"/>
    <s v="N"/>
    <x v="965"/>
    <x v="2"/>
    <x v="428"/>
    <m/>
    <x v="24"/>
    <m/>
    <x v="3"/>
    <x v="0"/>
    <x v="260"/>
    <d v="2012-04-19T00:00:00"/>
    <x v="5"/>
    <x v="0"/>
    <m/>
    <m/>
    <x v="0"/>
    <x v="1"/>
    <m/>
    <x v="0"/>
    <x v="0"/>
    <x v="1482"/>
    <x v="3"/>
    <x v="0"/>
    <x v="1"/>
    <x v="260"/>
    <x v="3920"/>
  </r>
  <r>
    <x v="1"/>
    <n v="1019"/>
    <x v="1472"/>
    <x v="0"/>
    <s v="CM"/>
    <s v="N"/>
    <x v="965"/>
    <x v="2"/>
    <x v="67"/>
    <m/>
    <x v="23"/>
    <m/>
    <x v="3"/>
    <x v="0"/>
    <x v="264"/>
    <d v="2012-06-17T00:00:00"/>
    <x v="7"/>
    <x v="1"/>
    <s v="Curtas Nacionais"/>
    <m/>
    <x v="0"/>
    <x v="0"/>
    <m/>
    <x v="0"/>
    <x v="0"/>
    <x v="1482"/>
    <x v="3"/>
    <x v="0"/>
    <x v="1"/>
    <x v="264"/>
    <x v="3921"/>
  </r>
  <r>
    <x v="1"/>
    <n v="1019"/>
    <x v="1472"/>
    <x v="0"/>
    <s v="CM"/>
    <s v="N"/>
    <x v="965"/>
    <x v="2"/>
    <x v="165"/>
    <m/>
    <x v="65"/>
    <m/>
    <x v="9"/>
    <x v="0"/>
    <x v="333"/>
    <m/>
    <x v="8"/>
    <x v="0"/>
    <m/>
    <m/>
    <x v="0"/>
    <x v="1"/>
    <m/>
    <x v="0"/>
    <x v="0"/>
    <x v="1482"/>
    <x v="9"/>
    <x v="0"/>
    <x v="0"/>
    <x v="333"/>
    <x v="3922"/>
  </r>
  <r>
    <x v="1"/>
    <n v="1019"/>
    <x v="1472"/>
    <x v="0"/>
    <s v="CM"/>
    <s v="N"/>
    <x v="965"/>
    <x v="2"/>
    <x v="219"/>
    <m/>
    <x v="153"/>
    <m/>
    <x v="44"/>
    <x v="0"/>
    <x v="294"/>
    <d v="2012-10-21T00:00:00"/>
    <x v="14"/>
    <x v="1"/>
    <s v="Curta-Metragem"/>
    <m/>
    <x v="0"/>
    <x v="0"/>
    <m/>
    <x v="0"/>
    <x v="0"/>
    <x v="1482"/>
    <x v="44"/>
    <x v="0"/>
    <x v="0"/>
    <x v="294"/>
    <x v="3923"/>
  </r>
  <r>
    <x v="1"/>
    <n v="1019"/>
    <x v="1472"/>
    <x v="0"/>
    <s v="CM"/>
    <s v="N"/>
    <x v="965"/>
    <x v="2"/>
    <x v="22"/>
    <m/>
    <x v="22"/>
    <m/>
    <x v="3"/>
    <x v="0"/>
    <x v="251"/>
    <d v="2012-11-18T00:00:00"/>
    <x v="13"/>
    <x v="1"/>
    <s v="Ensaios Visuais"/>
    <m/>
    <x v="0"/>
    <x v="0"/>
    <m/>
    <x v="0"/>
    <x v="0"/>
    <x v="1482"/>
    <x v="3"/>
    <x v="0"/>
    <x v="1"/>
    <x v="251"/>
    <x v="3924"/>
  </r>
  <r>
    <x v="1"/>
    <n v="1019"/>
    <x v="1472"/>
    <x v="0"/>
    <s v="CM"/>
    <s v="N"/>
    <x v="965"/>
    <x v="2"/>
    <x v="459"/>
    <m/>
    <x v="287"/>
    <m/>
    <x v="3"/>
    <x v="0"/>
    <x v="267"/>
    <m/>
    <x v="13"/>
    <x v="1"/>
    <m/>
    <m/>
    <x v="0"/>
    <x v="2"/>
    <m/>
    <x v="0"/>
    <x v="0"/>
    <x v="1482"/>
    <x v="3"/>
    <x v="0"/>
    <x v="1"/>
    <x v="267"/>
    <x v="3925"/>
  </r>
  <r>
    <x v="1"/>
    <n v="1019"/>
    <x v="1472"/>
    <x v="0"/>
    <s v="CM"/>
    <s v="N"/>
    <x v="965"/>
    <x v="2"/>
    <x v="37"/>
    <m/>
    <x v="35"/>
    <m/>
    <x v="2"/>
    <x v="0"/>
    <x v="304"/>
    <d v="2012-12-02T00:00:00"/>
    <x v="11"/>
    <x v="0"/>
    <m/>
    <s v="Panorama Fenêtre Ouverte Universitaire"/>
    <x v="0"/>
    <x v="0"/>
    <m/>
    <x v="0"/>
    <x v="0"/>
    <x v="1482"/>
    <x v="2"/>
    <x v="0"/>
    <x v="0"/>
    <x v="304"/>
    <x v="3926"/>
  </r>
  <r>
    <x v="1"/>
    <n v="1020"/>
    <x v="1473"/>
    <x v="0"/>
    <s v="CM"/>
    <s v="N"/>
    <x v="966"/>
    <x v="2"/>
    <x v="437"/>
    <m/>
    <x v="49"/>
    <m/>
    <x v="3"/>
    <x v="0"/>
    <x v="273"/>
    <m/>
    <x v="15"/>
    <x v="0"/>
    <m/>
    <m/>
    <x v="0"/>
    <x v="1"/>
    <m/>
    <x v="0"/>
    <x v="0"/>
    <x v="1483"/>
    <x v="3"/>
    <x v="0"/>
    <x v="1"/>
    <x v="273"/>
    <x v="3927"/>
  </r>
  <r>
    <x v="1"/>
    <n v="1021"/>
    <x v="698"/>
    <x v="0"/>
    <s v="CM"/>
    <s v="N"/>
    <x v="501"/>
    <x v="2"/>
    <x v="437"/>
    <m/>
    <x v="49"/>
    <m/>
    <x v="3"/>
    <x v="0"/>
    <x v="291"/>
    <m/>
    <x v="15"/>
    <x v="0"/>
    <m/>
    <m/>
    <x v="0"/>
    <x v="1"/>
    <m/>
    <x v="0"/>
    <x v="0"/>
    <x v="701"/>
    <x v="3"/>
    <x v="0"/>
    <x v="1"/>
    <x v="291"/>
    <x v="3928"/>
  </r>
  <r>
    <x v="1"/>
    <n v="1021"/>
    <x v="698"/>
    <x v="0"/>
    <s v="CM"/>
    <s v="N"/>
    <x v="501"/>
    <x v="2"/>
    <x v="450"/>
    <m/>
    <x v="24"/>
    <m/>
    <x v="3"/>
    <x v="0"/>
    <x v="292"/>
    <m/>
    <x v="1"/>
    <x v="0"/>
    <m/>
    <m/>
    <x v="0"/>
    <x v="1"/>
    <m/>
    <x v="0"/>
    <x v="0"/>
    <x v="701"/>
    <x v="3"/>
    <x v="0"/>
    <x v="1"/>
    <x v="292"/>
    <x v="3929"/>
  </r>
  <r>
    <x v="1"/>
    <n v="1021"/>
    <x v="698"/>
    <x v="0"/>
    <s v="CM"/>
    <s v="N"/>
    <x v="501"/>
    <x v="2"/>
    <x v="428"/>
    <m/>
    <x v="24"/>
    <m/>
    <x v="3"/>
    <x v="0"/>
    <x v="260"/>
    <d v="2012-04-19T00:00:00"/>
    <x v="5"/>
    <x v="0"/>
    <m/>
    <m/>
    <x v="0"/>
    <x v="1"/>
    <m/>
    <x v="0"/>
    <x v="0"/>
    <x v="701"/>
    <x v="3"/>
    <x v="0"/>
    <x v="1"/>
    <x v="260"/>
    <x v="3930"/>
  </r>
  <r>
    <x v="1"/>
    <n v="1021"/>
    <x v="698"/>
    <x v="0"/>
    <s v="CM"/>
    <s v="N"/>
    <x v="501"/>
    <x v="2"/>
    <x v="219"/>
    <m/>
    <x v="153"/>
    <m/>
    <x v="44"/>
    <x v="0"/>
    <x v="294"/>
    <d v="2012-10-21T00:00:00"/>
    <x v="14"/>
    <x v="1"/>
    <s v="Curta-Metragem"/>
    <m/>
    <x v="54"/>
    <x v="0"/>
    <m/>
    <x v="1"/>
    <x v="0"/>
    <x v="701"/>
    <x v="44"/>
    <x v="475"/>
    <x v="0"/>
    <x v="294"/>
    <x v="3931"/>
  </r>
  <r>
    <x v="1"/>
    <n v="1021"/>
    <x v="698"/>
    <x v="0"/>
    <s v="CM"/>
    <s v="N"/>
    <x v="501"/>
    <x v="2"/>
    <x v="451"/>
    <m/>
    <x v="24"/>
    <m/>
    <x v="3"/>
    <x v="0"/>
    <x v="295"/>
    <d v="2012-10-28T00:00:00"/>
    <x v="14"/>
    <x v="0"/>
    <m/>
    <m/>
    <x v="0"/>
    <x v="1"/>
    <m/>
    <x v="0"/>
    <x v="0"/>
    <x v="701"/>
    <x v="3"/>
    <x v="0"/>
    <x v="1"/>
    <x v="295"/>
    <x v="3932"/>
  </r>
  <r>
    <x v="1"/>
    <n v="1360"/>
    <x v="699"/>
    <x v="0"/>
    <s v="LM"/>
    <s v="S"/>
    <x v="10"/>
    <x v="13"/>
    <x v="149"/>
    <m/>
    <x v="114"/>
    <m/>
    <x v="35"/>
    <x v="0"/>
    <x v="339"/>
    <d v="2012-11-07T00:00:00"/>
    <x v="0"/>
    <x v="0"/>
    <m/>
    <s v="In Focus: Manuel Mozos"/>
    <x v="0"/>
    <x v="0"/>
    <m/>
    <x v="0"/>
    <x v="5"/>
    <x v="702"/>
    <x v="35"/>
    <x v="0"/>
    <x v="0"/>
    <x v="339"/>
    <x v="3933"/>
  </r>
  <r>
    <x v="1"/>
    <n v="1600"/>
    <x v="1474"/>
    <x v="1"/>
    <s v="CM"/>
    <s v="N"/>
    <x v="195"/>
    <x v="2"/>
    <x v="449"/>
    <m/>
    <x v="22"/>
    <m/>
    <x v="3"/>
    <x v="0"/>
    <x v="290"/>
    <m/>
    <x v="7"/>
    <x v="1"/>
    <s v="Social"/>
    <m/>
    <x v="0"/>
    <x v="0"/>
    <m/>
    <x v="0"/>
    <x v="2"/>
    <x v="1484"/>
    <x v="3"/>
    <x v="0"/>
    <x v="1"/>
    <x v="290"/>
    <x v="3934"/>
  </r>
  <r>
    <x v="1"/>
    <n v="1600"/>
    <x v="1474"/>
    <x v="1"/>
    <s v="CM"/>
    <s v="N"/>
    <x v="195"/>
    <x v="2"/>
    <x v="22"/>
    <m/>
    <x v="22"/>
    <m/>
    <x v="3"/>
    <x v="0"/>
    <x v="251"/>
    <d v="2012-11-18T00:00:00"/>
    <x v="13"/>
    <x v="1"/>
    <s v="Ensaios Visuais"/>
    <m/>
    <x v="0"/>
    <x v="0"/>
    <m/>
    <x v="0"/>
    <x v="2"/>
    <x v="1484"/>
    <x v="3"/>
    <x v="0"/>
    <x v="1"/>
    <x v="251"/>
    <x v="3935"/>
  </r>
  <r>
    <x v="1"/>
    <n v="1453"/>
    <x v="1475"/>
    <x v="0"/>
    <s v="CM"/>
    <s v="N"/>
    <x v="843"/>
    <x v="41"/>
    <x v="471"/>
    <m/>
    <x v="75"/>
    <m/>
    <x v="15"/>
    <x v="0"/>
    <x v="251"/>
    <d v="2012-11-17T00:00:00"/>
    <x v="13"/>
    <x v="1"/>
    <s v="CinemaXXI: Medimetraggi i Cortometraggi in Concorso"/>
    <m/>
    <x v="0"/>
    <x v="0"/>
    <m/>
    <x v="0"/>
    <x v="0"/>
    <x v="1485"/>
    <x v="15"/>
    <x v="0"/>
    <x v="0"/>
    <x v="251"/>
    <x v="3936"/>
  </r>
  <r>
    <x v="1"/>
    <n v="1025"/>
    <x v="703"/>
    <x v="2"/>
    <s v="CM"/>
    <s v="S"/>
    <x v="33"/>
    <x v="3"/>
    <x v="62"/>
    <m/>
    <x v="23"/>
    <m/>
    <x v="3"/>
    <x v="0"/>
    <x v="302"/>
    <d v="2012-03-04T00:00:00"/>
    <x v="19"/>
    <x v="0"/>
    <m/>
    <s v="Panorama do Cinema Português - Casa da Animação"/>
    <x v="0"/>
    <x v="0"/>
    <m/>
    <x v="0"/>
    <x v="4"/>
    <x v="706"/>
    <x v="3"/>
    <x v="0"/>
    <x v="1"/>
    <x v="302"/>
    <x v="3937"/>
  </r>
  <r>
    <x v="1"/>
    <n v="1025"/>
    <x v="703"/>
    <x v="2"/>
    <s v="CM"/>
    <s v="S"/>
    <x v="33"/>
    <x v="3"/>
    <x v="26"/>
    <m/>
    <x v="24"/>
    <m/>
    <x v="3"/>
    <x v="0"/>
    <x v="268"/>
    <d v="2012-03-24T00:00:00"/>
    <x v="2"/>
    <x v="1"/>
    <s v="Competição Portugueses"/>
    <m/>
    <x v="0"/>
    <x v="0"/>
    <m/>
    <x v="0"/>
    <x v="4"/>
    <x v="706"/>
    <x v="3"/>
    <x v="0"/>
    <x v="1"/>
    <x v="268"/>
    <x v="3938"/>
  </r>
  <r>
    <x v="1"/>
    <n v="1025"/>
    <x v="703"/>
    <x v="2"/>
    <s v="CM"/>
    <s v="S"/>
    <x v="33"/>
    <x v="3"/>
    <x v="579"/>
    <m/>
    <x v="325"/>
    <m/>
    <x v="15"/>
    <x v="0"/>
    <x v="392"/>
    <d v="2012-07-28T00:00:00"/>
    <x v="8"/>
    <x v="1"/>
    <s v="Premio Cartoon Club"/>
    <m/>
    <x v="0"/>
    <x v="0"/>
    <m/>
    <x v="0"/>
    <x v="4"/>
    <x v="706"/>
    <x v="15"/>
    <x v="0"/>
    <x v="0"/>
    <x v="392"/>
    <x v="3939"/>
  </r>
  <r>
    <x v="1"/>
    <n v="1025"/>
    <x v="703"/>
    <x v="2"/>
    <s v="CM"/>
    <s v="S"/>
    <x v="33"/>
    <x v="3"/>
    <x v="316"/>
    <m/>
    <x v="11"/>
    <m/>
    <x v="3"/>
    <x v="0"/>
    <x v="199"/>
    <d v="2012-08-25T00:00:00"/>
    <x v="16"/>
    <x v="1"/>
    <s v="Animação"/>
    <m/>
    <x v="5"/>
    <x v="0"/>
    <m/>
    <x v="1"/>
    <x v="4"/>
    <x v="706"/>
    <x v="3"/>
    <x v="476"/>
    <x v="1"/>
    <x v="199"/>
    <x v="3940"/>
  </r>
  <r>
    <x v="1"/>
    <n v="1025"/>
    <x v="703"/>
    <x v="2"/>
    <s v="CM"/>
    <s v="S"/>
    <x v="33"/>
    <x v="3"/>
    <x v="27"/>
    <m/>
    <x v="25"/>
    <m/>
    <x v="3"/>
    <x v="0"/>
    <x v="307"/>
    <d v="2012-11-18T00:00:00"/>
    <x v="13"/>
    <x v="1"/>
    <s v="Competição Nacional: Prémio António Gaio"/>
    <m/>
    <x v="0"/>
    <x v="0"/>
    <m/>
    <x v="0"/>
    <x v="4"/>
    <x v="706"/>
    <x v="3"/>
    <x v="0"/>
    <x v="1"/>
    <x v="307"/>
    <x v="3941"/>
  </r>
  <r>
    <x v="1"/>
    <n v="1026"/>
    <x v="704"/>
    <x v="1"/>
    <s v="LM"/>
    <s v="S"/>
    <x v="362"/>
    <x v="2"/>
    <x v="777"/>
    <m/>
    <x v="22"/>
    <m/>
    <x v="3"/>
    <x v="0"/>
    <x v="434"/>
    <m/>
    <x v="15"/>
    <x v="0"/>
    <m/>
    <m/>
    <x v="0"/>
    <x v="1"/>
    <m/>
    <x v="0"/>
    <x v="1"/>
    <x v="707"/>
    <x v="3"/>
    <x v="0"/>
    <x v="1"/>
    <x v="434"/>
    <x v="3942"/>
  </r>
  <r>
    <x v="1"/>
    <n v="1026"/>
    <x v="704"/>
    <x v="1"/>
    <s v="LM"/>
    <s v="S"/>
    <x v="362"/>
    <x v="2"/>
    <x v="778"/>
    <m/>
    <x v="24"/>
    <m/>
    <x v="3"/>
    <x v="0"/>
    <x v="249"/>
    <m/>
    <x v="15"/>
    <x v="0"/>
    <m/>
    <m/>
    <x v="0"/>
    <x v="1"/>
    <m/>
    <x v="0"/>
    <x v="1"/>
    <x v="707"/>
    <x v="3"/>
    <x v="0"/>
    <x v="1"/>
    <x v="249"/>
    <x v="3943"/>
  </r>
  <r>
    <x v="1"/>
    <n v="1026"/>
    <x v="704"/>
    <x v="1"/>
    <s v="LM"/>
    <s v="S"/>
    <x v="362"/>
    <x v="2"/>
    <x v="779"/>
    <m/>
    <x v="62"/>
    <m/>
    <x v="3"/>
    <x v="0"/>
    <x v="259"/>
    <m/>
    <x v="2"/>
    <x v="0"/>
    <m/>
    <m/>
    <x v="0"/>
    <x v="1"/>
    <m/>
    <x v="0"/>
    <x v="1"/>
    <x v="707"/>
    <x v="3"/>
    <x v="0"/>
    <x v="1"/>
    <x v="259"/>
    <x v="3944"/>
  </r>
  <r>
    <x v="1"/>
    <n v="1026"/>
    <x v="704"/>
    <x v="1"/>
    <s v="LM"/>
    <s v="S"/>
    <x v="362"/>
    <x v="2"/>
    <x v="780"/>
    <m/>
    <x v="24"/>
    <m/>
    <x v="3"/>
    <x v="0"/>
    <x v="348"/>
    <m/>
    <x v="2"/>
    <x v="0"/>
    <m/>
    <m/>
    <x v="0"/>
    <x v="1"/>
    <m/>
    <x v="0"/>
    <x v="1"/>
    <x v="707"/>
    <x v="3"/>
    <x v="0"/>
    <x v="1"/>
    <x v="348"/>
    <x v="3945"/>
  </r>
  <r>
    <x v="1"/>
    <n v="1026"/>
    <x v="704"/>
    <x v="1"/>
    <s v="LM"/>
    <s v="S"/>
    <x v="362"/>
    <x v="2"/>
    <x v="608"/>
    <m/>
    <x v="185"/>
    <m/>
    <x v="0"/>
    <x v="0"/>
    <x v="264"/>
    <d v="2012-06-16T00:00:00"/>
    <x v="7"/>
    <x v="0"/>
    <m/>
    <s v="Mostra Informativa"/>
    <x v="0"/>
    <x v="0"/>
    <m/>
    <x v="0"/>
    <x v="1"/>
    <x v="707"/>
    <x v="0"/>
    <x v="0"/>
    <x v="0"/>
    <x v="264"/>
    <x v="3946"/>
  </r>
  <r>
    <x v="1"/>
    <n v="1026"/>
    <x v="704"/>
    <x v="1"/>
    <s v="LM"/>
    <s v="S"/>
    <x v="362"/>
    <x v="2"/>
    <x v="618"/>
    <m/>
    <x v="23"/>
    <m/>
    <x v="3"/>
    <x v="0"/>
    <x v="479"/>
    <m/>
    <x v="16"/>
    <x v="0"/>
    <m/>
    <m/>
    <x v="0"/>
    <x v="1"/>
    <m/>
    <x v="0"/>
    <x v="1"/>
    <x v="707"/>
    <x v="3"/>
    <x v="0"/>
    <x v="1"/>
    <x v="479"/>
    <x v="3947"/>
  </r>
  <r>
    <x v="1"/>
    <n v="1027"/>
    <x v="705"/>
    <x v="0"/>
    <s v="LM"/>
    <s v="S"/>
    <x v="420"/>
    <x v="5"/>
    <x v="781"/>
    <m/>
    <x v="23"/>
    <m/>
    <x v="3"/>
    <x v="0"/>
    <x v="480"/>
    <d v="2012-10-11T00:00:00"/>
    <x v="14"/>
    <x v="0"/>
    <m/>
    <m/>
    <x v="0"/>
    <x v="1"/>
    <m/>
    <x v="0"/>
    <x v="5"/>
    <x v="708"/>
    <x v="3"/>
    <x v="0"/>
    <x v="1"/>
    <x v="480"/>
    <x v="3948"/>
  </r>
  <r>
    <x v="1"/>
    <n v="1028"/>
    <x v="706"/>
    <x v="0"/>
    <s v="LM"/>
    <s v="S"/>
    <x v="184"/>
    <x v="5"/>
    <x v="447"/>
    <m/>
    <x v="185"/>
    <m/>
    <x v="0"/>
    <x v="0"/>
    <x v="288"/>
    <d v="2012-03-15T00:00:00"/>
    <x v="2"/>
    <x v="0"/>
    <m/>
    <s v="Mostra Principal"/>
    <x v="0"/>
    <x v="0"/>
    <m/>
    <x v="0"/>
    <x v="5"/>
    <x v="709"/>
    <x v="0"/>
    <x v="0"/>
    <x v="0"/>
    <x v="288"/>
    <x v="3949"/>
  </r>
  <r>
    <x v="1"/>
    <n v="1028"/>
    <x v="706"/>
    <x v="0"/>
    <s v="LM"/>
    <s v="S"/>
    <x v="184"/>
    <x v="5"/>
    <x v="547"/>
    <m/>
    <x v="22"/>
    <m/>
    <x v="3"/>
    <x v="0"/>
    <x v="313"/>
    <d v="2012-05-30T00:00:00"/>
    <x v="4"/>
    <x v="0"/>
    <m/>
    <m/>
    <x v="0"/>
    <x v="1"/>
    <m/>
    <x v="0"/>
    <x v="5"/>
    <x v="709"/>
    <x v="3"/>
    <x v="0"/>
    <x v="1"/>
    <x v="313"/>
    <x v="3950"/>
  </r>
  <r>
    <x v="1"/>
    <n v="1028"/>
    <x v="706"/>
    <x v="0"/>
    <s v="LM"/>
    <s v="S"/>
    <x v="184"/>
    <x v="5"/>
    <x v="478"/>
    <m/>
    <x v="256"/>
    <m/>
    <x v="9"/>
    <x v="0"/>
    <x v="319"/>
    <d v="2012-04-26T00:00:00"/>
    <x v="5"/>
    <x v="0"/>
    <m/>
    <m/>
    <x v="0"/>
    <x v="0"/>
    <m/>
    <x v="0"/>
    <x v="5"/>
    <x v="709"/>
    <x v="9"/>
    <x v="0"/>
    <x v="0"/>
    <x v="319"/>
    <x v="3951"/>
  </r>
  <r>
    <x v="1"/>
    <n v="1028"/>
    <x v="706"/>
    <x v="0"/>
    <s v="LM"/>
    <s v="S"/>
    <x v="184"/>
    <x v="5"/>
    <x v="451"/>
    <m/>
    <x v="24"/>
    <m/>
    <x v="3"/>
    <x v="0"/>
    <x v="295"/>
    <d v="2012-10-28T00:00:00"/>
    <x v="14"/>
    <x v="0"/>
    <m/>
    <m/>
    <x v="0"/>
    <x v="1"/>
    <m/>
    <x v="0"/>
    <x v="5"/>
    <x v="709"/>
    <x v="3"/>
    <x v="0"/>
    <x v="1"/>
    <x v="295"/>
    <x v="3952"/>
  </r>
  <r>
    <x v="1"/>
    <n v="1028"/>
    <x v="706"/>
    <x v="0"/>
    <s v="LM"/>
    <s v="S"/>
    <x v="184"/>
    <x v="5"/>
    <x v="22"/>
    <m/>
    <x v="22"/>
    <m/>
    <x v="3"/>
    <x v="0"/>
    <x v="251"/>
    <d v="2012-11-18T00:00:00"/>
    <x v="13"/>
    <x v="1"/>
    <s v="Secção Competitiva"/>
    <m/>
    <x v="0"/>
    <x v="0"/>
    <m/>
    <x v="0"/>
    <x v="5"/>
    <x v="709"/>
    <x v="3"/>
    <x v="0"/>
    <x v="1"/>
    <x v="251"/>
    <x v="3953"/>
  </r>
  <r>
    <x v="1"/>
    <n v="1029"/>
    <x v="707"/>
    <x v="0"/>
    <s v="CM"/>
    <s v="N"/>
    <x v="502"/>
    <x v="2"/>
    <x v="681"/>
    <m/>
    <x v="23"/>
    <m/>
    <x v="3"/>
    <x v="0"/>
    <x v="322"/>
    <m/>
    <x v="15"/>
    <x v="1"/>
    <m/>
    <m/>
    <x v="0"/>
    <x v="1"/>
    <m/>
    <x v="0"/>
    <x v="0"/>
    <x v="710"/>
    <x v="3"/>
    <x v="0"/>
    <x v="1"/>
    <x v="322"/>
    <x v="3954"/>
  </r>
  <r>
    <x v="1"/>
    <n v="1029"/>
    <x v="707"/>
    <x v="0"/>
    <s v="CM"/>
    <s v="N"/>
    <x v="502"/>
    <x v="2"/>
    <x v="457"/>
    <m/>
    <x v="285"/>
    <m/>
    <x v="3"/>
    <x v="0"/>
    <x v="301"/>
    <d v="2012-06-16T00:00:00"/>
    <x v="7"/>
    <x v="1"/>
    <s v="Curtas-metragens"/>
    <m/>
    <x v="0"/>
    <x v="0"/>
    <m/>
    <x v="0"/>
    <x v="0"/>
    <x v="710"/>
    <x v="3"/>
    <x v="0"/>
    <x v="1"/>
    <x v="301"/>
    <x v="3955"/>
  </r>
  <r>
    <x v="1"/>
    <n v="1030"/>
    <x v="1476"/>
    <x v="1"/>
    <s v="CM"/>
    <s v=""/>
    <x v="967"/>
    <x v="2"/>
    <x v="146"/>
    <m/>
    <x v="24"/>
    <m/>
    <x v="3"/>
    <x v="0"/>
    <x v="281"/>
    <d v="2012-05-06T00:00:00"/>
    <x v="4"/>
    <x v="0"/>
    <m/>
    <s v="IndieMusic Curtas Metragens"/>
    <x v="0"/>
    <x v="0"/>
    <m/>
    <x v="0"/>
    <x v="2"/>
    <x v="1486"/>
    <x v="3"/>
    <x v="0"/>
    <x v="1"/>
    <x v="281"/>
    <x v="3956"/>
  </r>
  <r>
    <x v="1"/>
    <n v="1031"/>
    <x v="1477"/>
    <x v="0"/>
    <s v="CM"/>
    <s v="S"/>
    <x v="120"/>
    <x v="41"/>
    <x v="375"/>
    <m/>
    <x v="20"/>
    <m/>
    <x v="5"/>
    <x v="0"/>
    <x v="414"/>
    <d v="2012-02-19T00:00:00"/>
    <x v="1"/>
    <x v="1"/>
    <s v="Berlinale Shorts III"/>
    <m/>
    <x v="387"/>
    <x v="0"/>
    <m/>
    <x v="1"/>
    <x v="0"/>
    <x v="1487"/>
    <x v="5"/>
    <x v="477"/>
    <x v="0"/>
    <x v="414"/>
    <x v="3957"/>
  </r>
  <r>
    <x v="1"/>
    <n v="1031"/>
    <x v="1477"/>
    <x v="0"/>
    <s v="CM"/>
    <s v="S"/>
    <x v="120"/>
    <x v="41"/>
    <x v="146"/>
    <m/>
    <x v="24"/>
    <m/>
    <x v="3"/>
    <x v="0"/>
    <x v="281"/>
    <d v="2012-05-06T00:00:00"/>
    <x v="4"/>
    <x v="0"/>
    <m/>
    <s v="Sessões Especiais"/>
    <x v="0"/>
    <x v="0"/>
    <m/>
    <x v="0"/>
    <x v="0"/>
    <x v="1487"/>
    <x v="3"/>
    <x v="0"/>
    <x v="1"/>
    <x v="281"/>
    <x v="3958"/>
  </r>
  <r>
    <x v="1"/>
    <n v="1031"/>
    <x v="1477"/>
    <x v="0"/>
    <s v="CM"/>
    <s v="S"/>
    <x v="120"/>
    <x v="41"/>
    <x v="42"/>
    <m/>
    <x v="39"/>
    <m/>
    <x v="3"/>
    <x v="0"/>
    <x v="481"/>
    <m/>
    <x v="6"/>
    <x v="0"/>
    <m/>
    <m/>
    <x v="0"/>
    <x v="1"/>
    <m/>
    <x v="0"/>
    <x v="0"/>
    <x v="1487"/>
    <x v="3"/>
    <x v="0"/>
    <x v="1"/>
    <x v="481"/>
    <x v="3959"/>
  </r>
  <r>
    <x v="1"/>
    <n v="1031"/>
    <x v="1477"/>
    <x v="0"/>
    <s v="CM"/>
    <s v="S"/>
    <x v="120"/>
    <x v="41"/>
    <x v="13"/>
    <m/>
    <x v="13"/>
    <m/>
    <x v="3"/>
    <x v="0"/>
    <x v="255"/>
    <m/>
    <x v="7"/>
    <x v="0"/>
    <m/>
    <m/>
    <x v="0"/>
    <x v="1"/>
    <m/>
    <x v="0"/>
    <x v="0"/>
    <x v="1487"/>
    <x v="3"/>
    <x v="0"/>
    <x v="1"/>
    <x v="255"/>
    <x v="3960"/>
  </r>
  <r>
    <x v="1"/>
    <n v="1031"/>
    <x v="1477"/>
    <x v="0"/>
    <s v="CM"/>
    <s v="S"/>
    <x v="120"/>
    <x v="41"/>
    <x v="782"/>
    <m/>
    <x v="17"/>
    <m/>
    <x v="2"/>
    <x v="0"/>
    <x v="280"/>
    <d v="2012-07-10T00:00:00"/>
    <x v="17"/>
    <x v="0"/>
    <m/>
    <s v="Courts métrages hors compétition"/>
    <x v="0"/>
    <x v="0"/>
    <m/>
    <x v="0"/>
    <x v="0"/>
    <x v="1487"/>
    <x v="2"/>
    <x v="0"/>
    <x v="0"/>
    <x v="280"/>
    <x v="3961"/>
  </r>
  <r>
    <x v="1"/>
    <n v="1031"/>
    <x v="1477"/>
    <x v="0"/>
    <s v="CM"/>
    <s v="S"/>
    <x v="120"/>
    <x v="41"/>
    <x v="783"/>
    <m/>
    <x v="246"/>
    <m/>
    <x v="24"/>
    <x v="0"/>
    <x v="482"/>
    <d v="2012-07-14T00:00:00"/>
    <x v="8"/>
    <x v="0"/>
    <m/>
    <s v="New Currents Shorts"/>
    <x v="0"/>
    <x v="0"/>
    <m/>
    <x v="0"/>
    <x v="0"/>
    <x v="1487"/>
    <x v="24"/>
    <x v="0"/>
    <x v="0"/>
    <x v="482"/>
    <x v="3962"/>
  </r>
  <r>
    <x v="1"/>
    <n v="1031"/>
    <x v="1477"/>
    <x v="0"/>
    <s v="CM"/>
    <s v="S"/>
    <x v="120"/>
    <x v="41"/>
    <x v="57"/>
    <m/>
    <x v="40"/>
    <m/>
    <x v="3"/>
    <x v="0"/>
    <x v="250"/>
    <m/>
    <x v="8"/>
    <x v="0"/>
    <m/>
    <m/>
    <x v="0"/>
    <x v="1"/>
    <m/>
    <x v="0"/>
    <x v="0"/>
    <x v="1487"/>
    <x v="3"/>
    <x v="0"/>
    <x v="1"/>
    <x v="250"/>
    <x v="3963"/>
  </r>
  <r>
    <x v="1"/>
    <n v="1031"/>
    <x v="1477"/>
    <x v="0"/>
    <s v="CM"/>
    <s v="S"/>
    <x v="120"/>
    <x v="41"/>
    <x v="510"/>
    <m/>
    <x v="133"/>
    <m/>
    <x v="0"/>
    <x v="0"/>
    <x v="199"/>
    <d v="2012-08-31T00:00:00"/>
    <x v="16"/>
    <x v="0"/>
    <m/>
    <s v="Mostra Internacional 8"/>
    <x v="0"/>
    <x v="0"/>
    <m/>
    <x v="0"/>
    <x v="0"/>
    <x v="1487"/>
    <x v="0"/>
    <x v="0"/>
    <x v="0"/>
    <x v="199"/>
    <x v="3964"/>
  </r>
  <r>
    <x v="1"/>
    <n v="1031"/>
    <x v="1477"/>
    <x v="0"/>
    <s v="CM"/>
    <s v="S"/>
    <x v="120"/>
    <x v="41"/>
    <x v="58"/>
    <m/>
    <x v="47"/>
    <m/>
    <x v="3"/>
    <x v="0"/>
    <x v="118"/>
    <d v="2012-09-09T00:00:00"/>
    <x v="9"/>
    <x v="0"/>
    <m/>
    <m/>
    <x v="0"/>
    <x v="1"/>
    <m/>
    <x v="0"/>
    <x v="0"/>
    <x v="1487"/>
    <x v="3"/>
    <x v="0"/>
    <x v="1"/>
    <x v="118"/>
    <x v="3965"/>
  </r>
  <r>
    <x v="1"/>
    <n v="1031"/>
    <x v="1477"/>
    <x v="0"/>
    <s v="CM"/>
    <s v="S"/>
    <x v="120"/>
    <x v="41"/>
    <x v="538"/>
    <m/>
    <x v="315"/>
    <m/>
    <x v="3"/>
    <x v="0"/>
    <x v="276"/>
    <m/>
    <x v="9"/>
    <x v="0"/>
    <m/>
    <m/>
    <x v="0"/>
    <x v="1"/>
    <m/>
    <x v="0"/>
    <x v="0"/>
    <x v="1487"/>
    <x v="3"/>
    <x v="0"/>
    <x v="1"/>
    <x v="276"/>
    <x v="3966"/>
  </r>
  <r>
    <x v="1"/>
    <n v="1031"/>
    <x v="1477"/>
    <x v="0"/>
    <s v="CM"/>
    <s v="S"/>
    <x v="120"/>
    <x v="41"/>
    <x v="353"/>
    <m/>
    <x v="237"/>
    <m/>
    <x v="17"/>
    <x v="0"/>
    <x v="377"/>
    <d v="2012-09-23T00:00:00"/>
    <x v="9"/>
    <x v="1"/>
    <s v="Brief Encounters Competition - INT 2: We are Family"/>
    <m/>
    <x v="0"/>
    <x v="0"/>
    <m/>
    <x v="0"/>
    <x v="0"/>
    <x v="1487"/>
    <x v="17"/>
    <x v="0"/>
    <x v="0"/>
    <x v="377"/>
    <x v="3967"/>
  </r>
  <r>
    <x v="1"/>
    <n v="1031"/>
    <x v="1477"/>
    <x v="0"/>
    <s v="CM"/>
    <s v="S"/>
    <x v="120"/>
    <x v="41"/>
    <x v="444"/>
    <m/>
    <x v="283"/>
    <m/>
    <x v="3"/>
    <x v="0"/>
    <x v="285"/>
    <d v="2012-10-17T00:00:00"/>
    <x v="14"/>
    <x v="0"/>
    <m/>
    <m/>
    <x v="0"/>
    <x v="1"/>
    <m/>
    <x v="0"/>
    <x v="0"/>
    <x v="1487"/>
    <x v="3"/>
    <x v="0"/>
    <x v="1"/>
    <x v="285"/>
    <x v="3968"/>
  </r>
  <r>
    <x v="1"/>
    <n v="1031"/>
    <x v="1477"/>
    <x v="0"/>
    <s v="CM"/>
    <s v="S"/>
    <x v="120"/>
    <x v="41"/>
    <x v="401"/>
    <m/>
    <x v="262"/>
    <m/>
    <x v="63"/>
    <x v="0"/>
    <x v="295"/>
    <d v="2012-10-28T00:00:00"/>
    <x v="14"/>
    <x v="1"/>
    <s v="International Competition 8"/>
    <m/>
    <x v="388"/>
    <x v="0"/>
    <m/>
    <x v="1"/>
    <x v="0"/>
    <x v="1487"/>
    <x v="63"/>
    <x v="478"/>
    <x v="0"/>
    <x v="295"/>
    <x v="3969"/>
  </r>
  <r>
    <x v="1"/>
    <n v="1031"/>
    <x v="1477"/>
    <x v="0"/>
    <s v="CM"/>
    <s v="S"/>
    <x v="120"/>
    <x v="41"/>
    <x v="22"/>
    <m/>
    <x v="22"/>
    <m/>
    <x v="3"/>
    <x v="0"/>
    <x v="251"/>
    <d v="2012-11-18T00:00:00"/>
    <x v="13"/>
    <x v="1"/>
    <s v="Secção Competitiva"/>
    <m/>
    <x v="0"/>
    <x v="0"/>
    <m/>
    <x v="0"/>
    <x v="0"/>
    <x v="1487"/>
    <x v="3"/>
    <x v="0"/>
    <x v="1"/>
    <x v="251"/>
    <x v="3970"/>
  </r>
  <r>
    <x v="1"/>
    <n v="1031"/>
    <x v="1477"/>
    <x v="0"/>
    <s v="CM"/>
    <s v="S"/>
    <x v="120"/>
    <x v="41"/>
    <x v="710"/>
    <m/>
    <x v="253"/>
    <m/>
    <x v="0"/>
    <x v="0"/>
    <x v="251"/>
    <d v="2012-11-18T00:00:00"/>
    <x v="13"/>
    <x v="1"/>
    <s v="Competição Internacional 1 - Vamos à Luta"/>
    <m/>
    <x v="389"/>
    <x v="0"/>
    <m/>
    <x v="1"/>
    <x v="0"/>
    <x v="1487"/>
    <x v="0"/>
    <x v="479"/>
    <x v="0"/>
    <x v="251"/>
    <x v="3971"/>
  </r>
  <r>
    <x v="1"/>
    <n v="1031"/>
    <x v="1477"/>
    <x v="0"/>
    <s v="CM"/>
    <s v="S"/>
    <x v="120"/>
    <x v="41"/>
    <x v="99"/>
    <m/>
    <x v="78"/>
    <m/>
    <x v="20"/>
    <x v="0"/>
    <x v="342"/>
    <d v="2012-11-18T00:00:00"/>
    <x v="13"/>
    <x v="1"/>
    <s v="International Shorts 4"/>
    <s v="Great Shorts"/>
    <x v="0"/>
    <x v="0"/>
    <m/>
    <x v="0"/>
    <x v="0"/>
    <x v="1487"/>
    <x v="20"/>
    <x v="0"/>
    <x v="0"/>
    <x v="342"/>
    <x v="3972"/>
  </r>
  <r>
    <x v="1"/>
    <n v="1031"/>
    <x v="1477"/>
    <x v="0"/>
    <s v="CM"/>
    <s v="S"/>
    <x v="120"/>
    <x v="41"/>
    <x v="151"/>
    <m/>
    <x v="116"/>
    <m/>
    <x v="1"/>
    <x v="0"/>
    <x v="354"/>
    <d v="2012-11-24T00:00:00"/>
    <x v="13"/>
    <x v="1"/>
    <s v="Sección Oficial Cortometrajes"/>
    <m/>
    <x v="0"/>
    <x v="0"/>
    <m/>
    <x v="0"/>
    <x v="0"/>
    <x v="1487"/>
    <x v="1"/>
    <x v="0"/>
    <x v="0"/>
    <x v="354"/>
    <x v="3973"/>
  </r>
  <r>
    <x v="1"/>
    <n v="1031"/>
    <x v="1477"/>
    <x v="0"/>
    <s v="CM"/>
    <s v="S"/>
    <x v="120"/>
    <x v="41"/>
    <x v="537"/>
    <m/>
    <x v="50"/>
    <m/>
    <x v="13"/>
    <x v="0"/>
    <x v="282"/>
    <d v="2012-11-21T00:00:00"/>
    <x v="13"/>
    <x v="1"/>
    <s v="Curtas-Metragens"/>
    <m/>
    <x v="0"/>
    <x v="0"/>
    <m/>
    <x v="0"/>
    <x v="0"/>
    <x v="1487"/>
    <x v="13"/>
    <x v="0"/>
    <x v="0"/>
    <x v="282"/>
    <x v="3974"/>
  </r>
  <r>
    <x v="1"/>
    <n v="1031"/>
    <x v="1477"/>
    <x v="0"/>
    <s v="CM"/>
    <s v="S"/>
    <x v="120"/>
    <x v="41"/>
    <x v="409"/>
    <m/>
    <x v="58"/>
    <m/>
    <x v="17"/>
    <x v="0"/>
    <x v="239"/>
    <d v="2012-12-08T00:00:00"/>
    <x v="11"/>
    <x v="0"/>
    <m/>
    <m/>
    <x v="0"/>
    <x v="1"/>
    <m/>
    <x v="0"/>
    <x v="0"/>
    <x v="1487"/>
    <x v="17"/>
    <x v="0"/>
    <x v="0"/>
    <x v="239"/>
    <x v="3975"/>
  </r>
  <r>
    <x v="1"/>
    <n v="1031"/>
    <x v="1477"/>
    <x v="0"/>
    <s v="CM"/>
    <s v="S"/>
    <x v="120"/>
    <x v="41"/>
    <x v="448"/>
    <m/>
    <x v="59"/>
    <m/>
    <x v="3"/>
    <x v="0"/>
    <x v="289"/>
    <d v="2012-12-02T00:00:00"/>
    <x v="11"/>
    <x v="1"/>
    <s v="Competição Nacional"/>
    <m/>
    <x v="0"/>
    <x v="0"/>
    <m/>
    <x v="0"/>
    <x v="0"/>
    <x v="1487"/>
    <x v="3"/>
    <x v="0"/>
    <x v="1"/>
    <x v="289"/>
    <x v="3976"/>
  </r>
  <r>
    <x v="1"/>
    <n v="1031"/>
    <x v="1477"/>
    <x v="0"/>
    <s v="CM"/>
    <s v="S"/>
    <x v="120"/>
    <x v="41"/>
    <x v="784"/>
    <m/>
    <x v="20"/>
    <m/>
    <x v="5"/>
    <x v="0"/>
    <x v="304"/>
    <m/>
    <x v="13"/>
    <x v="0"/>
    <m/>
    <s v="Kurzfilmprogramm"/>
    <x v="0"/>
    <x v="1"/>
    <s v="Entre 13/9 e 30/11/2012, org, EUNIC Berlim, Kino Arsenal"/>
    <x v="0"/>
    <x v="0"/>
    <x v="1487"/>
    <x v="5"/>
    <x v="0"/>
    <x v="0"/>
    <x v="304"/>
    <x v="3977"/>
  </r>
  <r>
    <x v="1"/>
    <n v="1031"/>
    <x v="1477"/>
    <x v="0"/>
    <s v="CM"/>
    <s v="S"/>
    <x v="120"/>
    <x v="41"/>
    <x v="133"/>
    <m/>
    <x v="101"/>
    <m/>
    <x v="3"/>
    <x v="0"/>
    <x v="331"/>
    <d v="2012-12-09T00:00:00"/>
    <x v="12"/>
    <x v="0"/>
    <m/>
    <s v="Em Debate - João Salaviza"/>
    <x v="0"/>
    <x v="0"/>
    <m/>
    <x v="0"/>
    <x v="0"/>
    <x v="1487"/>
    <x v="3"/>
    <x v="0"/>
    <x v="1"/>
    <x v="331"/>
    <x v="3978"/>
  </r>
  <r>
    <x v="1"/>
    <n v="1548"/>
    <x v="1478"/>
    <x v="0"/>
    <s v="CM"/>
    <s v="N"/>
    <x v="968"/>
    <x v="41"/>
    <x v="785"/>
    <m/>
    <x v="386"/>
    <m/>
    <x v="3"/>
    <x v="0"/>
    <x v="298"/>
    <m/>
    <x v="8"/>
    <x v="0"/>
    <m/>
    <m/>
    <x v="0"/>
    <x v="1"/>
    <m/>
    <x v="0"/>
    <x v="0"/>
    <x v="1488"/>
    <x v="3"/>
    <x v="0"/>
    <x v="1"/>
    <x v="298"/>
    <x v="3979"/>
  </r>
  <r>
    <x v="1"/>
    <n v="1548"/>
    <x v="1478"/>
    <x v="0"/>
    <s v="CM"/>
    <s v="N"/>
    <x v="968"/>
    <x v="41"/>
    <x v="504"/>
    <m/>
    <x v="23"/>
    <m/>
    <x v="3"/>
    <x v="0"/>
    <x v="351"/>
    <m/>
    <x v="12"/>
    <x v="1"/>
    <m/>
    <m/>
    <x v="0"/>
    <x v="1"/>
    <m/>
    <x v="0"/>
    <x v="0"/>
    <x v="1488"/>
    <x v="3"/>
    <x v="0"/>
    <x v="1"/>
    <x v="351"/>
    <x v="3980"/>
  </r>
  <r>
    <x v="1"/>
    <n v="1032"/>
    <x v="1479"/>
    <x v="0"/>
    <s v="CM"/>
    <s v="N"/>
    <x v="969"/>
    <x v="2"/>
    <x v="626"/>
    <m/>
    <x v="338"/>
    <m/>
    <x v="3"/>
    <x v="0"/>
    <x v="404"/>
    <m/>
    <x v="2"/>
    <x v="1"/>
    <m/>
    <m/>
    <x v="47"/>
    <x v="0"/>
    <m/>
    <x v="1"/>
    <x v="0"/>
    <x v="1489"/>
    <x v="3"/>
    <x v="62"/>
    <x v="1"/>
    <x v="404"/>
    <x v="3981"/>
  </r>
  <r>
    <x v="1"/>
    <n v="1033"/>
    <x v="708"/>
    <x v="0"/>
    <s v="CM"/>
    <s v="S"/>
    <x v="38"/>
    <x v="15"/>
    <x v="427"/>
    <m/>
    <x v="275"/>
    <m/>
    <x v="65"/>
    <x v="0"/>
    <x v="259"/>
    <d v="2012-03-11T00:00:00"/>
    <x v="2"/>
    <x v="0"/>
    <m/>
    <s v="Portugal2"/>
    <x v="0"/>
    <x v="0"/>
    <m/>
    <x v="0"/>
    <x v="0"/>
    <x v="711"/>
    <x v="65"/>
    <x v="0"/>
    <x v="0"/>
    <x v="259"/>
    <x v="3982"/>
  </r>
  <r>
    <x v="1"/>
    <n v="1035"/>
    <x v="1480"/>
    <x v="0"/>
    <s v="CM"/>
    <s v="N"/>
    <x v="970"/>
    <x v="2"/>
    <x v="730"/>
    <m/>
    <x v="11"/>
    <m/>
    <x v="3"/>
    <x v="0"/>
    <x v="458"/>
    <m/>
    <x v="7"/>
    <x v="1"/>
    <m/>
    <m/>
    <x v="0"/>
    <x v="1"/>
    <m/>
    <x v="0"/>
    <x v="0"/>
    <x v="1490"/>
    <x v="3"/>
    <x v="0"/>
    <x v="1"/>
    <x v="458"/>
    <x v="3983"/>
  </r>
  <r>
    <x v="1"/>
    <n v="1036"/>
    <x v="1481"/>
    <x v="0"/>
    <s v="CM"/>
    <s v="N"/>
    <x v="971"/>
    <x v="2"/>
    <x v="552"/>
    <m/>
    <x v="11"/>
    <m/>
    <x v="3"/>
    <x v="0"/>
    <x v="301"/>
    <m/>
    <x v="7"/>
    <x v="0"/>
    <m/>
    <s v="Curta Convidada"/>
    <x v="0"/>
    <x v="1"/>
    <m/>
    <x v="0"/>
    <x v="0"/>
    <x v="1491"/>
    <x v="3"/>
    <x v="0"/>
    <x v="1"/>
    <x v="301"/>
    <x v="3984"/>
  </r>
  <r>
    <x v="1"/>
    <n v="1037"/>
    <x v="710"/>
    <x v="0"/>
    <s v="LM"/>
    <s v="S"/>
    <x v="503"/>
    <x v="2"/>
    <x v="547"/>
    <m/>
    <x v="22"/>
    <m/>
    <x v="3"/>
    <x v="0"/>
    <x v="313"/>
    <d v="2012-05-30T00:00:00"/>
    <x v="4"/>
    <x v="0"/>
    <m/>
    <m/>
    <x v="0"/>
    <x v="1"/>
    <m/>
    <x v="0"/>
    <x v="5"/>
    <x v="713"/>
    <x v="3"/>
    <x v="0"/>
    <x v="1"/>
    <x v="313"/>
    <x v="3985"/>
  </r>
  <r>
    <x v="1"/>
    <n v="1329"/>
    <x v="1482"/>
    <x v="0"/>
    <s v="CM"/>
    <s v="N"/>
    <x v="972"/>
    <x v="2"/>
    <x v="316"/>
    <m/>
    <x v="11"/>
    <m/>
    <x v="3"/>
    <x v="0"/>
    <x v="199"/>
    <d v="2012-08-25T00:00:00"/>
    <x v="16"/>
    <x v="1"/>
    <s v="Ficção"/>
    <m/>
    <x v="0"/>
    <x v="0"/>
    <m/>
    <x v="0"/>
    <x v="0"/>
    <x v="1492"/>
    <x v="3"/>
    <x v="0"/>
    <x v="1"/>
    <x v="199"/>
    <x v="3986"/>
  </r>
  <r>
    <x v="1"/>
    <n v="1038"/>
    <x v="1483"/>
    <x v="1"/>
    <s v="CM"/>
    <s v=""/>
    <x v="289"/>
    <x v="2"/>
    <x v="146"/>
    <m/>
    <x v="24"/>
    <m/>
    <x v="3"/>
    <x v="0"/>
    <x v="281"/>
    <d v="2012-05-06T00:00:00"/>
    <x v="4"/>
    <x v="0"/>
    <m/>
    <s v="Sessões Especiais "/>
    <x v="0"/>
    <x v="0"/>
    <m/>
    <x v="0"/>
    <x v="2"/>
    <x v="1493"/>
    <x v="3"/>
    <x v="0"/>
    <x v="1"/>
    <x v="281"/>
    <x v="3987"/>
  </r>
  <r>
    <x v="1"/>
    <n v="1339"/>
    <x v="1484"/>
    <x v="1"/>
    <s v="LM"/>
    <s v="N"/>
    <x v="973"/>
    <x v="41"/>
    <x v="68"/>
    <m/>
    <x v="53"/>
    <m/>
    <x v="3"/>
    <x v="0"/>
    <x v="253"/>
    <d v="2012-07-15T00:00:00"/>
    <x v="8"/>
    <x v="0"/>
    <m/>
    <s v="20 Anos: 4x4"/>
    <x v="0"/>
    <x v="0"/>
    <m/>
    <x v="0"/>
    <x v="1"/>
    <x v="1494"/>
    <x v="3"/>
    <x v="0"/>
    <x v="1"/>
    <x v="253"/>
    <x v="3988"/>
  </r>
  <r>
    <x v="1"/>
    <n v="1339"/>
    <x v="1484"/>
    <x v="1"/>
    <s v="LM"/>
    <s v="N"/>
    <x v="973"/>
    <x v="41"/>
    <x v="148"/>
    <m/>
    <x v="113"/>
    <m/>
    <x v="7"/>
    <x v="0"/>
    <x v="257"/>
    <d v="2012-10-12T00:00:00"/>
    <x v="10"/>
    <x v="0"/>
    <m/>
    <s v="Non Fiction Features: Arts and Letters"/>
    <x v="0"/>
    <x v="0"/>
    <m/>
    <x v="0"/>
    <x v="1"/>
    <x v="1494"/>
    <x v="7"/>
    <x v="0"/>
    <x v="0"/>
    <x v="257"/>
    <x v="3989"/>
  </r>
  <r>
    <x v="1"/>
    <n v="1339"/>
    <x v="1484"/>
    <x v="1"/>
    <s v="LM"/>
    <s v="N"/>
    <x v="973"/>
    <x v="41"/>
    <x v="25"/>
    <m/>
    <x v="24"/>
    <m/>
    <x v="3"/>
    <x v="0"/>
    <x v="294"/>
    <d v="2012-10-28T00:00:00"/>
    <x v="14"/>
    <x v="0"/>
    <m/>
    <s v="Riscos (em memória de Chris Marker, Marcel Hanoun e Stephen Dowskin)"/>
    <x v="0"/>
    <x v="0"/>
    <m/>
    <x v="0"/>
    <x v="1"/>
    <x v="1494"/>
    <x v="3"/>
    <x v="0"/>
    <x v="1"/>
    <x v="294"/>
    <x v="3990"/>
  </r>
  <r>
    <x v="1"/>
    <n v="1040"/>
    <x v="712"/>
    <x v="0"/>
    <s v="LM"/>
    <s v="S"/>
    <x v="461"/>
    <x v="38"/>
    <x v="149"/>
    <m/>
    <x v="114"/>
    <m/>
    <x v="35"/>
    <x v="0"/>
    <x v="339"/>
    <d v="2012-11-07T00:00:00"/>
    <x v="0"/>
    <x v="0"/>
    <m/>
    <s v="In Focus: Manuel Mozos"/>
    <x v="0"/>
    <x v="0"/>
    <m/>
    <x v="0"/>
    <x v="5"/>
    <x v="715"/>
    <x v="35"/>
    <x v="0"/>
    <x v="0"/>
    <x v="339"/>
    <x v="3991"/>
  </r>
  <r>
    <x v="1"/>
    <n v="1044"/>
    <x v="1485"/>
    <x v="0"/>
    <s v="LM"/>
    <s v="S"/>
    <x v="539"/>
    <x v="45"/>
    <x v="414"/>
    <m/>
    <x v="24"/>
    <m/>
    <x v="3"/>
    <x v="0"/>
    <x v="244"/>
    <d v="2012-02-29T00:00:00"/>
    <x v="1"/>
    <x v="0"/>
    <m/>
    <m/>
    <x v="0"/>
    <x v="1"/>
    <m/>
    <x v="0"/>
    <x v="5"/>
    <x v="1495"/>
    <x v="3"/>
    <x v="0"/>
    <x v="1"/>
    <x v="244"/>
    <x v="3992"/>
  </r>
  <r>
    <x v="1"/>
    <n v="1045"/>
    <x v="1486"/>
    <x v="0"/>
    <s v="LM"/>
    <s v="S"/>
    <x v="225"/>
    <x v="37"/>
    <x v="469"/>
    <m/>
    <x v="24"/>
    <m/>
    <x v="3"/>
    <x v="0"/>
    <x v="243"/>
    <d v="2012-06-17T00:00:00"/>
    <x v="7"/>
    <x v="0"/>
    <m/>
    <m/>
    <x v="0"/>
    <x v="1"/>
    <m/>
    <x v="0"/>
    <x v="5"/>
    <x v="1496"/>
    <x v="3"/>
    <x v="0"/>
    <x v="1"/>
    <x v="243"/>
    <x v="3993"/>
  </r>
  <r>
    <x v="1"/>
    <n v="1046"/>
    <x v="1487"/>
    <x v="0"/>
    <s v="CM"/>
    <s v="N"/>
    <x v="974"/>
    <x v="2"/>
    <x v="456"/>
    <m/>
    <x v="24"/>
    <m/>
    <x v="3"/>
    <x v="0"/>
    <x v="390"/>
    <m/>
    <x v="15"/>
    <x v="0"/>
    <m/>
    <m/>
    <x v="0"/>
    <x v="1"/>
    <m/>
    <x v="0"/>
    <x v="0"/>
    <x v="1497"/>
    <x v="3"/>
    <x v="0"/>
    <x v="1"/>
    <x v="390"/>
    <x v="3994"/>
  </r>
  <r>
    <x v="1"/>
    <n v="1046"/>
    <x v="1487"/>
    <x v="0"/>
    <s v="CM"/>
    <s v="N"/>
    <x v="974"/>
    <x v="2"/>
    <x v="415"/>
    <m/>
    <x v="24"/>
    <m/>
    <x v="3"/>
    <x v="0"/>
    <x v="245"/>
    <m/>
    <x v="1"/>
    <x v="0"/>
    <m/>
    <s v="Curta Convidada"/>
    <x v="0"/>
    <x v="1"/>
    <m/>
    <x v="0"/>
    <x v="0"/>
    <x v="1497"/>
    <x v="3"/>
    <x v="0"/>
    <x v="1"/>
    <x v="245"/>
    <x v="3995"/>
  </r>
  <r>
    <x v="1"/>
    <n v="1046"/>
    <x v="1487"/>
    <x v="0"/>
    <s v="CM"/>
    <s v="N"/>
    <x v="974"/>
    <x v="2"/>
    <x v="561"/>
    <m/>
    <x v="24"/>
    <m/>
    <x v="3"/>
    <x v="0"/>
    <x v="365"/>
    <m/>
    <x v="6"/>
    <x v="0"/>
    <m/>
    <m/>
    <x v="0"/>
    <x v="1"/>
    <m/>
    <x v="0"/>
    <x v="0"/>
    <x v="1497"/>
    <x v="3"/>
    <x v="0"/>
    <x v="1"/>
    <x v="365"/>
    <x v="3996"/>
  </r>
  <r>
    <x v="1"/>
    <n v="1046"/>
    <x v="1487"/>
    <x v="0"/>
    <s v="CM"/>
    <s v="N"/>
    <x v="974"/>
    <x v="2"/>
    <x v="58"/>
    <m/>
    <x v="47"/>
    <m/>
    <x v="3"/>
    <x v="0"/>
    <x v="118"/>
    <d v="2012-09-09T00:00:00"/>
    <x v="9"/>
    <x v="0"/>
    <m/>
    <m/>
    <x v="0"/>
    <x v="1"/>
    <m/>
    <x v="0"/>
    <x v="0"/>
    <x v="1497"/>
    <x v="3"/>
    <x v="0"/>
    <x v="1"/>
    <x v="118"/>
    <x v="3997"/>
  </r>
  <r>
    <x v="1"/>
    <n v="1046"/>
    <x v="1487"/>
    <x v="0"/>
    <s v="CM"/>
    <s v="N"/>
    <x v="974"/>
    <x v="2"/>
    <x v="439"/>
    <m/>
    <x v="281"/>
    <m/>
    <x v="3"/>
    <x v="0"/>
    <x v="277"/>
    <d v="2012-11-03T00:00:00"/>
    <x v="0"/>
    <x v="0"/>
    <m/>
    <m/>
    <x v="0"/>
    <x v="0"/>
    <m/>
    <x v="0"/>
    <x v="0"/>
    <x v="1497"/>
    <x v="3"/>
    <x v="0"/>
    <x v="1"/>
    <x v="277"/>
    <x v="3998"/>
  </r>
  <r>
    <x v="1"/>
    <n v="1047"/>
    <x v="716"/>
    <x v="0"/>
    <s v="CM"/>
    <s v="S"/>
    <x v="240"/>
    <x v="2"/>
    <x v="403"/>
    <m/>
    <x v="263"/>
    <m/>
    <x v="2"/>
    <x v="0"/>
    <x v="232"/>
    <d v="2012-04-15T00:00:00"/>
    <x v="5"/>
    <x v="0"/>
    <m/>
    <s v="Rétrospectives et Thématiques - Jeune Cinéma Portugais"/>
    <x v="0"/>
    <x v="0"/>
    <m/>
    <x v="0"/>
    <x v="0"/>
    <x v="719"/>
    <x v="2"/>
    <x v="0"/>
    <x v="0"/>
    <x v="232"/>
    <x v="3999"/>
  </r>
  <r>
    <x v="1"/>
    <n v="1566"/>
    <x v="1488"/>
    <x v="1"/>
    <s v="CM"/>
    <s v="N"/>
    <x v="975"/>
    <x v="41"/>
    <x v="22"/>
    <m/>
    <x v="22"/>
    <m/>
    <x v="3"/>
    <x v="0"/>
    <x v="251"/>
    <d v="2012-11-18T00:00:00"/>
    <x v="13"/>
    <x v="1"/>
    <s v="Ensaios Visuais"/>
    <m/>
    <x v="0"/>
    <x v="0"/>
    <m/>
    <x v="0"/>
    <x v="2"/>
    <x v="1498"/>
    <x v="3"/>
    <x v="0"/>
    <x v="1"/>
    <x v="251"/>
    <x v="4000"/>
  </r>
  <r>
    <x v="1"/>
    <n v="1566"/>
    <x v="1488"/>
    <x v="1"/>
    <s v="CM"/>
    <s v="N"/>
    <x v="975"/>
    <x v="41"/>
    <x v="402"/>
    <m/>
    <x v="24"/>
    <m/>
    <x v="3"/>
    <x v="0"/>
    <x v="231"/>
    <d v="2012-12-09T00:00:00"/>
    <x v="12"/>
    <x v="1"/>
    <s v="Categoria Património Imaterial e Prémio Jovem Realizador"/>
    <m/>
    <x v="390"/>
    <x v="1"/>
    <m/>
    <x v="1"/>
    <x v="2"/>
    <x v="1498"/>
    <x v="3"/>
    <x v="480"/>
    <x v="1"/>
    <x v="231"/>
    <x v="4001"/>
  </r>
  <r>
    <x v="1"/>
    <n v="1389"/>
    <x v="1489"/>
    <x v="1"/>
    <s v="CM"/>
    <s v="N"/>
    <x v="976"/>
    <x v="41"/>
    <x v="88"/>
    <m/>
    <x v="67"/>
    <m/>
    <x v="3"/>
    <x v="0"/>
    <x v="262"/>
    <d v="2012-10-13T00:00:00"/>
    <x v="14"/>
    <x v="1"/>
    <s v="Competição Lusófona - Panorama Regional"/>
    <m/>
    <x v="0"/>
    <x v="0"/>
    <m/>
    <x v="0"/>
    <x v="2"/>
    <x v="1499"/>
    <x v="3"/>
    <x v="0"/>
    <x v="1"/>
    <x v="262"/>
    <x v="4002"/>
  </r>
  <r>
    <x v="1"/>
    <n v="1056"/>
    <x v="1490"/>
    <x v="1"/>
    <s v="CM"/>
    <s v="N"/>
    <x v="977"/>
    <x v="2"/>
    <x v="412"/>
    <m/>
    <x v="269"/>
    <m/>
    <x v="3"/>
    <x v="0"/>
    <x v="242"/>
    <m/>
    <x v="7"/>
    <x v="0"/>
    <m/>
    <m/>
    <x v="0"/>
    <x v="0"/>
    <m/>
    <x v="0"/>
    <x v="2"/>
    <x v="1500"/>
    <x v="3"/>
    <x v="0"/>
    <x v="1"/>
    <x v="242"/>
    <x v="4003"/>
  </r>
  <r>
    <x v="1"/>
    <n v="1057"/>
    <x v="1491"/>
    <x v="0"/>
    <s v="CM"/>
    <s v="N"/>
    <x v="978"/>
    <x v="2"/>
    <x v="437"/>
    <m/>
    <x v="49"/>
    <m/>
    <x v="3"/>
    <x v="0"/>
    <x v="273"/>
    <m/>
    <x v="15"/>
    <x v="0"/>
    <m/>
    <m/>
    <x v="0"/>
    <x v="1"/>
    <m/>
    <x v="0"/>
    <x v="0"/>
    <x v="1501"/>
    <x v="3"/>
    <x v="0"/>
    <x v="1"/>
    <x v="273"/>
    <x v="4004"/>
  </r>
  <r>
    <x v="1"/>
    <n v="1058"/>
    <x v="725"/>
    <x v="5"/>
    <s v="CM"/>
    <s v="N"/>
    <x v="511"/>
    <x v="2"/>
    <x v="62"/>
    <m/>
    <x v="23"/>
    <m/>
    <x v="3"/>
    <x v="0"/>
    <x v="302"/>
    <d v="2012-03-04T00:00:00"/>
    <x v="19"/>
    <x v="0"/>
    <m/>
    <s v="Especial Festival Black &amp; White"/>
    <x v="0"/>
    <x v="0"/>
    <m/>
    <x v="0"/>
    <x v="15"/>
    <x v="728"/>
    <x v="3"/>
    <x v="0"/>
    <x v="1"/>
    <x v="302"/>
    <x v="4005"/>
  </r>
  <r>
    <x v="1"/>
    <n v="1059"/>
    <x v="726"/>
    <x v="0"/>
    <s v="LM"/>
    <s v="S"/>
    <x v="111"/>
    <x v="38"/>
    <x v="533"/>
    <m/>
    <x v="314"/>
    <m/>
    <x v="9"/>
    <x v="0"/>
    <x v="365"/>
    <d v="2012-05-26T00:00:00"/>
    <x v="6"/>
    <x v="0"/>
    <m/>
    <m/>
    <x v="0"/>
    <x v="1"/>
    <m/>
    <x v="0"/>
    <x v="5"/>
    <x v="729"/>
    <x v="9"/>
    <x v="0"/>
    <x v="0"/>
    <x v="365"/>
    <x v="4006"/>
  </r>
  <r>
    <x v="1"/>
    <n v="1059"/>
    <x v="726"/>
    <x v="0"/>
    <s v="LM"/>
    <s v="S"/>
    <x v="111"/>
    <x v="38"/>
    <x v="534"/>
    <m/>
    <x v="65"/>
    <m/>
    <x v="9"/>
    <x v="0"/>
    <x v="236"/>
    <d v="2012-06-28T00:00:00"/>
    <x v="7"/>
    <x v="0"/>
    <m/>
    <m/>
    <x v="0"/>
    <x v="1"/>
    <m/>
    <x v="0"/>
    <x v="5"/>
    <x v="729"/>
    <x v="9"/>
    <x v="0"/>
    <x v="0"/>
    <x v="236"/>
    <x v="4007"/>
  </r>
  <r>
    <x v="1"/>
    <n v="2154"/>
    <x v="1492"/>
    <x v="2"/>
    <s v="CM"/>
    <s v="N"/>
    <x v="979"/>
    <x v="41"/>
    <x v="634"/>
    <m/>
    <x v="340"/>
    <m/>
    <x v="3"/>
    <x v="0"/>
    <x v="415"/>
    <d v="2012-09-09T00:00:00"/>
    <x v="9"/>
    <x v="1"/>
    <s v="Animação"/>
    <m/>
    <x v="391"/>
    <x v="0"/>
    <m/>
    <x v="1"/>
    <x v="4"/>
    <x v="1502"/>
    <x v="3"/>
    <x v="481"/>
    <x v="1"/>
    <x v="415"/>
    <x v="4008"/>
  </r>
  <r>
    <x v="1"/>
    <n v="1061"/>
    <x v="1493"/>
    <x v="3"/>
    <s v="CM"/>
    <s v="N"/>
    <x v="980"/>
    <x v="2"/>
    <x v="464"/>
    <m/>
    <x v="40"/>
    <m/>
    <x v="3"/>
    <x v="0"/>
    <x v="311"/>
    <d v="2012-04-01T00:00:00"/>
    <x v="3"/>
    <x v="1"/>
    <s v="Competição Nacional de Curtas Experimentais"/>
    <m/>
    <x v="392"/>
    <x v="0"/>
    <m/>
    <x v="1"/>
    <x v="6"/>
    <x v="1503"/>
    <x v="3"/>
    <x v="482"/>
    <x v="1"/>
    <x v="311"/>
    <x v="4009"/>
  </r>
  <r>
    <x v="1"/>
    <n v="1063"/>
    <x v="1494"/>
    <x v="0"/>
    <s v="CM"/>
    <s v="N"/>
    <x v="981"/>
    <x v="2"/>
    <x v="192"/>
    <m/>
    <x v="140"/>
    <m/>
    <x v="3"/>
    <x v="0"/>
    <x v="250"/>
    <d v="2012-07-29T00:00:00"/>
    <x v="8"/>
    <x v="1"/>
    <s v="Competição AVANCA"/>
    <m/>
    <x v="393"/>
    <x v="0"/>
    <m/>
    <x v="1"/>
    <x v="0"/>
    <x v="1504"/>
    <x v="3"/>
    <x v="483"/>
    <x v="1"/>
    <x v="250"/>
    <x v="4010"/>
  </r>
  <r>
    <x v="1"/>
    <n v="1064"/>
    <x v="729"/>
    <x v="1"/>
    <s v="LM"/>
    <s v="S"/>
    <x v="10"/>
    <x v="1"/>
    <x v="408"/>
    <m/>
    <x v="266"/>
    <m/>
    <x v="2"/>
    <x v="0"/>
    <x v="238"/>
    <d v="2012-08-25T00:00:00"/>
    <x v="16"/>
    <x v="0"/>
    <m/>
    <s v="Route du Doc: Portugal"/>
    <x v="0"/>
    <x v="1"/>
    <m/>
    <x v="0"/>
    <x v="1"/>
    <x v="732"/>
    <x v="2"/>
    <x v="0"/>
    <x v="0"/>
    <x v="238"/>
    <x v="4011"/>
  </r>
  <r>
    <x v="1"/>
    <n v="1064"/>
    <x v="729"/>
    <x v="1"/>
    <s v="LM"/>
    <s v="S"/>
    <x v="10"/>
    <x v="1"/>
    <x v="149"/>
    <m/>
    <x v="114"/>
    <m/>
    <x v="35"/>
    <x v="0"/>
    <x v="339"/>
    <d v="2012-11-07T00:00:00"/>
    <x v="0"/>
    <x v="0"/>
    <m/>
    <s v="In Focus: Manuel Mozos"/>
    <x v="0"/>
    <x v="0"/>
    <m/>
    <x v="0"/>
    <x v="1"/>
    <x v="732"/>
    <x v="35"/>
    <x v="0"/>
    <x v="0"/>
    <x v="339"/>
    <x v="4012"/>
  </r>
  <r>
    <x v="1"/>
    <n v="1065"/>
    <x v="730"/>
    <x v="2"/>
    <s v="CM"/>
    <s v="S"/>
    <x v="33"/>
    <x v="2"/>
    <x v="26"/>
    <m/>
    <x v="24"/>
    <m/>
    <x v="3"/>
    <x v="0"/>
    <x v="268"/>
    <d v="2012-03-25T00:00:00"/>
    <x v="2"/>
    <x v="1"/>
    <s v="Competição Internacional 3"/>
    <m/>
    <x v="0"/>
    <x v="0"/>
    <m/>
    <x v="0"/>
    <x v="4"/>
    <x v="733"/>
    <x v="3"/>
    <x v="0"/>
    <x v="1"/>
    <x v="268"/>
    <x v="4013"/>
  </r>
  <r>
    <x v="1"/>
    <n v="1065"/>
    <x v="730"/>
    <x v="2"/>
    <s v="CM"/>
    <s v="S"/>
    <x v="33"/>
    <x v="2"/>
    <x v="555"/>
    <m/>
    <x v="317"/>
    <m/>
    <x v="8"/>
    <x v="0"/>
    <x v="358"/>
    <d v="2012-04-29T00:00:00"/>
    <x v="5"/>
    <x v="0"/>
    <m/>
    <s v="Sessão IBERIA ANIMA-TE"/>
    <x v="0"/>
    <x v="0"/>
    <m/>
    <x v="0"/>
    <x v="4"/>
    <x v="733"/>
    <x v="8"/>
    <x v="0"/>
    <x v="0"/>
    <x v="358"/>
    <x v="4014"/>
  </r>
  <r>
    <x v="1"/>
    <n v="1065"/>
    <x v="730"/>
    <x v="2"/>
    <s v="CM"/>
    <s v="S"/>
    <x v="33"/>
    <x v="2"/>
    <x v="316"/>
    <m/>
    <x v="11"/>
    <m/>
    <x v="3"/>
    <x v="0"/>
    <x v="199"/>
    <d v="2012-08-25T00:00:00"/>
    <x v="16"/>
    <x v="1"/>
    <s v="Animação"/>
    <m/>
    <x v="0"/>
    <x v="0"/>
    <m/>
    <x v="0"/>
    <x v="4"/>
    <x v="733"/>
    <x v="3"/>
    <x v="0"/>
    <x v="1"/>
    <x v="199"/>
    <x v="4015"/>
  </r>
  <r>
    <x v="1"/>
    <n v="1067"/>
    <x v="1495"/>
    <x v="0"/>
    <s v="CM"/>
    <s v="N"/>
    <x v="982"/>
    <x v="2"/>
    <x v="62"/>
    <m/>
    <x v="23"/>
    <m/>
    <x v="3"/>
    <x v="0"/>
    <x v="302"/>
    <d v="2012-03-04T00:00:00"/>
    <x v="19"/>
    <x v="1"/>
    <s v="Prémio de Cinema Português - Escolas de Cinema"/>
    <m/>
    <x v="0"/>
    <x v="0"/>
    <m/>
    <x v="0"/>
    <x v="0"/>
    <x v="1505"/>
    <x v="3"/>
    <x v="0"/>
    <x v="1"/>
    <x v="302"/>
    <x v="4016"/>
  </r>
  <r>
    <x v="1"/>
    <n v="1067"/>
    <x v="1495"/>
    <x v="0"/>
    <s v="CM"/>
    <s v="N"/>
    <x v="982"/>
    <x v="2"/>
    <x v="673"/>
    <m/>
    <x v="91"/>
    <m/>
    <x v="28"/>
    <x v="0"/>
    <x v="301"/>
    <d v="2012-06-16T00:00:00"/>
    <x v="7"/>
    <x v="1"/>
    <s v="U-Can: Escola Artística Soares dos Reis"/>
    <m/>
    <x v="0"/>
    <x v="0"/>
    <m/>
    <x v="0"/>
    <x v="0"/>
    <x v="1505"/>
    <x v="28"/>
    <x v="0"/>
    <x v="0"/>
    <x v="301"/>
    <x v="4017"/>
  </r>
  <r>
    <x v="1"/>
    <n v="1444"/>
    <x v="1496"/>
    <x v="1"/>
    <s v="CM"/>
    <s v="N"/>
    <x v="983"/>
    <x v="41"/>
    <x v="25"/>
    <m/>
    <x v="24"/>
    <m/>
    <x v="3"/>
    <x v="0"/>
    <x v="294"/>
    <d v="2012-10-28T00:00:00"/>
    <x v="14"/>
    <x v="0"/>
    <m/>
    <s v="Verdes Anos"/>
    <x v="0"/>
    <x v="0"/>
    <m/>
    <x v="0"/>
    <x v="2"/>
    <x v="1506"/>
    <x v="3"/>
    <x v="0"/>
    <x v="1"/>
    <x v="294"/>
    <x v="4018"/>
  </r>
  <r>
    <x v="1"/>
    <n v="1511"/>
    <x v="1497"/>
    <x v="1"/>
    <s v="CM"/>
    <s v="N"/>
    <x v="984"/>
    <x v="3"/>
    <x v="747"/>
    <m/>
    <x v="24"/>
    <m/>
    <x v="3"/>
    <x v="0"/>
    <x v="369"/>
    <m/>
    <x v="13"/>
    <x v="1"/>
    <m/>
    <m/>
    <x v="0"/>
    <x v="1"/>
    <m/>
    <x v="0"/>
    <x v="2"/>
    <x v="1507"/>
    <x v="3"/>
    <x v="0"/>
    <x v="1"/>
    <x v="369"/>
    <x v="4019"/>
  </r>
  <r>
    <x v="1"/>
    <n v="1073"/>
    <x v="737"/>
    <x v="0"/>
    <s v="LM"/>
    <s v="S"/>
    <x v="289"/>
    <x v="3"/>
    <x v="683"/>
    <m/>
    <x v="302"/>
    <m/>
    <x v="9"/>
    <x v="0"/>
    <x v="432"/>
    <d v="2012-01-16T00:00:00"/>
    <x v="15"/>
    <x v="0"/>
    <m/>
    <s v="World Cinema"/>
    <x v="0"/>
    <x v="0"/>
    <m/>
    <x v="0"/>
    <x v="5"/>
    <x v="740"/>
    <x v="9"/>
    <x v="0"/>
    <x v="0"/>
    <x v="432"/>
    <x v="4020"/>
  </r>
  <r>
    <x v="1"/>
    <n v="1073"/>
    <x v="737"/>
    <x v="0"/>
    <s v="LM"/>
    <s v="S"/>
    <x v="289"/>
    <x v="3"/>
    <x v="536"/>
    <m/>
    <x v="36"/>
    <m/>
    <x v="3"/>
    <x v="0"/>
    <x v="483"/>
    <m/>
    <x v="15"/>
    <x v="0"/>
    <m/>
    <m/>
    <x v="0"/>
    <x v="1"/>
    <m/>
    <x v="0"/>
    <x v="5"/>
    <x v="740"/>
    <x v="3"/>
    <x v="0"/>
    <x v="1"/>
    <x v="483"/>
    <x v="4021"/>
  </r>
  <r>
    <x v="1"/>
    <n v="1073"/>
    <x v="737"/>
    <x v="0"/>
    <s v="LM"/>
    <s v="S"/>
    <x v="289"/>
    <x v="3"/>
    <x v="786"/>
    <m/>
    <x v="387"/>
    <m/>
    <x v="3"/>
    <x v="0"/>
    <x v="315"/>
    <d v="2012-01-21T00:00:00"/>
    <x v="15"/>
    <x v="0"/>
    <m/>
    <m/>
    <x v="0"/>
    <x v="1"/>
    <m/>
    <x v="0"/>
    <x v="5"/>
    <x v="740"/>
    <x v="3"/>
    <x v="0"/>
    <x v="1"/>
    <x v="315"/>
    <x v="4022"/>
  </r>
  <r>
    <x v="1"/>
    <n v="1073"/>
    <x v="737"/>
    <x v="0"/>
    <s v="LM"/>
    <s v="S"/>
    <x v="289"/>
    <x v="3"/>
    <x v="477"/>
    <m/>
    <x v="59"/>
    <m/>
    <x v="3"/>
    <x v="0"/>
    <x v="390"/>
    <m/>
    <x v="15"/>
    <x v="0"/>
    <m/>
    <m/>
    <x v="0"/>
    <x v="1"/>
    <m/>
    <x v="0"/>
    <x v="5"/>
    <x v="740"/>
    <x v="3"/>
    <x v="0"/>
    <x v="1"/>
    <x v="390"/>
    <x v="4023"/>
  </r>
  <r>
    <x v="1"/>
    <n v="1073"/>
    <x v="737"/>
    <x v="0"/>
    <s v="LM"/>
    <s v="S"/>
    <x v="289"/>
    <x v="3"/>
    <x v="737"/>
    <m/>
    <x v="24"/>
    <m/>
    <x v="3"/>
    <x v="0"/>
    <x v="310"/>
    <m/>
    <x v="1"/>
    <x v="0"/>
    <m/>
    <m/>
    <x v="394"/>
    <x v="2"/>
    <m/>
    <x v="1"/>
    <x v="5"/>
    <x v="740"/>
    <x v="3"/>
    <x v="484"/>
    <x v="1"/>
    <x v="310"/>
    <x v="4024"/>
  </r>
  <r>
    <x v="1"/>
    <n v="1073"/>
    <x v="737"/>
    <x v="0"/>
    <s v="LM"/>
    <s v="S"/>
    <x v="289"/>
    <x v="3"/>
    <x v="787"/>
    <m/>
    <x v="388"/>
    <m/>
    <x v="3"/>
    <x v="0"/>
    <x v="344"/>
    <m/>
    <x v="2"/>
    <x v="0"/>
    <m/>
    <m/>
    <x v="0"/>
    <x v="1"/>
    <m/>
    <x v="0"/>
    <x v="5"/>
    <x v="740"/>
    <x v="3"/>
    <x v="0"/>
    <x v="1"/>
    <x v="344"/>
    <x v="4025"/>
  </r>
  <r>
    <x v="1"/>
    <n v="1073"/>
    <x v="737"/>
    <x v="0"/>
    <s v="LM"/>
    <s v="S"/>
    <x v="289"/>
    <x v="3"/>
    <x v="495"/>
    <m/>
    <x v="300"/>
    <m/>
    <x v="9"/>
    <x v="0"/>
    <x v="344"/>
    <d v="2012-03-11T00:00:00"/>
    <x v="2"/>
    <x v="1"/>
    <s v="Knight Ibero-American Competition"/>
    <m/>
    <x v="395"/>
    <x v="0"/>
    <m/>
    <x v="1"/>
    <x v="5"/>
    <x v="740"/>
    <x v="9"/>
    <x v="485"/>
    <x v="0"/>
    <x v="344"/>
    <x v="4026"/>
  </r>
  <r>
    <x v="1"/>
    <n v="1073"/>
    <x v="737"/>
    <x v="0"/>
    <s v="LM"/>
    <s v="S"/>
    <x v="289"/>
    <x v="3"/>
    <x v="162"/>
    <m/>
    <x v="124"/>
    <m/>
    <x v="3"/>
    <x v="0"/>
    <x v="259"/>
    <m/>
    <x v="2"/>
    <x v="0"/>
    <m/>
    <m/>
    <x v="0"/>
    <x v="1"/>
    <m/>
    <x v="0"/>
    <x v="5"/>
    <x v="740"/>
    <x v="3"/>
    <x v="0"/>
    <x v="1"/>
    <x v="259"/>
    <x v="4027"/>
  </r>
  <r>
    <x v="1"/>
    <n v="1073"/>
    <x v="737"/>
    <x v="0"/>
    <s v="LM"/>
    <s v="S"/>
    <x v="289"/>
    <x v="3"/>
    <x v="573"/>
    <m/>
    <x v="134"/>
    <m/>
    <x v="41"/>
    <x v="0"/>
    <x v="256"/>
    <d v="2012-03-29T00:00:00"/>
    <x v="2"/>
    <x v="0"/>
    <m/>
    <s v="Main Programme &quot;Horizons&quot;"/>
    <x v="0"/>
    <x v="0"/>
    <m/>
    <x v="0"/>
    <x v="5"/>
    <x v="740"/>
    <x v="41"/>
    <x v="0"/>
    <x v="0"/>
    <x v="256"/>
    <x v="4028"/>
  </r>
  <r>
    <x v="1"/>
    <n v="1073"/>
    <x v="737"/>
    <x v="0"/>
    <s v="LM"/>
    <s v="S"/>
    <x v="289"/>
    <x v="3"/>
    <x v="522"/>
    <m/>
    <x v="165"/>
    <m/>
    <x v="4"/>
    <x v="0"/>
    <x v="363"/>
    <d v="2012-04-22T00:00:00"/>
    <x v="5"/>
    <x v="0"/>
    <m/>
    <s v="João Canijo"/>
    <x v="0"/>
    <x v="0"/>
    <m/>
    <x v="0"/>
    <x v="5"/>
    <x v="740"/>
    <x v="4"/>
    <x v="0"/>
    <x v="0"/>
    <x v="363"/>
    <x v="4029"/>
  </r>
  <r>
    <x v="1"/>
    <n v="1073"/>
    <x v="737"/>
    <x v="0"/>
    <s v="LM"/>
    <s v="S"/>
    <x v="289"/>
    <x v="3"/>
    <x v="555"/>
    <m/>
    <x v="317"/>
    <m/>
    <x v="8"/>
    <x v="0"/>
    <x v="358"/>
    <d v="2012-04-29T00:00:00"/>
    <x v="5"/>
    <x v="0"/>
    <m/>
    <m/>
    <x v="0"/>
    <x v="0"/>
    <m/>
    <x v="0"/>
    <x v="5"/>
    <x v="740"/>
    <x v="8"/>
    <x v="0"/>
    <x v="0"/>
    <x v="358"/>
    <x v="4030"/>
  </r>
  <r>
    <x v="1"/>
    <n v="1073"/>
    <x v="737"/>
    <x v="0"/>
    <s v="LM"/>
    <s v="S"/>
    <x v="289"/>
    <x v="3"/>
    <x v="788"/>
    <m/>
    <x v="389"/>
    <m/>
    <x v="35"/>
    <x v="0"/>
    <x v="442"/>
    <d v="2012-04-28T00:00:00"/>
    <x v="5"/>
    <x v="1"/>
    <s v="Panorama Fiction"/>
    <m/>
    <x v="396"/>
    <x v="0"/>
    <m/>
    <x v="1"/>
    <x v="5"/>
    <x v="740"/>
    <x v="35"/>
    <x v="486"/>
    <x v="0"/>
    <x v="442"/>
    <x v="4031"/>
  </r>
  <r>
    <x v="1"/>
    <n v="1073"/>
    <x v="737"/>
    <x v="0"/>
    <s v="LM"/>
    <s v="S"/>
    <x v="289"/>
    <x v="3"/>
    <x v="789"/>
    <m/>
    <x v="174"/>
    <m/>
    <x v="1"/>
    <x v="0"/>
    <x v="471"/>
    <d v="2012-05-06T00:00:00"/>
    <x v="4"/>
    <x v="0"/>
    <m/>
    <s v="Direccions"/>
    <x v="397"/>
    <x v="0"/>
    <m/>
    <x v="1"/>
    <x v="5"/>
    <x v="740"/>
    <x v="1"/>
    <x v="487"/>
    <x v="0"/>
    <x v="471"/>
    <x v="4032"/>
  </r>
  <r>
    <x v="1"/>
    <n v="1073"/>
    <x v="737"/>
    <x v="0"/>
    <s v="LM"/>
    <s v="S"/>
    <x v="289"/>
    <x v="3"/>
    <x v="739"/>
    <m/>
    <x v="24"/>
    <m/>
    <x v="3"/>
    <x v="0"/>
    <x v="465"/>
    <m/>
    <x v="6"/>
    <x v="1"/>
    <m/>
    <m/>
    <x v="398"/>
    <x v="2"/>
    <m/>
    <x v="1"/>
    <x v="5"/>
    <x v="740"/>
    <x v="3"/>
    <x v="488"/>
    <x v="1"/>
    <x v="465"/>
    <x v="4033"/>
  </r>
  <r>
    <x v="1"/>
    <n v="1073"/>
    <x v="737"/>
    <x v="0"/>
    <s v="LM"/>
    <s v="S"/>
    <x v="289"/>
    <x v="3"/>
    <x v="669"/>
    <m/>
    <x v="190"/>
    <m/>
    <x v="0"/>
    <x v="0"/>
    <x v="407"/>
    <d v="2012-06-04T00:00:00"/>
    <x v="22"/>
    <x v="1"/>
    <s v="Janela Internacional"/>
    <m/>
    <x v="399"/>
    <x v="0"/>
    <m/>
    <x v="1"/>
    <x v="5"/>
    <x v="740"/>
    <x v="0"/>
    <x v="489"/>
    <x v="0"/>
    <x v="407"/>
    <x v="4034"/>
  </r>
  <r>
    <x v="1"/>
    <n v="1073"/>
    <x v="737"/>
    <x v="0"/>
    <s v="LM"/>
    <s v="S"/>
    <x v="289"/>
    <x v="3"/>
    <x v="413"/>
    <m/>
    <x v="270"/>
    <m/>
    <x v="3"/>
    <x v="0"/>
    <x v="243"/>
    <d v="2012-06-03T00:00:00"/>
    <x v="7"/>
    <x v="0"/>
    <m/>
    <s v="Retrospectiva do Cinema em Português"/>
    <x v="0"/>
    <x v="0"/>
    <m/>
    <x v="0"/>
    <x v="5"/>
    <x v="740"/>
    <x v="3"/>
    <x v="0"/>
    <x v="1"/>
    <x v="243"/>
    <x v="4035"/>
  </r>
  <r>
    <x v="1"/>
    <n v="1073"/>
    <x v="737"/>
    <x v="0"/>
    <s v="LM"/>
    <s v="S"/>
    <x v="289"/>
    <x v="3"/>
    <x v="790"/>
    <m/>
    <x v="390"/>
    <m/>
    <x v="51"/>
    <x v="0"/>
    <x v="243"/>
    <d v="2012-06-10T00:00:00"/>
    <x v="7"/>
    <x v="0"/>
    <m/>
    <s v="Supernova"/>
    <x v="0"/>
    <x v="0"/>
    <m/>
    <x v="0"/>
    <x v="5"/>
    <x v="740"/>
    <x v="51"/>
    <x v="0"/>
    <x v="0"/>
    <x v="243"/>
    <x v="4036"/>
  </r>
  <r>
    <x v="1"/>
    <n v="1073"/>
    <x v="737"/>
    <x v="0"/>
    <s v="LM"/>
    <s v="S"/>
    <x v="289"/>
    <x v="3"/>
    <x v="498"/>
    <m/>
    <x v="303"/>
    <m/>
    <x v="17"/>
    <x v="0"/>
    <x v="306"/>
    <d v="2012-07-01T00:00:00"/>
    <x v="17"/>
    <x v="0"/>
    <m/>
    <s v="New Perspectives"/>
    <x v="0"/>
    <x v="0"/>
    <m/>
    <x v="0"/>
    <x v="5"/>
    <x v="740"/>
    <x v="17"/>
    <x v="0"/>
    <x v="0"/>
    <x v="306"/>
    <x v="4037"/>
  </r>
  <r>
    <x v="1"/>
    <n v="1073"/>
    <x v="737"/>
    <x v="0"/>
    <s v="LM"/>
    <s v="S"/>
    <x v="289"/>
    <x v="3"/>
    <x v="407"/>
    <m/>
    <x v="154"/>
    <m/>
    <x v="0"/>
    <x v="0"/>
    <x v="237"/>
    <d v="2012-07-08T00:00:00"/>
    <x v="17"/>
    <x v="0"/>
    <m/>
    <m/>
    <x v="0"/>
    <x v="1"/>
    <m/>
    <x v="0"/>
    <x v="5"/>
    <x v="740"/>
    <x v="0"/>
    <x v="0"/>
    <x v="0"/>
    <x v="237"/>
    <x v="4038"/>
  </r>
  <r>
    <x v="1"/>
    <n v="1073"/>
    <x v="737"/>
    <x v="0"/>
    <s v="LM"/>
    <s v="S"/>
    <x v="289"/>
    <x v="3"/>
    <x v="441"/>
    <m/>
    <x v="282"/>
    <m/>
    <x v="2"/>
    <x v="0"/>
    <x v="280"/>
    <d v="2012-07-08T00:00:00"/>
    <x v="17"/>
    <x v="0"/>
    <m/>
    <s v="Hommages: João Canijo"/>
    <x v="0"/>
    <x v="0"/>
    <m/>
    <x v="0"/>
    <x v="5"/>
    <x v="740"/>
    <x v="2"/>
    <x v="0"/>
    <x v="0"/>
    <x v="280"/>
    <x v="4039"/>
  </r>
  <r>
    <x v="1"/>
    <n v="1073"/>
    <x v="737"/>
    <x v="0"/>
    <s v="LM"/>
    <s v="S"/>
    <x v="289"/>
    <x v="3"/>
    <x v="58"/>
    <m/>
    <x v="47"/>
    <m/>
    <x v="3"/>
    <x v="0"/>
    <x v="118"/>
    <d v="2012-09-09T00:00:00"/>
    <x v="9"/>
    <x v="0"/>
    <m/>
    <m/>
    <x v="0"/>
    <x v="1"/>
    <m/>
    <x v="0"/>
    <x v="5"/>
    <x v="740"/>
    <x v="3"/>
    <x v="0"/>
    <x v="1"/>
    <x v="118"/>
    <x v="4040"/>
  </r>
  <r>
    <x v="1"/>
    <n v="1073"/>
    <x v="737"/>
    <x v="0"/>
    <s v="LM"/>
    <s v="S"/>
    <x v="289"/>
    <x v="3"/>
    <x v="538"/>
    <m/>
    <x v="315"/>
    <m/>
    <x v="3"/>
    <x v="0"/>
    <x v="325"/>
    <m/>
    <x v="13"/>
    <x v="0"/>
    <m/>
    <m/>
    <x v="0"/>
    <x v="1"/>
    <m/>
    <x v="0"/>
    <x v="5"/>
    <x v="740"/>
    <x v="3"/>
    <x v="0"/>
    <x v="1"/>
    <x v="325"/>
    <x v="4041"/>
  </r>
  <r>
    <x v="1"/>
    <n v="1073"/>
    <x v="737"/>
    <x v="0"/>
    <s v="LM"/>
    <s v="S"/>
    <x v="289"/>
    <x v="3"/>
    <x v="666"/>
    <m/>
    <x v="235"/>
    <m/>
    <x v="1"/>
    <x v="0"/>
    <x v="254"/>
    <d v="2012-11-30T00:00:00"/>
    <x v="13"/>
    <x v="1"/>
    <s v="Selección Oficial"/>
    <m/>
    <x v="0"/>
    <x v="0"/>
    <m/>
    <x v="0"/>
    <x v="5"/>
    <x v="740"/>
    <x v="1"/>
    <x v="0"/>
    <x v="0"/>
    <x v="254"/>
    <x v="4042"/>
  </r>
  <r>
    <x v="1"/>
    <n v="1073"/>
    <x v="737"/>
    <x v="0"/>
    <s v="LM"/>
    <s v="S"/>
    <x v="289"/>
    <x v="3"/>
    <x v="791"/>
    <m/>
    <x v="391"/>
    <m/>
    <x v="1"/>
    <x v="0"/>
    <x v="379"/>
    <d v="2012-11-20T00:00:00"/>
    <x v="13"/>
    <x v="0"/>
    <m/>
    <s v="Selección Oficial"/>
    <x v="0"/>
    <x v="1"/>
    <m/>
    <x v="0"/>
    <x v="5"/>
    <x v="740"/>
    <x v="1"/>
    <x v="0"/>
    <x v="0"/>
    <x v="379"/>
    <x v="4043"/>
  </r>
  <r>
    <x v="1"/>
    <n v="1073"/>
    <x v="737"/>
    <x v="0"/>
    <s v="LM"/>
    <s v="S"/>
    <x v="289"/>
    <x v="3"/>
    <x v="537"/>
    <m/>
    <x v="50"/>
    <m/>
    <x v="13"/>
    <x v="0"/>
    <x v="282"/>
    <d v="2012-11-21T00:00:00"/>
    <x v="13"/>
    <x v="1"/>
    <s v="Longas-Metragens"/>
    <m/>
    <x v="0"/>
    <x v="0"/>
    <m/>
    <x v="0"/>
    <x v="5"/>
    <x v="740"/>
    <x v="13"/>
    <x v="0"/>
    <x v="0"/>
    <x v="282"/>
    <x v="4044"/>
  </r>
  <r>
    <x v="1"/>
    <n v="1074"/>
    <x v="1498"/>
    <x v="2"/>
    <s v="CM"/>
    <s v="S"/>
    <x v="480"/>
    <x v="41"/>
    <x v="68"/>
    <m/>
    <x v="53"/>
    <m/>
    <x v="3"/>
    <x v="0"/>
    <x v="253"/>
    <d v="2012-07-15T00:00:00"/>
    <x v="8"/>
    <x v="1"/>
    <s v="Competição Nacional"/>
    <m/>
    <x v="0"/>
    <x v="0"/>
    <m/>
    <x v="0"/>
    <x v="4"/>
    <x v="1508"/>
    <x v="3"/>
    <x v="0"/>
    <x v="1"/>
    <x v="253"/>
    <x v="4045"/>
  </r>
  <r>
    <x v="1"/>
    <n v="1074"/>
    <x v="1498"/>
    <x v="2"/>
    <s v="CM"/>
    <s v="S"/>
    <x v="480"/>
    <x v="41"/>
    <x v="651"/>
    <m/>
    <x v="343"/>
    <m/>
    <x v="33"/>
    <x v="0"/>
    <x v="286"/>
    <d v="2012-09-09T00:00:00"/>
    <x v="9"/>
    <x v="0"/>
    <m/>
    <s v="World Panorama"/>
    <x v="0"/>
    <x v="0"/>
    <m/>
    <x v="0"/>
    <x v="4"/>
    <x v="1508"/>
    <x v="33"/>
    <x v="0"/>
    <x v="0"/>
    <x v="286"/>
    <x v="4046"/>
  </r>
  <r>
    <x v="1"/>
    <n v="1441"/>
    <x v="1499"/>
    <x v="1"/>
    <s v="CM"/>
    <s v="N"/>
    <x v="985"/>
    <x v="41"/>
    <x v="25"/>
    <m/>
    <x v="24"/>
    <m/>
    <x v="3"/>
    <x v="0"/>
    <x v="294"/>
    <d v="2012-10-28T00:00:00"/>
    <x v="14"/>
    <x v="0"/>
    <m/>
    <s v="Verdes Anos"/>
    <x v="0"/>
    <x v="0"/>
    <m/>
    <x v="0"/>
    <x v="2"/>
    <x v="1509"/>
    <x v="3"/>
    <x v="0"/>
    <x v="1"/>
    <x v="294"/>
    <x v="4047"/>
  </r>
  <r>
    <x v="1"/>
    <n v="1576"/>
    <x v="1500"/>
    <x v="1"/>
    <s v="CM"/>
    <s v="N"/>
    <x v="986"/>
    <x v="41"/>
    <x v="25"/>
    <m/>
    <x v="24"/>
    <m/>
    <x v="3"/>
    <x v="0"/>
    <x v="294"/>
    <d v="2012-10-28T00:00:00"/>
    <x v="14"/>
    <x v="0"/>
    <m/>
    <s v="Cinema de Urgência"/>
    <x v="0"/>
    <x v="0"/>
    <m/>
    <x v="0"/>
    <x v="2"/>
    <x v="1510"/>
    <x v="3"/>
    <x v="0"/>
    <x v="1"/>
    <x v="294"/>
    <x v="4048"/>
  </r>
  <r>
    <x v="1"/>
    <n v="1076"/>
    <x v="1501"/>
    <x v="0"/>
    <s v="LM"/>
    <s v="S"/>
    <x v="289"/>
    <x v="37"/>
    <x v="522"/>
    <m/>
    <x v="165"/>
    <m/>
    <x v="4"/>
    <x v="0"/>
    <x v="363"/>
    <d v="2012-04-22T00:00:00"/>
    <x v="5"/>
    <x v="0"/>
    <m/>
    <s v="João Canijo"/>
    <x v="0"/>
    <x v="0"/>
    <m/>
    <x v="0"/>
    <x v="5"/>
    <x v="1511"/>
    <x v="4"/>
    <x v="0"/>
    <x v="0"/>
    <x v="363"/>
    <x v="4049"/>
  </r>
  <r>
    <x v="1"/>
    <n v="1076"/>
    <x v="1501"/>
    <x v="0"/>
    <s v="LM"/>
    <s v="S"/>
    <x v="289"/>
    <x v="37"/>
    <x v="441"/>
    <m/>
    <x v="282"/>
    <m/>
    <x v="2"/>
    <x v="0"/>
    <x v="280"/>
    <d v="2012-07-08T00:00:00"/>
    <x v="17"/>
    <x v="0"/>
    <m/>
    <s v="Hommages: João Canijo"/>
    <x v="0"/>
    <x v="0"/>
    <m/>
    <x v="0"/>
    <x v="5"/>
    <x v="1511"/>
    <x v="2"/>
    <x v="0"/>
    <x v="0"/>
    <x v="280"/>
    <x v="4050"/>
  </r>
  <r>
    <x v="1"/>
    <n v="1076"/>
    <x v="1501"/>
    <x v="0"/>
    <s v="LM"/>
    <s v="S"/>
    <x v="289"/>
    <x v="37"/>
    <x v="666"/>
    <m/>
    <x v="235"/>
    <m/>
    <x v="1"/>
    <x v="0"/>
    <x v="254"/>
    <d v="2012-11-30T00:00:00"/>
    <x v="13"/>
    <x v="0"/>
    <m/>
    <s v="Retrospectiva: João Canijo"/>
    <x v="0"/>
    <x v="0"/>
    <m/>
    <x v="0"/>
    <x v="5"/>
    <x v="1511"/>
    <x v="1"/>
    <x v="0"/>
    <x v="0"/>
    <x v="254"/>
    <x v="4051"/>
  </r>
  <r>
    <x v="1"/>
    <n v="1077"/>
    <x v="1502"/>
    <x v="1"/>
    <s v="CM"/>
    <s v="N"/>
    <x v="987"/>
    <x v="2"/>
    <x v="432"/>
    <m/>
    <x v="39"/>
    <m/>
    <x v="3"/>
    <x v="0"/>
    <x v="265"/>
    <d v="2012-04-21T00:00:00"/>
    <x v="5"/>
    <x v="0"/>
    <m/>
    <s v="Fora da Competição"/>
    <x v="0"/>
    <x v="0"/>
    <m/>
    <x v="0"/>
    <x v="2"/>
    <x v="1512"/>
    <x v="3"/>
    <x v="0"/>
    <x v="1"/>
    <x v="265"/>
    <x v="4052"/>
  </r>
  <r>
    <x v="1"/>
    <n v="1078"/>
    <x v="1503"/>
    <x v="1"/>
    <s v="CM"/>
    <s v="N"/>
    <x v="988"/>
    <x v="2"/>
    <x v="42"/>
    <m/>
    <x v="39"/>
    <m/>
    <x v="3"/>
    <x v="0"/>
    <x v="317"/>
    <m/>
    <x v="2"/>
    <x v="0"/>
    <m/>
    <m/>
    <x v="0"/>
    <x v="1"/>
    <m/>
    <x v="0"/>
    <x v="2"/>
    <x v="1513"/>
    <x v="3"/>
    <x v="0"/>
    <x v="1"/>
    <x v="317"/>
    <x v="4053"/>
  </r>
  <r>
    <x v="1"/>
    <n v="1078"/>
    <x v="1503"/>
    <x v="1"/>
    <s v="CM"/>
    <s v="N"/>
    <x v="988"/>
    <x v="2"/>
    <x v="657"/>
    <m/>
    <x v="24"/>
    <m/>
    <x v="3"/>
    <x v="0"/>
    <x v="237"/>
    <d v="2012-07-01T00:00:00"/>
    <x v="17"/>
    <x v="0"/>
    <m/>
    <m/>
    <x v="0"/>
    <x v="0"/>
    <m/>
    <x v="0"/>
    <x v="2"/>
    <x v="1513"/>
    <x v="3"/>
    <x v="0"/>
    <x v="1"/>
    <x v="237"/>
    <x v="4054"/>
  </r>
  <r>
    <x v="1"/>
    <n v="1079"/>
    <x v="1504"/>
    <x v="1"/>
    <s v="CM"/>
    <s v="N"/>
    <x v="989"/>
    <x v="2"/>
    <x v="514"/>
    <m/>
    <x v="99"/>
    <m/>
    <x v="3"/>
    <x v="0"/>
    <x v="360"/>
    <d v="2012-05-13T00:00:00"/>
    <x v="6"/>
    <x v="0"/>
    <m/>
    <s v="Sessão de Abertura: Abrir a Memória"/>
    <x v="0"/>
    <x v="0"/>
    <m/>
    <x v="0"/>
    <x v="2"/>
    <x v="1514"/>
    <x v="3"/>
    <x v="0"/>
    <x v="1"/>
    <x v="360"/>
    <x v="4055"/>
  </r>
  <r>
    <x v="1"/>
    <n v="1357"/>
    <x v="1505"/>
    <x v="1"/>
    <s v="CM"/>
    <s v="N"/>
    <x v="990"/>
    <x v="2"/>
    <x v="609"/>
    <m/>
    <x v="23"/>
    <m/>
    <x v="3"/>
    <x v="0"/>
    <x v="338"/>
    <m/>
    <x v="14"/>
    <x v="1"/>
    <m/>
    <m/>
    <x v="0"/>
    <x v="1"/>
    <m/>
    <x v="0"/>
    <x v="2"/>
    <x v="1515"/>
    <x v="3"/>
    <x v="0"/>
    <x v="1"/>
    <x v="338"/>
    <x v="4056"/>
  </r>
  <r>
    <x v="1"/>
    <n v="1357"/>
    <x v="1505"/>
    <x v="1"/>
    <s v="CM"/>
    <s v="N"/>
    <x v="990"/>
    <x v="2"/>
    <x v="410"/>
    <m/>
    <x v="267"/>
    <m/>
    <x v="3"/>
    <x v="0"/>
    <x v="240"/>
    <m/>
    <x v="14"/>
    <x v="1"/>
    <s v="Competição Nacional"/>
    <m/>
    <x v="7"/>
    <x v="0"/>
    <m/>
    <x v="1"/>
    <x v="2"/>
    <x v="1515"/>
    <x v="3"/>
    <x v="230"/>
    <x v="1"/>
    <x v="240"/>
    <x v="4057"/>
  </r>
  <r>
    <x v="1"/>
    <n v="1080"/>
    <x v="1506"/>
    <x v="5"/>
    <s v="CM"/>
    <s v="N"/>
    <x v="682"/>
    <x v="3"/>
    <x v="507"/>
    <m/>
    <x v="305"/>
    <m/>
    <x v="15"/>
    <x v="0"/>
    <x v="323"/>
    <d v="2012-03-25T00:00:00"/>
    <x v="2"/>
    <x v="1"/>
    <s v="Cortometraggi"/>
    <m/>
    <x v="0"/>
    <x v="0"/>
    <m/>
    <x v="0"/>
    <x v="15"/>
    <x v="1516"/>
    <x v="15"/>
    <x v="0"/>
    <x v="0"/>
    <x v="323"/>
    <x v="4058"/>
  </r>
  <r>
    <x v="1"/>
    <n v="1080"/>
    <x v="1506"/>
    <x v="5"/>
    <s v="CM"/>
    <s v="N"/>
    <x v="682"/>
    <x v="3"/>
    <x v="413"/>
    <m/>
    <x v="270"/>
    <m/>
    <x v="3"/>
    <x v="0"/>
    <x v="243"/>
    <d v="2012-06-03T00:00:00"/>
    <x v="7"/>
    <x v="1"/>
    <s v="Geral"/>
    <m/>
    <x v="0"/>
    <x v="0"/>
    <m/>
    <x v="0"/>
    <x v="15"/>
    <x v="1516"/>
    <x v="3"/>
    <x v="0"/>
    <x v="1"/>
    <x v="243"/>
    <x v="4059"/>
  </r>
  <r>
    <x v="1"/>
    <n v="1400"/>
    <x v="1507"/>
    <x v="1"/>
    <s v="CM"/>
    <s v=""/>
    <x v="991"/>
    <x v="41"/>
    <x v="25"/>
    <m/>
    <x v="24"/>
    <m/>
    <x v="3"/>
    <x v="0"/>
    <x v="294"/>
    <d v="2012-10-28T00:00:00"/>
    <x v="14"/>
    <x v="1"/>
    <s v="Competição Portuguesa - Longas"/>
    <m/>
    <x v="0"/>
    <x v="0"/>
    <m/>
    <x v="0"/>
    <x v="2"/>
    <x v="1517"/>
    <x v="3"/>
    <x v="0"/>
    <x v="1"/>
    <x v="294"/>
    <x v="4060"/>
  </r>
  <r>
    <x v="1"/>
    <n v="1082"/>
    <x v="1508"/>
    <x v="2"/>
    <s v="CM"/>
    <s v="N"/>
    <x v="197"/>
    <x v="2"/>
    <x v="26"/>
    <m/>
    <x v="24"/>
    <m/>
    <x v="3"/>
    <x v="0"/>
    <x v="268"/>
    <d v="2012-03-25T00:00:00"/>
    <x v="2"/>
    <x v="1"/>
    <s v="Curtíssimas"/>
    <m/>
    <x v="0"/>
    <x v="0"/>
    <m/>
    <x v="0"/>
    <x v="4"/>
    <x v="1518"/>
    <x v="3"/>
    <x v="0"/>
    <x v="1"/>
    <x v="268"/>
    <x v="4061"/>
  </r>
  <r>
    <x v="1"/>
    <n v="1082"/>
    <x v="1508"/>
    <x v="2"/>
    <s v="CM"/>
    <s v="N"/>
    <x v="197"/>
    <x v="2"/>
    <x v="316"/>
    <m/>
    <x v="11"/>
    <m/>
    <x v="3"/>
    <x v="0"/>
    <x v="199"/>
    <d v="2012-08-25T00:00:00"/>
    <x v="16"/>
    <x v="1"/>
    <s v="Animação"/>
    <m/>
    <x v="0"/>
    <x v="0"/>
    <m/>
    <x v="0"/>
    <x v="4"/>
    <x v="1518"/>
    <x v="3"/>
    <x v="0"/>
    <x v="1"/>
    <x v="199"/>
    <x v="4062"/>
  </r>
  <r>
    <x v="1"/>
    <n v="1084"/>
    <x v="1509"/>
    <x v="1"/>
    <s v="CM"/>
    <s v="N"/>
    <x v="992"/>
    <x v="41"/>
    <x v="514"/>
    <m/>
    <x v="99"/>
    <m/>
    <x v="3"/>
    <x v="0"/>
    <x v="241"/>
    <d v="2012-05-18T00:00:00"/>
    <x v="6"/>
    <x v="1"/>
    <s v="Prémio Primeiro Olhar"/>
    <m/>
    <x v="400"/>
    <x v="0"/>
    <m/>
    <x v="1"/>
    <x v="2"/>
    <x v="1519"/>
    <x v="3"/>
    <x v="490"/>
    <x v="1"/>
    <x v="241"/>
    <x v="4063"/>
  </r>
  <r>
    <x v="1"/>
    <n v="1084"/>
    <x v="1509"/>
    <x v="1"/>
    <s v="CM"/>
    <s v="N"/>
    <x v="992"/>
    <x v="41"/>
    <x v="222"/>
    <m/>
    <x v="24"/>
    <m/>
    <x v="3"/>
    <x v="0"/>
    <x v="419"/>
    <m/>
    <x v="8"/>
    <x v="1"/>
    <s v="Prémio Sony Escolas HD"/>
    <m/>
    <x v="401"/>
    <x v="2"/>
    <s v="ETIC"/>
    <x v="1"/>
    <x v="2"/>
    <x v="1519"/>
    <x v="3"/>
    <x v="491"/>
    <x v="1"/>
    <x v="419"/>
    <x v="4064"/>
  </r>
  <r>
    <x v="1"/>
    <n v="1084"/>
    <x v="1509"/>
    <x v="1"/>
    <s v="CM"/>
    <s v="N"/>
    <x v="992"/>
    <x v="41"/>
    <x v="22"/>
    <m/>
    <x v="22"/>
    <m/>
    <x v="3"/>
    <x v="0"/>
    <x v="251"/>
    <d v="2012-11-18T00:00:00"/>
    <x v="13"/>
    <x v="1"/>
    <s v="Ensaios Visuais"/>
    <m/>
    <x v="0"/>
    <x v="0"/>
    <m/>
    <x v="0"/>
    <x v="2"/>
    <x v="1519"/>
    <x v="3"/>
    <x v="0"/>
    <x v="1"/>
    <x v="251"/>
    <x v="4065"/>
  </r>
  <r>
    <x v="1"/>
    <n v="1500"/>
    <x v="1510"/>
    <x v="2"/>
    <s v="CM"/>
    <s v="N"/>
    <x v="575"/>
    <x v="3"/>
    <x v="27"/>
    <m/>
    <x v="25"/>
    <m/>
    <x v="3"/>
    <x v="0"/>
    <x v="307"/>
    <d v="2012-11-18T00:00:00"/>
    <x v="13"/>
    <x v="1"/>
    <s v="Competição Nacional Jovem Cineasta Português (-18)"/>
    <m/>
    <x v="402"/>
    <x v="0"/>
    <m/>
    <x v="1"/>
    <x v="4"/>
    <x v="1520"/>
    <x v="3"/>
    <x v="492"/>
    <x v="1"/>
    <x v="307"/>
    <x v="4066"/>
  </r>
  <r>
    <x v="1"/>
    <n v="1089"/>
    <x v="745"/>
    <x v="2"/>
    <s v="CM"/>
    <s v="S"/>
    <x v="100"/>
    <x v="3"/>
    <x v="62"/>
    <m/>
    <x v="23"/>
    <m/>
    <x v="3"/>
    <x v="0"/>
    <x v="302"/>
    <d v="2012-03-04T00:00:00"/>
    <x v="19"/>
    <x v="0"/>
    <m/>
    <s v="Panorama do Cinema Português - Casa da Animação"/>
    <x v="0"/>
    <x v="0"/>
    <m/>
    <x v="0"/>
    <x v="4"/>
    <x v="748"/>
    <x v="3"/>
    <x v="0"/>
    <x v="1"/>
    <x v="302"/>
    <x v="4067"/>
  </r>
  <r>
    <x v="1"/>
    <n v="1089"/>
    <x v="745"/>
    <x v="2"/>
    <s v="CM"/>
    <s v="S"/>
    <x v="100"/>
    <x v="3"/>
    <x v="26"/>
    <m/>
    <x v="24"/>
    <m/>
    <x v="3"/>
    <x v="0"/>
    <x v="268"/>
    <d v="2012-03-24T00:00:00"/>
    <x v="2"/>
    <x v="1"/>
    <s v="Competição Portugueses"/>
    <m/>
    <x v="0"/>
    <x v="0"/>
    <m/>
    <x v="0"/>
    <x v="4"/>
    <x v="748"/>
    <x v="3"/>
    <x v="0"/>
    <x v="1"/>
    <x v="268"/>
    <x v="4068"/>
  </r>
  <r>
    <x v="1"/>
    <n v="1089"/>
    <x v="745"/>
    <x v="2"/>
    <s v="CM"/>
    <s v="S"/>
    <x v="100"/>
    <x v="3"/>
    <x v="122"/>
    <m/>
    <x v="93"/>
    <m/>
    <x v="2"/>
    <x v="0"/>
    <x v="435"/>
    <d v="2012-06-09T00:00:00"/>
    <x v="7"/>
    <x v="0"/>
    <m/>
    <s v="Courts métrages hors compétition"/>
    <x v="0"/>
    <x v="0"/>
    <m/>
    <x v="0"/>
    <x v="4"/>
    <x v="748"/>
    <x v="2"/>
    <x v="0"/>
    <x v="0"/>
    <x v="435"/>
    <x v="4069"/>
  </r>
  <r>
    <x v="1"/>
    <n v="1089"/>
    <x v="745"/>
    <x v="2"/>
    <s v="CM"/>
    <s v="S"/>
    <x v="100"/>
    <x v="3"/>
    <x v="22"/>
    <m/>
    <x v="22"/>
    <m/>
    <x v="3"/>
    <x v="0"/>
    <x v="251"/>
    <d v="2012-11-18T00:00:00"/>
    <x v="13"/>
    <x v="1"/>
    <s v="Secção Competitiva"/>
    <m/>
    <x v="403"/>
    <x v="0"/>
    <m/>
    <x v="1"/>
    <x v="4"/>
    <x v="748"/>
    <x v="3"/>
    <x v="493"/>
    <x v="1"/>
    <x v="251"/>
    <x v="4070"/>
  </r>
  <r>
    <x v="1"/>
    <n v="1089"/>
    <x v="745"/>
    <x v="2"/>
    <s v="CM"/>
    <s v="S"/>
    <x v="100"/>
    <x v="3"/>
    <x v="22"/>
    <m/>
    <x v="22"/>
    <m/>
    <x v="3"/>
    <x v="0"/>
    <x v="251"/>
    <d v="2012-11-18T00:00:00"/>
    <x v="13"/>
    <x v="1"/>
    <s v="Secção Competitiva"/>
    <m/>
    <x v="0"/>
    <x v="0"/>
    <m/>
    <x v="0"/>
    <x v="4"/>
    <x v="748"/>
    <x v="3"/>
    <x v="0"/>
    <x v="1"/>
    <x v="251"/>
    <x v="4071"/>
  </r>
  <r>
    <x v="1"/>
    <n v="1089"/>
    <x v="745"/>
    <x v="2"/>
    <s v="CM"/>
    <s v="S"/>
    <x v="100"/>
    <x v="3"/>
    <x v="27"/>
    <m/>
    <x v="25"/>
    <m/>
    <x v="3"/>
    <x v="0"/>
    <x v="307"/>
    <d v="2012-11-18T00:00:00"/>
    <x v="13"/>
    <x v="0"/>
    <m/>
    <s v="Sessão Premiados 2011"/>
    <x v="0"/>
    <x v="0"/>
    <m/>
    <x v="0"/>
    <x v="4"/>
    <x v="748"/>
    <x v="3"/>
    <x v="0"/>
    <x v="1"/>
    <x v="307"/>
    <x v="4072"/>
  </r>
  <r>
    <x v="1"/>
    <n v="1090"/>
    <x v="1511"/>
    <x v="0"/>
    <s v="LM"/>
    <s v="S"/>
    <x v="194"/>
    <x v="16"/>
    <x v="469"/>
    <m/>
    <x v="24"/>
    <m/>
    <x v="3"/>
    <x v="0"/>
    <x v="243"/>
    <d v="2012-06-17T00:00:00"/>
    <x v="7"/>
    <x v="0"/>
    <m/>
    <m/>
    <x v="0"/>
    <x v="1"/>
    <m/>
    <x v="0"/>
    <x v="5"/>
    <x v="1521"/>
    <x v="3"/>
    <x v="0"/>
    <x v="1"/>
    <x v="243"/>
    <x v="4073"/>
  </r>
  <r>
    <x v="1"/>
    <n v="1520"/>
    <x v="1512"/>
    <x v="0"/>
    <s v="CM"/>
    <s v="N"/>
    <x v="512"/>
    <x v="5"/>
    <x v="409"/>
    <m/>
    <x v="58"/>
    <m/>
    <x v="17"/>
    <x v="0"/>
    <x v="239"/>
    <d v="2012-12-08T00:00:00"/>
    <x v="11"/>
    <x v="0"/>
    <m/>
    <s v="No Place like: 4 Houses, 4 Films"/>
    <x v="0"/>
    <x v="1"/>
    <m/>
    <x v="0"/>
    <x v="0"/>
    <x v="1522"/>
    <x v="17"/>
    <x v="0"/>
    <x v="0"/>
    <x v="239"/>
    <x v="4074"/>
  </r>
  <r>
    <x v="1"/>
    <n v="1097"/>
    <x v="752"/>
    <x v="1"/>
    <s v="CM"/>
    <s v="N"/>
    <x v="523"/>
    <x v="3"/>
    <x v="482"/>
    <m/>
    <x v="24"/>
    <m/>
    <x v="3"/>
    <x v="0"/>
    <x v="321"/>
    <m/>
    <x v="5"/>
    <x v="1"/>
    <m/>
    <m/>
    <x v="0"/>
    <x v="1"/>
    <m/>
    <x v="0"/>
    <x v="2"/>
    <x v="755"/>
    <x v="3"/>
    <x v="0"/>
    <x v="1"/>
    <x v="321"/>
    <x v="4075"/>
  </r>
  <r>
    <x v="1"/>
    <n v="1098"/>
    <x v="753"/>
    <x v="0"/>
    <s v="CM"/>
    <s v="N"/>
    <x v="185"/>
    <x v="5"/>
    <x v="561"/>
    <m/>
    <x v="24"/>
    <m/>
    <x v="3"/>
    <x v="0"/>
    <x v="365"/>
    <m/>
    <x v="6"/>
    <x v="0"/>
    <m/>
    <m/>
    <x v="0"/>
    <x v="1"/>
    <m/>
    <x v="0"/>
    <x v="0"/>
    <x v="756"/>
    <x v="3"/>
    <x v="0"/>
    <x v="1"/>
    <x v="365"/>
    <x v="4076"/>
  </r>
  <r>
    <x v="1"/>
    <n v="1098"/>
    <x v="753"/>
    <x v="0"/>
    <s v="CM"/>
    <s v="N"/>
    <x v="185"/>
    <x v="5"/>
    <x v="457"/>
    <m/>
    <x v="285"/>
    <m/>
    <x v="3"/>
    <x v="0"/>
    <x v="301"/>
    <d v="2012-06-16T00:00:00"/>
    <x v="7"/>
    <x v="1"/>
    <s v="Curtas-metragens"/>
    <m/>
    <x v="0"/>
    <x v="0"/>
    <m/>
    <x v="0"/>
    <x v="0"/>
    <x v="756"/>
    <x v="3"/>
    <x v="0"/>
    <x v="1"/>
    <x v="301"/>
    <x v="4077"/>
  </r>
  <r>
    <x v="1"/>
    <n v="1099"/>
    <x v="754"/>
    <x v="0"/>
    <s v="CM"/>
    <s v="N"/>
    <x v="524"/>
    <x v="3"/>
    <x v="375"/>
    <m/>
    <x v="20"/>
    <m/>
    <x v="5"/>
    <x v="0"/>
    <x v="414"/>
    <d v="2012-02-19T00:00:00"/>
    <x v="1"/>
    <x v="0"/>
    <m/>
    <s v="Culinary Cinema"/>
    <x v="0"/>
    <x v="0"/>
    <m/>
    <x v="0"/>
    <x v="0"/>
    <x v="757"/>
    <x v="5"/>
    <x v="0"/>
    <x v="0"/>
    <x v="414"/>
    <x v="4078"/>
  </r>
  <r>
    <x v="1"/>
    <n v="1100"/>
    <x v="1513"/>
    <x v="3"/>
    <s v="CM"/>
    <s v="N"/>
    <x v="993"/>
    <x v="2"/>
    <x v="62"/>
    <m/>
    <x v="23"/>
    <m/>
    <x v="3"/>
    <x v="0"/>
    <x v="302"/>
    <d v="2012-03-04T00:00:00"/>
    <x v="19"/>
    <x v="1"/>
    <s v="Prémio de Cinema Português - Melhor FIlme"/>
    <m/>
    <x v="0"/>
    <x v="0"/>
    <m/>
    <x v="0"/>
    <x v="6"/>
    <x v="1523"/>
    <x v="3"/>
    <x v="0"/>
    <x v="1"/>
    <x v="302"/>
    <x v="4079"/>
  </r>
  <r>
    <x v="1"/>
    <n v="1315"/>
    <x v="1514"/>
    <x v="0"/>
    <s v="CM"/>
    <s v="N"/>
    <x v="848"/>
    <x v="41"/>
    <x v="48"/>
    <m/>
    <x v="24"/>
    <m/>
    <x v="3"/>
    <x v="0"/>
    <x v="276"/>
    <d v="2012-09-16T00:00:00"/>
    <x v="9"/>
    <x v="1"/>
    <s v="Prémio Motelx  - Melhor Curta de Terror Portuguesa"/>
    <m/>
    <x v="0"/>
    <x v="0"/>
    <m/>
    <x v="0"/>
    <x v="0"/>
    <x v="1524"/>
    <x v="3"/>
    <x v="0"/>
    <x v="1"/>
    <x v="276"/>
    <x v="4080"/>
  </r>
  <r>
    <x v="1"/>
    <n v="1102"/>
    <x v="1515"/>
    <x v="0"/>
    <s v="CM"/>
    <s v="N"/>
    <x v="994"/>
    <x v="2"/>
    <x v="90"/>
    <m/>
    <x v="69"/>
    <m/>
    <x v="8"/>
    <x v="0"/>
    <x v="273"/>
    <d v="2012-02-05T00:00:00"/>
    <x v="18"/>
    <x v="0"/>
    <m/>
    <s v="Spectrum Shorts"/>
    <x v="0"/>
    <x v="0"/>
    <m/>
    <x v="0"/>
    <x v="0"/>
    <x v="1525"/>
    <x v="8"/>
    <x v="0"/>
    <x v="0"/>
    <x v="273"/>
    <x v="4081"/>
  </r>
  <r>
    <x v="1"/>
    <n v="1102"/>
    <x v="1515"/>
    <x v="0"/>
    <s v="CM"/>
    <s v="N"/>
    <x v="994"/>
    <x v="2"/>
    <x v="371"/>
    <m/>
    <x v="0"/>
    <m/>
    <x v="0"/>
    <x v="0"/>
    <x v="283"/>
    <d v="2012-07-08T00:00:00"/>
    <x v="8"/>
    <x v="0"/>
    <m/>
    <s v="Programa Experimental"/>
    <x v="0"/>
    <x v="0"/>
    <m/>
    <x v="0"/>
    <x v="0"/>
    <x v="1525"/>
    <x v="0"/>
    <x v="0"/>
    <x v="0"/>
    <x v="283"/>
    <x v="4082"/>
  </r>
  <r>
    <x v="1"/>
    <n v="1103"/>
    <x v="1516"/>
    <x v="0"/>
    <s v="CM"/>
    <s v="S"/>
    <x v="80"/>
    <x v="41"/>
    <x v="68"/>
    <m/>
    <x v="53"/>
    <m/>
    <x v="3"/>
    <x v="0"/>
    <x v="253"/>
    <d v="2012-07-15T00:00:00"/>
    <x v="8"/>
    <x v="1"/>
    <s v="Competição Nacional"/>
    <m/>
    <x v="0"/>
    <x v="0"/>
    <m/>
    <x v="0"/>
    <x v="0"/>
    <x v="1526"/>
    <x v="3"/>
    <x v="0"/>
    <x v="1"/>
    <x v="253"/>
    <x v="4083"/>
  </r>
  <r>
    <x v="1"/>
    <n v="1103"/>
    <x v="1516"/>
    <x v="0"/>
    <s v="CM"/>
    <s v="S"/>
    <x v="80"/>
    <x v="41"/>
    <x v="389"/>
    <m/>
    <x v="173"/>
    <m/>
    <x v="7"/>
    <x v="0"/>
    <x v="338"/>
    <d v="2012-10-21T00:00:00"/>
    <x v="14"/>
    <x v="1"/>
    <s v="Sélection Internationale - Courts métrages: Décadrage"/>
    <m/>
    <x v="0"/>
    <x v="0"/>
    <m/>
    <x v="0"/>
    <x v="0"/>
    <x v="1526"/>
    <x v="7"/>
    <x v="0"/>
    <x v="0"/>
    <x v="338"/>
    <x v="4084"/>
  </r>
  <r>
    <x v="1"/>
    <n v="1103"/>
    <x v="1516"/>
    <x v="0"/>
    <s v="CM"/>
    <s v="S"/>
    <x v="80"/>
    <x v="41"/>
    <x v="404"/>
    <m/>
    <x v="264"/>
    <m/>
    <x v="15"/>
    <x v="0"/>
    <x v="234"/>
    <d v="2012-12-01T00:00:00"/>
    <x v="11"/>
    <x v="0"/>
    <m/>
    <s v="Onde"/>
    <x v="0"/>
    <x v="0"/>
    <m/>
    <x v="0"/>
    <x v="0"/>
    <x v="1526"/>
    <x v="15"/>
    <x v="0"/>
    <x v="0"/>
    <x v="234"/>
    <x v="4085"/>
  </r>
  <r>
    <x v="1"/>
    <n v="1105"/>
    <x v="757"/>
    <x v="1"/>
    <s v="CM"/>
    <s v="N"/>
    <x v="525"/>
    <x v="2"/>
    <x v="632"/>
    <m/>
    <x v="15"/>
    <m/>
    <x v="3"/>
    <x v="0"/>
    <x v="321"/>
    <d v="2012-05-08T00:00:00"/>
    <x v="4"/>
    <x v="0"/>
    <m/>
    <m/>
    <x v="0"/>
    <x v="1"/>
    <m/>
    <x v="0"/>
    <x v="2"/>
    <x v="760"/>
    <x v="3"/>
    <x v="0"/>
    <x v="1"/>
    <x v="321"/>
    <x v="4086"/>
  </r>
  <r>
    <x v="1"/>
    <n v="1105"/>
    <x v="757"/>
    <x v="1"/>
    <s v="CM"/>
    <s v="N"/>
    <x v="525"/>
    <x v="2"/>
    <x v="592"/>
    <m/>
    <x v="5"/>
    <m/>
    <x v="3"/>
    <x v="0"/>
    <x v="398"/>
    <d v="2012-09-04T00:00:00"/>
    <x v="20"/>
    <x v="0"/>
    <m/>
    <m/>
    <x v="0"/>
    <x v="1"/>
    <m/>
    <x v="0"/>
    <x v="2"/>
    <x v="760"/>
    <x v="3"/>
    <x v="0"/>
    <x v="1"/>
    <x v="398"/>
    <x v="4087"/>
  </r>
  <r>
    <x v="1"/>
    <n v="1106"/>
    <x v="758"/>
    <x v="0"/>
    <s v="LM"/>
    <s v="S"/>
    <x v="20"/>
    <x v="1"/>
    <x v="500"/>
    <m/>
    <x v="24"/>
    <m/>
    <x v="3"/>
    <x v="0"/>
    <x v="348"/>
    <d v="2012-03-11T00:00:00"/>
    <x v="2"/>
    <x v="0"/>
    <m/>
    <m/>
    <x v="0"/>
    <x v="1"/>
    <m/>
    <x v="0"/>
    <x v="5"/>
    <x v="761"/>
    <x v="3"/>
    <x v="0"/>
    <x v="1"/>
    <x v="348"/>
    <x v="4088"/>
  </r>
  <r>
    <x v="1"/>
    <n v="1106"/>
    <x v="758"/>
    <x v="0"/>
    <s v="LM"/>
    <s v="S"/>
    <x v="20"/>
    <x v="1"/>
    <x v="792"/>
    <m/>
    <x v="159"/>
    <m/>
    <x v="46"/>
    <x v="0"/>
    <x v="339"/>
    <d v="2012-11-14T00:00:00"/>
    <x v="0"/>
    <x v="0"/>
    <m/>
    <m/>
    <x v="0"/>
    <x v="0"/>
    <m/>
    <x v="0"/>
    <x v="5"/>
    <x v="761"/>
    <x v="46"/>
    <x v="0"/>
    <x v="0"/>
    <x v="339"/>
    <x v="4089"/>
  </r>
  <r>
    <x v="1"/>
    <n v="1348"/>
    <x v="1517"/>
    <x v="0"/>
    <s v="CM"/>
    <s v="N"/>
    <x v="613"/>
    <x v="41"/>
    <x v="158"/>
    <m/>
    <x v="121"/>
    <m/>
    <x v="3"/>
    <x v="0"/>
    <x v="257"/>
    <d v="2012-09-30T00:00:00"/>
    <x v="9"/>
    <x v="0"/>
    <m/>
    <s v="Cinema e Arquitetura"/>
    <x v="0"/>
    <x v="0"/>
    <m/>
    <x v="0"/>
    <x v="0"/>
    <x v="1527"/>
    <x v="3"/>
    <x v="0"/>
    <x v="1"/>
    <x v="257"/>
    <x v="4090"/>
  </r>
  <r>
    <x v="1"/>
    <n v="1108"/>
    <x v="760"/>
    <x v="2"/>
    <s v="CM"/>
    <s v="N"/>
    <x v="527"/>
    <x v="1"/>
    <x v="464"/>
    <m/>
    <x v="40"/>
    <m/>
    <x v="3"/>
    <x v="0"/>
    <x v="311"/>
    <d v="2012-04-01T00:00:00"/>
    <x v="3"/>
    <x v="1"/>
    <s v="Competição de Animação"/>
    <m/>
    <x v="404"/>
    <x v="0"/>
    <m/>
    <x v="1"/>
    <x v="4"/>
    <x v="763"/>
    <x v="3"/>
    <x v="494"/>
    <x v="1"/>
    <x v="311"/>
    <x v="4091"/>
  </r>
  <r>
    <x v="1"/>
    <n v="1109"/>
    <x v="761"/>
    <x v="1"/>
    <s v="CM"/>
    <s v="N"/>
    <x v="528"/>
    <x v="5"/>
    <x v="408"/>
    <m/>
    <x v="266"/>
    <m/>
    <x v="2"/>
    <x v="0"/>
    <x v="238"/>
    <d v="2012-08-25T00:00:00"/>
    <x v="16"/>
    <x v="0"/>
    <m/>
    <s v="Route du Doc: Portugal"/>
    <x v="0"/>
    <x v="1"/>
    <m/>
    <x v="0"/>
    <x v="2"/>
    <x v="764"/>
    <x v="2"/>
    <x v="0"/>
    <x v="0"/>
    <x v="238"/>
    <x v="4092"/>
  </r>
  <r>
    <x v="1"/>
    <n v="1574"/>
    <x v="1518"/>
    <x v="0"/>
    <s v="CM"/>
    <s v="N"/>
    <x v="995"/>
    <x v="41"/>
    <x v="22"/>
    <m/>
    <x v="22"/>
    <m/>
    <x v="3"/>
    <x v="0"/>
    <x v="251"/>
    <d v="2012-11-18T00:00:00"/>
    <x v="13"/>
    <x v="1"/>
    <s v="Secção Competitiva"/>
    <m/>
    <x v="0"/>
    <x v="0"/>
    <m/>
    <x v="0"/>
    <x v="0"/>
    <x v="1528"/>
    <x v="3"/>
    <x v="0"/>
    <x v="1"/>
    <x v="251"/>
    <x v="4093"/>
  </r>
  <r>
    <x v="1"/>
    <n v="1110"/>
    <x v="762"/>
    <x v="0"/>
    <s v="CM"/>
    <s v="N"/>
    <x v="529"/>
    <x v="2"/>
    <x v="437"/>
    <m/>
    <x v="49"/>
    <m/>
    <x v="3"/>
    <x v="0"/>
    <x v="273"/>
    <m/>
    <x v="15"/>
    <x v="0"/>
    <m/>
    <m/>
    <x v="0"/>
    <x v="1"/>
    <m/>
    <x v="0"/>
    <x v="0"/>
    <x v="765"/>
    <x v="3"/>
    <x v="0"/>
    <x v="1"/>
    <x v="273"/>
    <x v="4094"/>
  </r>
  <r>
    <x v="1"/>
    <n v="1401"/>
    <x v="1519"/>
    <x v="1"/>
    <s v="CM"/>
    <s v=""/>
    <x v="898"/>
    <x v="41"/>
    <x v="25"/>
    <m/>
    <x v="24"/>
    <m/>
    <x v="3"/>
    <x v="0"/>
    <x v="294"/>
    <d v="2012-10-28T00:00:00"/>
    <x v="14"/>
    <x v="1"/>
    <s v="Competição Portuguesa - Longas"/>
    <m/>
    <x v="0"/>
    <x v="0"/>
    <m/>
    <x v="0"/>
    <x v="2"/>
    <x v="1529"/>
    <x v="3"/>
    <x v="0"/>
    <x v="1"/>
    <x v="294"/>
    <x v="4095"/>
  </r>
  <r>
    <x v="1"/>
    <n v="1112"/>
    <x v="1520"/>
    <x v="0"/>
    <s v="CM"/>
    <s v="S"/>
    <x v="996"/>
    <x v="3"/>
    <x v="68"/>
    <m/>
    <x v="53"/>
    <m/>
    <x v="3"/>
    <x v="0"/>
    <x v="253"/>
    <d v="2012-07-15T00:00:00"/>
    <x v="8"/>
    <x v="1"/>
    <s v="Competição Nacional"/>
    <m/>
    <x v="0"/>
    <x v="0"/>
    <m/>
    <x v="0"/>
    <x v="0"/>
    <x v="1530"/>
    <x v="3"/>
    <x v="0"/>
    <x v="1"/>
    <x v="253"/>
    <x v="4096"/>
  </r>
  <r>
    <x v="1"/>
    <n v="1112"/>
    <x v="1520"/>
    <x v="0"/>
    <s v="CM"/>
    <s v="S"/>
    <x v="996"/>
    <x v="3"/>
    <x v="278"/>
    <m/>
    <x v="194"/>
    <m/>
    <x v="50"/>
    <x v="0"/>
    <x v="376"/>
    <d v="2012-09-22T00:00:00"/>
    <x v="9"/>
    <x v="1"/>
    <s v="Competition Shorts"/>
    <m/>
    <x v="0"/>
    <x v="0"/>
    <m/>
    <x v="0"/>
    <x v="0"/>
    <x v="1530"/>
    <x v="50"/>
    <x v="0"/>
    <x v="0"/>
    <x v="376"/>
    <x v="4097"/>
  </r>
  <r>
    <x v="1"/>
    <n v="1112"/>
    <x v="1520"/>
    <x v="0"/>
    <s v="CM"/>
    <s v="S"/>
    <x v="996"/>
    <x v="3"/>
    <x v="389"/>
    <m/>
    <x v="173"/>
    <m/>
    <x v="7"/>
    <x v="0"/>
    <x v="338"/>
    <d v="2012-10-21T00:00:00"/>
    <x v="14"/>
    <x v="1"/>
    <s v="Sélection Internationale - Courts métrages: Éléments"/>
    <m/>
    <x v="405"/>
    <x v="0"/>
    <m/>
    <x v="1"/>
    <x v="0"/>
    <x v="1530"/>
    <x v="7"/>
    <x v="495"/>
    <x v="0"/>
    <x v="338"/>
    <x v="4098"/>
  </r>
  <r>
    <x v="1"/>
    <n v="1113"/>
    <x v="764"/>
    <x v="0"/>
    <s v="CM"/>
    <s v="N"/>
    <x v="531"/>
    <x v="2"/>
    <x v="612"/>
    <m/>
    <x v="24"/>
    <m/>
    <x v="3"/>
    <x v="0"/>
    <x v="235"/>
    <m/>
    <x v="15"/>
    <x v="0"/>
    <m/>
    <m/>
    <x v="0"/>
    <x v="1"/>
    <m/>
    <x v="0"/>
    <x v="0"/>
    <x v="767"/>
    <x v="3"/>
    <x v="0"/>
    <x v="1"/>
    <x v="235"/>
    <x v="4099"/>
  </r>
  <r>
    <x v="1"/>
    <n v="1113"/>
    <x v="764"/>
    <x v="0"/>
    <s v="CM"/>
    <s v="N"/>
    <x v="531"/>
    <x v="2"/>
    <x v="456"/>
    <m/>
    <x v="24"/>
    <m/>
    <x v="3"/>
    <x v="0"/>
    <x v="300"/>
    <m/>
    <x v="1"/>
    <x v="0"/>
    <m/>
    <s v="Especial Curtas Nomeadas para Melhor Curta Prémios Shortcutz Lisboa 2011"/>
    <x v="0"/>
    <x v="1"/>
    <m/>
    <x v="0"/>
    <x v="0"/>
    <x v="767"/>
    <x v="3"/>
    <x v="0"/>
    <x v="1"/>
    <x v="300"/>
    <x v="4100"/>
  </r>
  <r>
    <x v="1"/>
    <n v="1113"/>
    <x v="764"/>
    <x v="0"/>
    <s v="CM"/>
    <s v="N"/>
    <x v="531"/>
    <x v="2"/>
    <x v="473"/>
    <m/>
    <x v="24"/>
    <m/>
    <x v="3"/>
    <x v="0"/>
    <x v="317"/>
    <m/>
    <x v="2"/>
    <x v="1"/>
    <m/>
    <m/>
    <x v="406"/>
    <x v="2"/>
    <m/>
    <x v="1"/>
    <x v="0"/>
    <x v="767"/>
    <x v="3"/>
    <x v="496"/>
    <x v="1"/>
    <x v="317"/>
    <x v="4101"/>
  </r>
  <r>
    <x v="1"/>
    <n v="1113"/>
    <x v="764"/>
    <x v="0"/>
    <s v="CM"/>
    <s v="N"/>
    <x v="531"/>
    <x v="2"/>
    <x v="448"/>
    <m/>
    <x v="59"/>
    <m/>
    <x v="3"/>
    <x v="0"/>
    <x v="289"/>
    <d v="2012-12-02T00:00:00"/>
    <x v="11"/>
    <x v="1"/>
    <s v="Competição Nacional"/>
    <m/>
    <x v="0"/>
    <x v="0"/>
    <m/>
    <x v="0"/>
    <x v="0"/>
    <x v="767"/>
    <x v="3"/>
    <x v="0"/>
    <x v="1"/>
    <x v="289"/>
    <x v="4102"/>
  </r>
  <r>
    <x v="1"/>
    <n v="1116"/>
    <x v="1521"/>
    <x v="0"/>
    <s v="CM"/>
    <s v="N"/>
    <x v="195"/>
    <x v="2"/>
    <x v="62"/>
    <m/>
    <x v="23"/>
    <m/>
    <x v="3"/>
    <x v="0"/>
    <x v="302"/>
    <d v="2012-03-04T00:00:00"/>
    <x v="19"/>
    <x v="1"/>
    <s v="Prémio de Cinema Português - Escolas de Cinema"/>
    <m/>
    <x v="0"/>
    <x v="0"/>
    <m/>
    <x v="0"/>
    <x v="0"/>
    <x v="1531"/>
    <x v="3"/>
    <x v="0"/>
    <x v="1"/>
    <x v="302"/>
    <x v="4103"/>
  </r>
  <r>
    <x v="1"/>
    <n v="1332"/>
    <x v="1522"/>
    <x v="5"/>
    <s v="CM"/>
    <s v="N"/>
    <x v="456"/>
    <x v="2"/>
    <x v="316"/>
    <m/>
    <x v="11"/>
    <m/>
    <x v="3"/>
    <x v="0"/>
    <x v="199"/>
    <d v="2012-08-25T00:00:00"/>
    <x v="16"/>
    <x v="1"/>
    <s v="Videoclips"/>
    <m/>
    <x v="0"/>
    <x v="0"/>
    <m/>
    <x v="0"/>
    <x v="15"/>
    <x v="1532"/>
    <x v="3"/>
    <x v="0"/>
    <x v="1"/>
    <x v="199"/>
    <x v="4104"/>
  </r>
  <r>
    <x v="1"/>
    <n v="1333"/>
    <x v="1523"/>
    <x v="5"/>
    <s v="CM"/>
    <s v="N"/>
    <x v="456"/>
    <x v="2"/>
    <x v="316"/>
    <m/>
    <x v="11"/>
    <m/>
    <x v="3"/>
    <x v="0"/>
    <x v="199"/>
    <d v="2012-08-25T00:00:00"/>
    <x v="16"/>
    <x v="1"/>
    <s v="Videoclips"/>
    <m/>
    <x v="0"/>
    <x v="0"/>
    <m/>
    <x v="0"/>
    <x v="15"/>
    <x v="1533"/>
    <x v="3"/>
    <x v="0"/>
    <x v="1"/>
    <x v="199"/>
    <x v="4105"/>
  </r>
  <r>
    <x v="1"/>
    <n v="1118"/>
    <x v="1524"/>
    <x v="3"/>
    <s v="CM"/>
    <s v="N"/>
    <x v="997"/>
    <x v="2"/>
    <x v="449"/>
    <m/>
    <x v="22"/>
    <m/>
    <x v="3"/>
    <x v="0"/>
    <x v="290"/>
    <m/>
    <x v="7"/>
    <x v="1"/>
    <s v="Movimento"/>
    <m/>
    <x v="0"/>
    <x v="0"/>
    <m/>
    <x v="0"/>
    <x v="6"/>
    <x v="1534"/>
    <x v="3"/>
    <x v="0"/>
    <x v="1"/>
    <x v="290"/>
    <x v="4106"/>
  </r>
  <r>
    <x v="1"/>
    <n v="2153"/>
    <x v="1525"/>
    <x v="3"/>
    <s v="CM"/>
    <s v="N"/>
    <x v="998"/>
    <x v="41"/>
    <x v="634"/>
    <m/>
    <x v="340"/>
    <m/>
    <x v="3"/>
    <x v="0"/>
    <x v="415"/>
    <d v="2012-09-09T00:00:00"/>
    <x v="9"/>
    <x v="1"/>
    <s v="Animação"/>
    <m/>
    <x v="407"/>
    <x v="0"/>
    <m/>
    <x v="1"/>
    <x v="6"/>
    <x v="1535"/>
    <x v="3"/>
    <x v="497"/>
    <x v="1"/>
    <x v="415"/>
    <x v="4107"/>
  </r>
  <r>
    <x v="1"/>
    <n v="1120"/>
    <x v="1526"/>
    <x v="0"/>
    <s v="CM"/>
    <s v="N"/>
    <x v="999"/>
    <x v="2"/>
    <x v="793"/>
    <m/>
    <x v="11"/>
    <m/>
    <x v="3"/>
    <x v="0"/>
    <x v="232"/>
    <m/>
    <x v="5"/>
    <x v="0"/>
    <m/>
    <m/>
    <x v="0"/>
    <x v="1"/>
    <m/>
    <x v="0"/>
    <x v="0"/>
    <x v="1536"/>
    <x v="3"/>
    <x v="0"/>
    <x v="1"/>
    <x v="232"/>
    <x v="4108"/>
  </r>
  <r>
    <x v="1"/>
    <n v="1303"/>
    <x v="1527"/>
    <x v="3"/>
    <s v="CM"/>
    <s v="N"/>
    <x v="1000"/>
    <x v="2"/>
    <x v="445"/>
    <m/>
    <x v="284"/>
    <m/>
    <x v="3"/>
    <x v="0"/>
    <x v="286"/>
    <d v="2012-09-08T00:00:00"/>
    <x v="9"/>
    <x v="1"/>
    <m/>
    <m/>
    <x v="0"/>
    <x v="0"/>
    <m/>
    <x v="0"/>
    <x v="6"/>
    <x v="1537"/>
    <x v="3"/>
    <x v="0"/>
    <x v="1"/>
    <x v="286"/>
    <x v="4109"/>
  </r>
  <r>
    <x v="1"/>
    <n v="1472"/>
    <x v="1528"/>
    <x v="1"/>
    <s v="CM"/>
    <s v="N"/>
    <x v="708"/>
    <x v="7"/>
    <x v="294"/>
    <m/>
    <x v="58"/>
    <m/>
    <x v="17"/>
    <x v="0"/>
    <x v="267"/>
    <m/>
    <x v="13"/>
    <x v="0"/>
    <m/>
    <m/>
    <x v="0"/>
    <x v="1"/>
    <m/>
    <x v="0"/>
    <x v="2"/>
    <x v="1538"/>
    <x v="17"/>
    <x v="0"/>
    <x v="0"/>
    <x v="267"/>
    <x v="4110"/>
  </r>
  <r>
    <x v="1"/>
    <n v="1121"/>
    <x v="1529"/>
    <x v="2"/>
    <s v="CM"/>
    <s v="N"/>
    <x v="1001"/>
    <x v="2"/>
    <x v="62"/>
    <m/>
    <x v="23"/>
    <m/>
    <x v="3"/>
    <x v="0"/>
    <x v="302"/>
    <d v="2012-03-04T00:00:00"/>
    <x v="19"/>
    <x v="1"/>
    <s v="Prémio de Cinema Português - Melhor FIlme"/>
    <m/>
    <x v="0"/>
    <x v="0"/>
    <m/>
    <x v="0"/>
    <x v="4"/>
    <x v="1539"/>
    <x v="3"/>
    <x v="0"/>
    <x v="1"/>
    <x v="302"/>
    <x v="4111"/>
  </r>
  <r>
    <x v="1"/>
    <n v="1121"/>
    <x v="1529"/>
    <x v="2"/>
    <s v="CM"/>
    <s v="N"/>
    <x v="1001"/>
    <x v="2"/>
    <x v="431"/>
    <m/>
    <x v="277"/>
    <m/>
    <x v="14"/>
    <x v="0"/>
    <x v="243"/>
    <d v="2012-06-02T00:00:00"/>
    <x v="7"/>
    <x v="0"/>
    <m/>
    <m/>
    <x v="0"/>
    <x v="0"/>
    <m/>
    <x v="0"/>
    <x v="4"/>
    <x v="1539"/>
    <x v="14"/>
    <x v="0"/>
    <x v="0"/>
    <x v="243"/>
    <x v="4112"/>
  </r>
  <r>
    <x v="1"/>
    <n v="1121"/>
    <x v="1529"/>
    <x v="2"/>
    <s v="CM"/>
    <s v="N"/>
    <x v="1001"/>
    <x v="2"/>
    <x v="457"/>
    <m/>
    <x v="285"/>
    <m/>
    <x v="3"/>
    <x v="0"/>
    <x v="301"/>
    <d v="2012-06-16T00:00:00"/>
    <x v="7"/>
    <x v="1"/>
    <s v="Curtas-metragens"/>
    <m/>
    <x v="0"/>
    <x v="0"/>
    <m/>
    <x v="0"/>
    <x v="4"/>
    <x v="1539"/>
    <x v="3"/>
    <x v="0"/>
    <x v="1"/>
    <x v="301"/>
    <x v="4113"/>
  </r>
  <r>
    <x v="1"/>
    <n v="1121"/>
    <x v="1529"/>
    <x v="2"/>
    <s v="CM"/>
    <s v="N"/>
    <x v="1001"/>
    <x v="2"/>
    <x v="316"/>
    <m/>
    <x v="11"/>
    <m/>
    <x v="3"/>
    <x v="0"/>
    <x v="199"/>
    <d v="2012-08-25T00:00:00"/>
    <x v="16"/>
    <x v="1"/>
    <s v="Animação"/>
    <m/>
    <x v="0"/>
    <x v="0"/>
    <m/>
    <x v="0"/>
    <x v="4"/>
    <x v="1539"/>
    <x v="3"/>
    <x v="0"/>
    <x v="1"/>
    <x v="199"/>
    <x v="4114"/>
  </r>
  <r>
    <x v="1"/>
    <n v="1122"/>
    <x v="769"/>
    <x v="1"/>
    <s v="CM"/>
    <s v="N"/>
    <x v="120"/>
    <x v="3"/>
    <x v="553"/>
    <m/>
    <x v="17"/>
    <m/>
    <x v="2"/>
    <x v="0"/>
    <x v="352"/>
    <d v="2012-02-12T00:00:00"/>
    <x v="18"/>
    <x v="0"/>
    <m/>
    <s v="Cartes Blanches Festivals: INDIELISBOA"/>
    <x v="0"/>
    <x v="0"/>
    <m/>
    <x v="0"/>
    <x v="2"/>
    <x v="772"/>
    <x v="2"/>
    <x v="0"/>
    <x v="0"/>
    <x v="352"/>
    <x v="4115"/>
  </r>
  <r>
    <x v="1"/>
    <n v="1122"/>
    <x v="769"/>
    <x v="1"/>
    <s v="CM"/>
    <s v="N"/>
    <x v="120"/>
    <x v="3"/>
    <x v="519"/>
    <m/>
    <x v="24"/>
    <m/>
    <x v="3"/>
    <x v="0"/>
    <x v="319"/>
    <d v="2012-04-21T00:00:00"/>
    <x v="5"/>
    <x v="0"/>
    <m/>
    <m/>
    <x v="0"/>
    <x v="1"/>
    <m/>
    <x v="0"/>
    <x v="2"/>
    <x v="772"/>
    <x v="3"/>
    <x v="0"/>
    <x v="1"/>
    <x v="319"/>
    <x v="4116"/>
  </r>
  <r>
    <x v="1"/>
    <n v="1122"/>
    <x v="769"/>
    <x v="1"/>
    <s v="CM"/>
    <s v="N"/>
    <x v="120"/>
    <x v="3"/>
    <x v="129"/>
    <m/>
    <x v="12"/>
    <m/>
    <x v="2"/>
    <x v="0"/>
    <x v="343"/>
    <d v="2012-07-09T00:00:00"/>
    <x v="8"/>
    <x v="0"/>
    <m/>
    <s v="Écrans Parallèles - Sentiers"/>
    <x v="0"/>
    <x v="0"/>
    <m/>
    <x v="0"/>
    <x v="2"/>
    <x v="772"/>
    <x v="2"/>
    <x v="0"/>
    <x v="0"/>
    <x v="343"/>
    <x v="4117"/>
  </r>
  <r>
    <x v="1"/>
    <n v="1122"/>
    <x v="769"/>
    <x v="1"/>
    <s v="CM"/>
    <s v="N"/>
    <x v="120"/>
    <x v="3"/>
    <x v="278"/>
    <m/>
    <x v="194"/>
    <m/>
    <x v="50"/>
    <x v="0"/>
    <x v="376"/>
    <d v="2012-09-22T00:00:00"/>
    <x v="9"/>
    <x v="1"/>
    <s v="Competition Shorts"/>
    <m/>
    <x v="0"/>
    <x v="0"/>
    <m/>
    <x v="0"/>
    <x v="2"/>
    <x v="772"/>
    <x v="50"/>
    <x v="0"/>
    <x v="0"/>
    <x v="376"/>
    <x v="4118"/>
  </r>
  <r>
    <x v="1"/>
    <n v="1122"/>
    <x v="769"/>
    <x v="1"/>
    <s v="CM"/>
    <s v="N"/>
    <x v="120"/>
    <x v="3"/>
    <x v="162"/>
    <m/>
    <x v="124"/>
    <m/>
    <x v="3"/>
    <x v="0"/>
    <x v="417"/>
    <m/>
    <x v="9"/>
    <x v="0"/>
    <m/>
    <m/>
    <x v="0"/>
    <x v="1"/>
    <m/>
    <x v="0"/>
    <x v="2"/>
    <x v="772"/>
    <x v="3"/>
    <x v="0"/>
    <x v="1"/>
    <x v="417"/>
    <x v="4119"/>
  </r>
  <r>
    <x v="1"/>
    <n v="1122"/>
    <x v="769"/>
    <x v="1"/>
    <s v="CM"/>
    <s v="N"/>
    <x v="120"/>
    <x v="3"/>
    <x v="409"/>
    <m/>
    <x v="58"/>
    <m/>
    <x v="17"/>
    <x v="0"/>
    <x v="239"/>
    <d v="2012-12-08T00:00:00"/>
    <x v="11"/>
    <x v="0"/>
    <m/>
    <m/>
    <x v="0"/>
    <x v="1"/>
    <m/>
    <x v="0"/>
    <x v="2"/>
    <x v="772"/>
    <x v="17"/>
    <x v="0"/>
    <x v="0"/>
    <x v="239"/>
    <x v="4120"/>
  </r>
  <r>
    <x v="1"/>
    <n v="1122"/>
    <x v="769"/>
    <x v="1"/>
    <s v="CM"/>
    <s v="N"/>
    <x v="120"/>
    <x v="3"/>
    <x v="133"/>
    <m/>
    <x v="101"/>
    <m/>
    <x v="3"/>
    <x v="0"/>
    <x v="331"/>
    <d v="2012-12-09T00:00:00"/>
    <x v="12"/>
    <x v="0"/>
    <m/>
    <s v="Em Debate - João Salaviza"/>
    <x v="0"/>
    <x v="0"/>
    <m/>
    <x v="0"/>
    <x v="2"/>
    <x v="772"/>
    <x v="3"/>
    <x v="0"/>
    <x v="1"/>
    <x v="331"/>
    <x v="4121"/>
  </r>
  <r>
    <x v="1"/>
    <n v="1123"/>
    <x v="770"/>
    <x v="2"/>
    <s v="CM"/>
    <s v="S"/>
    <x v="176"/>
    <x v="2"/>
    <x v="582"/>
    <m/>
    <x v="24"/>
    <m/>
    <x v="3"/>
    <x v="0"/>
    <x v="353"/>
    <m/>
    <x v="2"/>
    <x v="0"/>
    <m/>
    <m/>
    <x v="0"/>
    <x v="1"/>
    <m/>
    <x v="0"/>
    <x v="4"/>
    <x v="773"/>
    <x v="3"/>
    <x v="0"/>
    <x v="1"/>
    <x v="353"/>
    <x v="4122"/>
  </r>
  <r>
    <x v="1"/>
    <n v="1123"/>
    <x v="770"/>
    <x v="2"/>
    <s v="CM"/>
    <s v="S"/>
    <x v="176"/>
    <x v="2"/>
    <x v="411"/>
    <m/>
    <x v="268"/>
    <m/>
    <x v="0"/>
    <x v="0"/>
    <x v="241"/>
    <d v="2012-05-18T00:00:00"/>
    <x v="6"/>
    <x v="0"/>
    <m/>
    <s v="Mostra dos Festivais - FIKE"/>
    <x v="0"/>
    <x v="0"/>
    <m/>
    <x v="0"/>
    <x v="4"/>
    <x v="773"/>
    <x v="0"/>
    <x v="0"/>
    <x v="0"/>
    <x v="241"/>
    <x v="4123"/>
  </r>
  <r>
    <x v="1"/>
    <n v="1124"/>
    <x v="771"/>
    <x v="0"/>
    <s v="CM"/>
    <s v="N"/>
    <x v="535"/>
    <x v="2"/>
    <x v="62"/>
    <m/>
    <x v="23"/>
    <m/>
    <x v="3"/>
    <x v="0"/>
    <x v="302"/>
    <d v="2012-03-04T00:00:00"/>
    <x v="19"/>
    <x v="1"/>
    <s v="Prémio de Cinema Português - Escolas de Cinema"/>
    <m/>
    <x v="0"/>
    <x v="0"/>
    <m/>
    <x v="0"/>
    <x v="0"/>
    <x v="774"/>
    <x v="3"/>
    <x v="0"/>
    <x v="1"/>
    <x v="302"/>
    <x v="4124"/>
  </r>
  <r>
    <x v="1"/>
    <n v="1127"/>
    <x v="1530"/>
    <x v="1"/>
    <s v="LM"/>
    <s v="N"/>
    <x v="1002"/>
    <x v="2"/>
    <x v="424"/>
    <m/>
    <x v="24"/>
    <m/>
    <x v="3"/>
    <x v="0"/>
    <x v="255"/>
    <d v="2012-06-17T00:00:00"/>
    <x v="7"/>
    <x v="0"/>
    <m/>
    <s v="Fora da Competição"/>
    <x v="0"/>
    <x v="0"/>
    <m/>
    <x v="0"/>
    <x v="1"/>
    <x v="1540"/>
    <x v="3"/>
    <x v="0"/>
    <x v="1"/>
    <x v="255"/>
    <x v="4125"/>
  </r>
  <r>
    <x v="1"/>
    <n v="1549"/>
    <x v="1531"/>
    <x v="0"/>
    <s v="CM"/>
    <s v="N"/>
    <x v="267"/>
    <x v="41"/>
    <x v="22"/>
    <m/>
    <x v="22"/>
    <m/>
    <x v="3"/>
    <x v="0"/>
    <x v="251"/>
    <d v="2012-11-18T00:00:00"/>
    <x v="13"/>
    <x v="1"/>
    <s v="Secção Competitiva"/>
    <m/>
    <x v="0"/>
    <x v="0"/>
    <m/>
    <x v="0"/>
    <x v="0"/>
    <x v="1541"/>
    <x v="3"/>
    <x v="0"/>
    <x v="1"/>
    <x v="251"/>
    <x v="4126"/>
  </r>
  <r>
    <x v="1"/>
    <n v="1549"/>
    <x v="1531"/>
    <x v="0"/>
    <s v="CM"/>
    <s v="N"/>
    <x v="267"/>
    <x v="41"/>
    <x v="133"/>
    <m/>
    <x v="101"/>
    <m/>
    <x v="3"/>
    <x v="0"/>
    <x v="331"/>
    <d v="2012-12-09T00:00:00"/>
    <x v="12"/>
    <x v="1"/>
    <s v="Curtas Metragens"/>
    <m/>
    <x v="0"/>
    <x v="0"/>
    <m/>
    <x v="0"/>
    <x v="0"/>
    <x v="1541"/>
    <x v="3"/>
    <x v="0"/>
    <x v="1"/>
    <x v="331"/>
    <x v="4127"/>
  </r>
  <r>
    <x v="1"/>
    <n v="1129"/>
    <x v="1532"/>
    <x v="4"/>
    <s v="CM"/>
    <s v="N"/>
    <x v="1003"/>
    <x v="2"/>
    <x v="62"/>
    <m/>
    <x v="23"/>
    <m/>
    <x v="3"/>
    <x v="0"/>
    <x v="302"/>
    <d v="2012-03-04T00:00:00"/>
    <x v="19"/>
    <x v="1"/>
    <s v="Prémio de Cinema Português - Escolas de Cinema"/>
    <m/>
    <x v="0"/>
    <x v="0"/>
    <m/>
    <x v="0"/>
    <x v="8"/>
    <x v="1542"/>
    <x v="3"/>
    <x v="0"/>
    <x v="1"/>
    <x v="302"/>
    <x v="4128"/>
  </r>
  <r>
    <x v="1"/>
    <n v="1130"/>
    <x v="774"/>
    <x v="0"/>
    <s v="CM"/>
    <s v="N"/>
    <x v="454"/>
    <x v="3"/>
    <x v="638"/>
    <m/>
    <x v="24"/>
    <m/>
    <x v="3"/>
    <x v="0"/>
    <x v="332"/>
    <m/>
    <x v="2"/>
    <x v="1"/>
    <m/>
    <m/>
    <x v="0"/>
    <x v="1"/>
    <m/>
    <x v="0"/>
    <x v="0"/>
    <x v="777"/>
    <x v="3"/>
    <x v="0"/>
    <x v="1"/>
    <x v="332"/>
    <x v="4129"/>
  </r>
  <r>
    <x v="1"/>
    <n v="1130"/>
    <x v="774"/>
    <x v="0"/>
    <s v="CM"/>
    <s v="N"/>
    <x v="454"/>
    <x v="3"/>
    <x v="565"/>
    <m/>
    <x v="320"/>
    <m/>
    <x v="5"/>
    <x v="0"/>
    <x v="372"/>
    <d v="2012-03-25T00:00:00"/>
    <x v="2"/>
    <x v="1"/>
    <s v="Schockblock 1"/>
    <m/>
    <x v="0"/>
    <x v="0"/>
    <m/>
    <x v="0"/>
    <x v="0"/>
    <x v="777"/>
    <x v="5"/>
    <x v="0"/>
    <x v="0"/>
    <x v="372"/>
    <x v="4130"/>
  </r>
  <r>
    <x v="1"/>
    <n v="1130"/>
    <x v="774"/>
    <x v="0"/>
    <s v="CM"/>
    <s v="N"/>
    <x v="454"/>
    <x v="3"/>
    <x v="457"/>
    <m/>
    <x v="285"/>
    <m/>
    <x v="3"/>
    <x v="0"/>
    <x v="301"/>
    <d v="2012-06-16T00:00:00"/>
    <x v="7"/>
    <x v="1"/>
    <s v="Curtas-metragens"/>
    <m/>
    <x v="0"/>
    <x v="0"/>
    <m/>
    <x v="0"/>
    <x v="0"/>
    <x v="777"/>
    <x v="3"/>
    <x v="0"/>
    <x v="1"/>
    <x v="301"/>
    <x v="4131"/>
  </r>
  <r>
    <x v="1"/>
    <n v="1130"/>
    <x v="774"/>
    <x v="0"/>
    <s v="CM"/>
    <s v="N"/>
    <x v="454"/>
    <x v="3"/>
    <x v="178"/>
    <m/>
    <x v="25"/>
    <m/>
    <x v="3"/>
    <x v="0"/>
    <x v="293"/>
    <d v="2012-07-08T00:00:00"/>
    <x v="8"/>
    <x v="0"/>
    <m/>
    <s v="Panorama Light&amp;Sound - Shortcutz"/>
    <x v="0"/>
    <x v="0"/>
    <m/>
    <x v="0"/>
    <x v="0"/>
    <x v="777"/>
    <x v="3"/>
    <x v="0"/>
    <x v="1"/>
    <x v="293"/>
    <x v="4132"/>
  </r>
  <r>
    <x v="1"/>
    <n v="1130"/>
    <x v="774"/>
    <x v="0"/>
    <s v="CM"/>
    <s v="N"/>
    <x v="454"/>
    <x v="3"/>
    <x v="794"/>
    <m/>
    <x v="392"/>
    <m/>
    <x v="15"/>
    <x v="0"/>
    <x v="484"/>
    <d v="2012-07-21T00:00:00"/>
    <x v="8"/>
    <x v="1"/>
    <s v="Fiction"/>
    <m/>
    <x v="0"/>
    <x v="0"/>
    <m/>
    <x v="0"/>
    <x v="0"/>
    <x v="777"/>
    <x v="15"/>
    <x v="0"/>
    <x v="0"/>
    <x v="484"/>
    <x v="4133"/>
  </r>
  <r>
    <x v="1"/>
    <n v="1130"/>
    <x v="774"/>
    <x v="0"/>
    <s v="CM"/>
    <s v="N"/>
    <x v="454"/>
    <x v="3"/>
    <x v="316"/>
    <m/>
    <x v="11"/>
    <m/>
    <x v="3"/>
    <x v="0"/>
    <x v="199"/>
    <d v="2012-08-25T00:00:00"/>
    <x v="16"/>
    <x v="1"/>
    <s v="Ficção"/>
    <m/>
    <x v="0"/>
    <x v="0"/>
    <m/>
    <x v="0"/>
    <x v="0"/>
    <x v="777"/>
    <x v="3"/>
    <x v="0"/>
    <x v="1"/>
    <x v="199"/>
    <x v="4134"/>
  </r>
  <r>
    <x v="1"/>
    <n v="1133"/>
    <x v="1533"/>
    <x v="0"/>
    <s v="LM"/>
    <s v="S"/>
    <x v="0"/>
    <x v="3"/>
    <x v="375"/>
    <m/>
    <x v="20"/>
    <m/>
    <x v="5"/>
    <x v="0"/>
    <x v="414"/>
    <d v="2012-02-19T00:00:00"/>
    <x v="1"/>
    <x v="1"/>
    <s v="Competition "/>
    <m/>
    <x v="408"/>
    <x v="0"/>
    <m/>
    <x v="1"/>
    <x v="5"/>
    <x v="1543"/>
    <x v="5"/>
    <x v="498"/>
    <x v="0"/>
    <x v="414"/>
    <x v="4135"/>
  </r>
  <r>
    <x v="1"/>
    <n v="1133"/>
    <x v="1533"/>
    <x v="0"/>
    <s v="LM"/>
    <s v="S"/>
    <x v="0"/>
    <x v="3"/>
    <x v="596"/>
    <m/>
    <x v="329"/>
    <m/>
    <x v="1"/>
    <x v="0"/>
    <x v="404"/>
    <d v="2012-03-24T00:00:00"/>
    <x v="2"/>
    <x v="1"/>
    <s v="Largometrajes"/>
    <m/>
    <x v="409"/>
    <x v="0"/>
    <m/>
    <x v="1"/>
    <x v="5"/>
    <x v="1543"/>
    <x v="1"/>
    <x v="499"/>
    <x v="0"/>
    <x v="404"/>
    <x v="4136"/>
  </r>
  <r>
    <x v="1"/>
    <n v="1133"/>
    <x v="1533"/>
    <x v="0"/>
    <s v="LM"/>
    <s v="S"/>
    <x v="0"/>
    <x v="3"/>
    <x v="91"/>
    <m/>
    <x v="70"/>
    <m/>
    <x v="18"/>
    <x v="0"/>
    <x v="362"/>
    <d v="2012-04-26T00:00:00"/>
    <x v="5"/>
    <x v="0"/>
    <m/>
    <s v="Cinemascape: World Cinema"/>
    <x v="0"/>
    <x v="0"/>
    <m/>
    <x v="0"/>
    <x v="5"/>
    <x v="1543"/>
    <x v="18"/>
    <x v="0"/>
    <x v="0"/>
    <x v="362"/>
    <x v="4137"/>
  </r>
  <r>
    <x v="1"/>
    <n v="1133"/>
    <x v="1533"/>
    <x v="0"/>
    <s v="LM"/>
    <s v="S"/>
    <x v="0"/>
    <x v="3"/>
    <x v="522"/>
    <m/>
    <x v="165"/>
    <m/>
    <x v="4"/>
    <x v="0"/>
    <x v="363"/>
    <d v="2012-04-22T00:00:00"/>
    <x v="5"/>
    <x v="0"/>
    <m/>
    <s v="Trayectorias"/>
    <x v="0"/>
    <x v="0"/>
    <m/>
    <x v="0"/>
    <x v="5"/>
    <x v="1543"/>
    <x v="4"/>
    <x v="0"/>
    <x v="0"/>
    <x v="363"/>
    <x v="4138"/>
  </r>
  <r>
    <x v="1"/>
    <n v="1133"/>
    <x v="1533"/>
    <x v="0"/>
    <s v="LM"/>
    <s v="S"/>
    <x v="0"/>
    <x v="3"/>
    <x v="597"/>
    <m/>
    <x v="115"/>
    <m/>
    <x v="36"/>
    <x v="0"/>
    <x v="364"/>
    <d v="2012-04-29T00:00:00"/>
    <x v="5"/>
    <x v="0"/>
    <m/>
    <s v="Front Runners"/>
    <x v="0"/>
    <x v="0"/>
    <m/>
    <x v="0"/>
    <x v="5"/>
    <x v="1543"/>
    <x v="36"/>
    <x v="0"/>
    <x v="0"/>
    <x v="364"/>
    <x v="4139"/>
  </r>
  <r>
    <x v="1"/>
    <n v="1133"/>
    <x v="1533"/>
    <x v="0"/>
    <s v="LM"/>
    <s v="S"/>
    <x v="0"/>
    <x v="3"/>
    <x v="4"/>
    <m/>
    <x v="4"/>
    <m/>
    <x v="2"/>
    <x v="0"/>
    <x v="355"/>
    <d v="2012-04-25T00:00:00"/>
    <x v="5"/>
    <x v="0"/>
    <m/>
    <m/>
    <x v="0"/>
    <x v="1"/>
    <m/>
    <x v="0"/>
    <x v="5"/>
    <x v="1543"/>
    <x v="2"/>
    <x v="0"/>
    <x v="0"/>
    <x v="355"/>
    <x v="4140"/>
  </r>
  <r>
    <x v="1"/>
    <n v="1133"/>
    <x v="1533"/>
    <x v="0"/>
    <s v="LM"/>
    <s v="S"/>
    <x v="0"/>
    <x v="3"/>
    <x v="514"/>
    <m/>
    <x v="99"/>
    <m/>
    <x v="3"/>
    <x v="0"/>
    <x v="360"/>
    <d v="2012-05-13T00:00:00"/>
    <x v="6"/>
    <x v="0"/>
    <m/>
    <s v="Olhares Frontais"/>
    <x v="0"/>
    <x v="0"/>
    <m/>
    <x v="0"/>
    <x v="5"/>
    <x v="1543"/>
    <x v="3"/>
    <x v="0"/>
    <x v="1"/>
    <x v="360"/>
    <x v="4141"/>
  </r>
  <r>
    <x v="1"/>
    <n v="1133"/>
    <x v="1533"/>
    <x v="0"/>
    <s v="LM"/>
    <s v="S"/>
    <x v="0"/>
    <x v="3"/>
    <x v="42"/>
    <m/>
    <x v="39"/>
    <m/>
    <x v="3"/>
    <x v="0"/>
    <x v="485"/>
    <m/>
    <x v="6"/>
    <x v="0"/>
    <m/>
    <m/>
    <x v="0"/>
    <x v="1"/>
    <m/>
    <x v="0"/>
    <x v="5"/>
    <x v="1543"/>
    <x v="3"/>
    <x v="0"/>
    <x v="1"/>
    <x v="485"/>
    <x v="4142"/>
  </r>
  <r>
    <x v="1"/>
    <n v="1133"/>
    <x v="1533"/>
    <x v="0"/>
    <s v="LM"/>
    <s v="S"/>
    <x v="0"/>
    <x v="3"/>
    <x v="790"/>
    <m/>
    <x v="390"/>
    <m/>
    <x v="51"/>
    <x v="0"/>
    <x v="243"/>
    <d v="2012-06-10T00:00:00"/>
    <x v="7"/>
    <x v="0"/>
    <m/>
    <s v="Supernova"/>
    <x v="0"/>
    <x v="0"/>
    <m/>
    <x v="0"/>
    <x v="5"/>
    <x v="1543"/>
    <x v="51"/>
    <x v="0"/>
    <x v="0"/>
    <x v="243"/>
    <x v="4143"/>
  </r>
  <r>
    <x v="1"/>
    <n v="1133"/>
    <x v="1533"/>
    <x v="0"/>
    <s v="LM"/>
    <s v="S"/>
    <x v="0"/>
    <x v="3"/>
    <x v="795"/>
    <m/>
    <x v="393"/>
    <m/>
    <x v="6"/>
    <x v="0"/>
    <x v="305"/>
    <d v="2012-06-17T00:00:00"/>
    <x v="7"/>
    <x v="1"/>
    <s v="Official Competition"/>
    <m/>
    <x v="0"/>
    <x v="0"/>
    <m/>
    <x v="0"/>
    <x v="5"/>
    <x v="1543"/>
    <x v="6"/>
    <x v="0"/>
    <x v="0"/>
    <x v="305"/>
    <x v="4144"/>
  </r>
  <r>
    <x v="1"/>
    <n v="1133"/>
    <x v="1533"/>
    <x v="0"/>
    <s v="LM"/>
    <s v="S"/>
    <x v="0"/>
    <x v="3"/>
    <x v="575"/>
    <m/>
    <x v="11"/>
    <m/>
    <x v="3"/>
    <x v="0"/>
    <x v="309"/>
    <m/>
    <x v="7"/>
    <x v="0"/>
    <m/>
    <m/>
    <x v="0"/>
    <x v="1"/>
    <m/>
    <x v="0"/>
    <x v="5"/>
    <x v="1543"/>
    <x v="3"/>
    <x v="0"/>
    <x v="1"/>
    <x v="309"/>
    <x v="4145"/>
  </r>
  <r>
    <x v="1"/>
    <n v="1133"/>
    <x v="1533"/>
    <x v="0"/>
    <s v="LM"/>
    <s v="S"/>
    <x v="0"/>
    <x v="3"/>
    <x v="796"/>
    <m/>
    <x v="394"/>
    <m/>
    <x v="2"/>
    <x v="0"/>
    <x v="264"/>
    <d v="2012-06-17T00:00:00"/>
    <x v="7"/>
    <x v="1"/>
    <s v="Longs-métrages en Compétition"/>
    <m/>
    <x v="0"/>
    <x v="0"/>
    <m/>
    <x v="0"/>
    <x v="5"/>
    <x v="1543"/>
    <x v="2"/>
    <x v="0"/>
    <x v="0"/>
    <x v="264"/>
    <x v="4146"/>
  </r>
  <r>
    <x v="1"/>
    <n v="1133"/>
    <x v="1533"/>
    <x v="0"/>
    <s v="LM"/>
    <s v="S"/>
    <x v="0"/>
    <x v="3"/>
    <x v="648"/>
    <m/>
    <x v="342"/>
    <m/>
    <x v="65"/>
    <x v="0"/>
    <x v="264"/>
    <d v="2012-06-17T00:00:00"/>
    <x v="7"/>
    <x v="0"/>
    <m/>
    <m/>
    <x v="0"/>
    <x v="0"/>
    <m/>
    <x v="0"/>
    <x v="5"/>
    <x v="1543"/>
    <x v="65"/>
    <x v="0"/>
    <x v="0"/>
    <x v="264"/>
    <x v="4147"/>
  </r>
  <r>
    <x v="1"/>
    <n v="1133"/>
    <x v="1533"/>
    <x v="0"/>
    <s v="LM"/>
    <s v="S"/>
    <x v="0"/>
    <x v="3"/>
    <x v="595"/>
    <m/>
    <x v="206"/>
    <m/>
    <x v="3"/>
    <x v="0"/>
    <x v="255"/>
    <m/>
    <x v="7"/>
    <x v="0"/>
    <m/>
    <m/>
    <x v="0"/>
    <x v="1"/>
    <m/>
    <x v="0"/>
    <x v="5"/>
    <x v="1543"/>
    <x v="3"/>
    <x v="0"/>
    <x v="1"/>
    <x v="255"/>
    <x v="4148"/>
  </r>
  <r>
    <x v="1"/>
    <n v="1133"/>
    <x v="1533"/>
    <x v="0"/>
    <s v="LM"/>
    <s v="S"/>
    <x v="0"/>
    <x v="3"/>
    <x v="337"/>
    <m/>
    <x v="37"/>
    <m/>
    <x v="3"/>
    <x v="0"/>
    <x v="458"/>
    <m/>
    <x v="7"/>
    <x v="0"/>
    <m/>
    <m/>
    <x v="0"/>
    <x v="1"/>
    <m/>
    <x v="0"/>
    <x v="5"/>
    <x v="1543"/>
    <x v="3"/>
    <x v="0"/>
    <x v="1"/>
    <x v="458"/>
    <x v="4149"/>
  </r>
  <r>
    <x v="1"/>
    <n v="1133"/>
    <x v="1533"/>
    <x v="0"/>
    <s v="LM"/>
    <s v="S"/>
    <x v="0"/>
    <x v="3"/>
    <x v="498"/>
    <m/>
    <x v="303"/>
    <m/>
    <x v="17"/>
    <x v="0"/>
    <x v="306"/>
    <d v="2012-07-01T00:00:00"/>
    <x v="17"/>
    <x v="1"/>
    <s v="International Competition"/>
    <m/>
    <x v="0"/>
    <x v="0"/>
    <m/>
    <x v="0"/>
    <x v="5"/>
    <x v="1543"/>
    <x v="17"/>
    <x v="0"/>
    <x v="0"/>
    <x v="306"/>
    <x v="4150"/>
  </r>
  <r>
    <x v="1"/>
    <n v="1133"/>
    <x v="1533"/>
    <x v="0"/>
    <s v="LM"/>
    <s v="S"/>
    <x v="0"/>
    <x v="3"/>
    <x v="441"/>
    <m/>
    <x v="282"/>
    <m/>
    <x v="2"/>
    <x v="0"/>
    <x v="280"/>
    <d v="2012-07-08T00:00:00"/>
    <x v="17"/>
    <x v="0"/>
    <m/>
    <s v="Hommages: Miguel Gomes"/>
    <x v="0"/>
    <x v="0"/>
    <m/>
    <x v="0"/>
    <x v="5"/>
    <x v="1543"/>
    <x v="2"/>
    <x v="0"/>
    <x v="0"/>
    <x v="280"/>
    <x v="4151"/>
  </r>
  <r>
    <x v="1"/>
    <n v="1133"/>
    <x v="1533"/>
    <x v="0"/>
    <s v="LM"/>
    <s v="S"/>
    <x v="0"/>
    <x v="3"/>
    <x v="606"/>
    <m/>
    <x v="333"/>
    <m/>
    <x v="11"/>
    <x v="0"/>
    <x v="280"/>
    <d v="2012-07-07T00:00:00"/>
    <x v="17"/>
    <x v="0"/>
    <m/>
    <s v="Horizons"/>
    <x v="0"/>
    <x v="0"/>
    <m/>
    <x v="0"/>
    <x v="5"/>
    <x v="1543"/>
    <x v="11"/>
    <x v="0"/>
    <x v="0"/>
    <x v="280"/>
    <x v="4152"/>
  </r>
  <r>
    <x v="1"/>
    <n v="1133"/>
    <x v="1533"/>
    <x v="0"/>
    <s v="LM"/>
    <s v="S"/>
    <x v="0"/>
    <x v="3"/>
    <x v="782"/>
    <m/>
    <x v="17"/>
    <m/>
    <x v="2"/>
    <x v="0"/>
    <x v="280"/>
    <d v="2012-07-10T00:00:00"/>
    <x v="17"/>
    <x v="1"/>
    <s v="Compétition Internationale"/>
    <m/>
    <x v="410"/>
    <x v="0"/>
    <m/>
    <x v="1"/>
    <x v="5"/>
    <x v="1543"/>
    <x v="2"/>
    <x v="500"/>
    <x v="0"/>
    <x v="280"/>
    <x v="4153"/>
  </r>
  <r>
    <x v="1"/>
    <n v="1133"/>
    <x v="1533"/>
    <x v="0"/>
    <s v="LM"/>
    <s v="S"/>
    <x v="0"/>
    <x v="3"/>
    <x v="797"/>
    <m/>
    <x v="395"/>
    <m/>
    <x v="40"/>
    <x v="0"/>
    <x v="419"/>
    <d v="2012-07-14T00:00:00"/>
    <x v="8"/>
    <x v="0"/>
    <m/>
    <s v="Panorama"/>
    <x v="0"/>
    <x v="0"/>
    <m/>
    <x v="0"/>
    <x v="5"/>
    <x v="1543"/>
    <x v="40"/>
    <x v="0"/>
    <x v="0"/>
    <x v="419"/>
    <x v="4154"/>
  </r>
  <r>
    <x v="1"/>
    <n v="1133"/>
    <x v="1533"/>
    <x v="0"/>
    <s v="LM"/>
    <s v="S"/>
    <x v="0"/>
    <x v="3"/>
    <x v="783"/>
    <m/>
    <x v="246"/>
    <m/>
    <x v="24"/>
    <x v="0"/>
    <x v="482"/>
    <d v="2012-07-14T00:00:00"/>
    <x v="8"/>
    <x v="0"/>
    <m/>
    <s v="Kinoscope"/>
    <x v="0"/>
    <x v="0"/>
    <m/>
    <x v="0"/>
    <x v="5"/>
    <x v="1543"/>
    <x v="24"/>
    <x v="0"/>
    <x v="0"/>
    <x v="482"/>
    <x v="4155"/>
  </r>
  <r>
    <x v="1"/>
    <n v="1133"/>
    <x v="1533"/>
    <x v="0"/>
    <s v="LM"/>
    <s v="S"/>
    <x v="0"/>
    <x v="3"/>
    <x v="798"/>
    <m/>
    <x v="396"/>
    <m/>
    <x v="27"/>
    <x v="0"/>
    <x v="484"/>
    <d v="2012-07-29T00:00:00"/>
    <x v="8"/>
    <x v="1"/>
    <s v="Competition Features"/>
    <m/>
    <x v="0"/>
    <x v="0"/>
    <m/>
    <x v="0"/>
    <x v="5"/>
    <x v="1543"/>
    <x v="27"/>
    <x v="0"/>
    <x v="0"/>
    <x v="484"/>
    <x v="4156"/>
  </r>
  <r>
    <x v="1"/>
    <n v="1133"/>
    <x v="1533"/>
    <x v="0"/>
    <s v="LM"/>
    <s v="S"/>
    <x v="0"/>
    <x v="3"/>
    <x v="770"/>
    <m/>
    <x v="94"/>
    <m/>
    <x v="6"/>
    <x v="0"/>
    <x v="477"/>
    <d v="2012-08-19T00:00:00"/>
    <x v="16"/>
    <x v="0"/>
    <m/>
    <s v="International Panorama"/>
    <x v="0"/>
    <x v="0"/>
    <m/>
    <x v="0"/>
    <x v="5"/>
    <x v="1543"/>
    <x v="6"/>
    <x v="0"/>
    <x v="0"/>
    <x v="477"/>
    <x v="4157"/>
  </r>
  <r>
    <x v="1"/>
    <n v="1133"/>
    <x v="1533"/>
    <x v="0"/>
    <s v="LM"/>
    <s v="S"/>
    <x v="0"/>
    <x v="3"/>
    <x v="538"/>
    <m/>
    <x v="315"/>
    <m/>
    <x v="3"/>
    <x v="0"/>
    <x v="486"/>
    <m/>
    <x v="16"/>
    <x v="0"/>
    <m/>
    <m/>
    <x v="0"/>
    <x v="1"/>
    <m/>
    <x v="0"/>
    <x v="5"/>
    <x v="1543"/>
    <x v="3"/>
    <x v="0"/>
    <x v="1"/>
    <x v="486"/>
    <x v="4158"/>
  </r>
  <r>
    <x v="1"/>
    <n v="1133"/>
    <x v="1533"/>
    <x v="0"/>
    <s v="LM"/>
    <s v="S"/>
    <x v="0"/>
    <x v="3"/>
    <x v="799"/>
    <m/>
    <x v="155"/>
    <m/>
    <x v="16"/>
    <x v="0"/>
    <x v="486"/>
    <d v="2012-08-22T00:00:00"/>
    <x v="16"/>
    <x v="0"/>
    <m/>
    <s v="Transatlantyk Panorama"/>
    <x v="0"/>
    <x v="0"/>
    <m/>
    <x v="0"/>
    <x v="5"/>
    <x v="1543"/>
    <x v="16"/>
    <x v="0"/>
    <x v="0"/>
    <x v="486"/>
    <x v="4159"/>
  </r>
  <r>
    <x v="1"/>
    <n v="1133"/>
    <x v="1533"/>
    <x v="0"/>
    <s v="LM"/>
    <s v="S"/>
    <x v="0"/>
    <x v="3"/>
    <x v="718"/>
    <m/>
    <x v="311"/>
    <m/>
    <x v="61"/>
    <x v="0"/>
    <x v="455"/>
    <d v="2012-08-25T00:00:00"/>
    <x v="16"/>
    <x v="0"/>
    <m/>
    <s v="Experiencias"/>
    <x v="0"/>
    <x v="0"/>
    <m/>
    <x v="0"/>
    <x v="5"/>
    <x v="1543"/>
    <x v="61"/>
    <x v="0"/>
    <x v="0"/>
    <x v="455"/>
    <x v="4160"/>
  </r>
  <r>
    <x v="1"/>
    <n v="1133"/>
    <x v="1533"/>
    <x v="0"/>
    <s v="LM"/>
    <s v="S"/>
    <x v="0"/>
    <x v="3"/>
    <x v="800"/>
    <m/>
    <x v="397"/>
    <m/>
    <x v="2"/>
    <x v="0"/>
    <x v="487"/>
    <d v="2012-08-25T00:00:00"/>
    <x v="16"/>
    <x v="0"/>
    <m/>
    <s v="Vagabondages cinématographiques - Longs Métrages"/>
    <x v="0"/>
    <x v="1"/>
    <m/>
    <x v="0"/>
    <x v="5"/>
    <x v="1543"/>
    <x v="2"/>
    <x v="0"/>
    <x v="0"/>
    <x v="487"/>
    <x v="4161"/>
  </r>
  <r>
    <x v="1"/>
    <n v="1133"/>
    <x v="1533"/>
    <x v="0"/>
    <s v="LM"/>
    <s v="S"/>
    <x v="0"/>
    <x v="3"/>
    <x v="801"/>
    <m/>
    <x v="398"/>
    <m/>
    <x v="50"/>
    <x v="0"/>
    <x v="428"/>
    <d v="2012-08-31T00:00:00"/>
    <x v="16"/>
    <x v="1"/>
    <s v="Feature Films"/>
    <m/>
    <x v="411"/>
    <x v="0"/>
    <m/>
    <x v="1"/>
    <x v="5"/>
    <x v="1543"/>
    <x v="50"/>
    <x v="501"/>
    <x v="0"/>
    <x v="428"/>
    <x v="4162"/>
  </r>
  <r>
    <x v="1"/>
    <n v="1133"/>
    <x v="1533"/>
    <x v="0"/>
    <s v="LM"/>
    <s v="S"/>
    <x v="0"/>
    <x v="3"/>
    <x v="802"/>
    <m/>
    <x v="399"/>
    <m/>
    <x v="2"/>
    <x v="0"/>
    <x v="488"/>
    <d v="2012-09-09T00:00:00"/>
    <x v="9"/>
    <x v="0"/>
    <m/>
    <m/>
    <x v="0"/>
    <x v="0"/>
    <m/>
    <x v="0"/>
    <x v="5"/>
    <x v="1543"/>
    <x v="2"/>
    <x v="0"/>
    <x v="0"/>
    <x v="488"/>
    <x v="4163"/>
  </r>
  <r>
    <x v="1"/>
    <n v="1133"/>
    <x v="1533"/>
    <x v="0"/>
    <s v="LM"/>
    <s v="S"/>
    <x v="0"/>
    <x v="3"/>
    <x v="185"/>
    <m/>
    <x v="136"/>
    <m/>
    <x v="7"/>
    <x v="0"/>
    <x v="286"/>
    <d v="2012-09-16T00:00:00"/>
    <x v="9"/>
    <x v="0"/>
    <m/>
    <s v="Wavelenghts"/>
    <x v="0"/>
    <x v="0"/>
    <m/>
    <x v="0"/>
    <x v="5"/>
    <x v="1543"/>
    <x v="7"/>
    <x v="0"/>
    <x v="0"/>
    <x v="286"/>
    <x v="4164"/>
  </r>
  <r>
    <x v="1"/>
    <n v="1133"/>
    <x v="1533"/>
    <x v="0"/>
    <s v="LM"/>
    <s v="S"/>
    <x v="0"/>
    <x v="3"/>
    <x v="803"/>
    <m/>
    <x v="400"/>
    <m/>
    <x v="65"/>
    <x v="0"/>
    <x v="489"/>
    <d v="2012-09-30T00:00:00"/>
    <x v="9"/>
    <x v="0"/>
    <m/>
    <s v="Spotlight Selection"/>
    <x v="0"/>
    <x v="0"/>
    <m/>
    <x v="0"/>
    <x v="5"/>
    <x v="1543"/>
    <x v="65"/>
    <x v="0"/>
    <x v="0"/>
    <x v="489"/>
    <x v="4165"/>
  </r>
  <r>
    <x v="1"/>
    <n v="1133"/>
    <x v="1533"/>
    <x v="0"/>
    <s v="LM"/>
    <s v="S"/>
    <x v="0"/>
    <x v="3"/>
    <x v="148"/>
    <m/>
    <x v="113"/>
    <m/>
    <x v="7"/>
    <x v="0"/>
    <x v="257"/>
    <d v="2012-10-12T00:00:00"/>
    <x v="10"/>
    <x v="0"/>
    <m/>
    <s v="Cinema of Our Time"/>
    <x v="0"/>
    <x v="0"/>
    <m/>
    <x v="0"/>
    <x v="5"/>
    <x v="1543"/>
    <x v="7"/>
    <x v="0"/>
    <x v="0"/>
    <x v="257"/>
    <x v="4166"/>
  </r>
  <r>
    <x v="1"/>
    <n v="1133"/>
    <x v="1533"/>
    <x v="0"/>
    <s v="LM"/>
    <s v="S"/>
    <x v="0"/>
    <x v="3"/>
    <x v="709"/>
    <m/>
    <x v="65"/>
    <m/>
    <x v="9"/>
    <x v="0"/>
    <x v="303"/>
    <d v="2012-10-14T00:00:00"/>
    <x v="10"/>
    <x v="0"/>
    <m/>
    <s v="Main Slate"/>
    <x v="0"/>
    <x v="0"/>
    <m/>
    <x v="0"/>
    <x v="5"/>
    <x v="1543"/>
    <x v="9"/>
    <x v="0"/>
    <x v="0"/>
    <x v="303"/>
    <x v="4167"/>
  </r>
  <r>
    <x v="1"/>
    <n v="1133"/>
    <x v="1533"/>
    <x v="0"/>
    <s v="LM"/>
    <s v="S"/>
    <x v="0"/>
    <x v="3"/>
    <x v="702"/>
    <m/>
    <x v="216"/>
    <m/>
    <x v="3"/>
    <x v="0"/>
    <x v="303"/>
    <m/>
    <x v="9"/>
    <x v="0"/>
    <m/>
    <m/>
    <x v="0"/>
    <x v="1"/>
    <m/>
    <x v="0"/>
    <x v="5"/>
    <x v="1543"/>
    <x v="3"/>
    <x v="0"/>
    <x v="1"/>
    <x v="303"/>
    <x v="4168"/>
  </r>
  <r>
    <x v="1"/>
    <n v="1133"/>
    <x v="1533"/>
    <x v="0"/>
    <s v="LM"/>
    <s v="S"/>
    <x v="0"/>
    <x v="3"/>
    <x v="341"/>
    <m/>
    <x v="231"/>
    <m/>
    <x v="58"/>
    <x v="0"/>
    <x v="378"/>
    <d v="2012-10-20T00:00:00"/>
    <x v="14"/>
    <x v="1"/>
    <s v="Official Selection - In Competition"/>
    <m/>
    <x v="412"/>
    <x v="0"/>
    <m/>
    <x v="1"/>
    <x v="5"/>
    <x v="1543"/>
    <x v="58"/>
    <x v="502"/>
    <x v="0"/>
    <x v="378"/>
    <x v="4169"/>
  </r>
  <r>
    <x v="1"/>
    <n v="1133"/>
    <x v="1533"/>
    <x v="0"/>
    <s v="LM"/>
    <s v="S"/>
    <x v="0"/>
    <x v="3"/>
    <x v="162"/>
    <m/>
    <x v="124"/>
    <m/>
    <x v="3"/>
    <x v="0"/>
    <x v="338"/>
    <m/>
    <x v="14"/>
    <x v="0"/>
    <m/>
    <m/>
    <x v="0"/>
    <x v="1"/>
    <m/>
    <x v="0"/>
    <x v="5"/>
    <x v="1543"/>
    <x v="3"/>
    <x v="0"/>
    <x v="1"/>
    <x v="338"/>
    <x v="4170"/>
  </r>
  <r>
    <x v="1"/>
    <n v="1133"/>
    <x v="1533"/>
    <x v="0"/>
    <s v="LM"/>
    <s v="S"/>
    <x v="0"/>
    <x v="3"/>
    <x v="389"/>
    <m/>
    <x v="173"/>
    <m/>
    <x v="7"/>
    <x v="0"/>
    <x v="338"/>
    <d v="2012-10-21T00:00:00"/>
    <x v="14"/>
    <x v="0"/>
    <m/>
    <s v="Présentation Spéciale - Longs métrages"/>
    <x v="0"/>
    <x v="0"/>
    <m/>
    <x v="0"/>
    <x v="5"/>
    <x v="1543"/>
    <x v="7"/>
    <x v="0"/>
    <x v="0"/>
    <x v="338"/>
    <x v="4171"/>
  </r>
  <r>
    <x v="1"/>
    <n v="1133"/>
    <x v="1533"/>
    <x v="0"/>
    <s v="LM"/>
    <s v="S"/>
    <x v="0"/>
    <x v="3"/>
    <x v="179"/>
    <m/>
    <x v="133"/>
    <m/>
    <x v="0"/>
    <x v="0"/>
    <x v="233"/>
    <d v="2012-11-01T00:00:00"/>
    <x v="0"/>
    <x v="0"/>
    <m/>
    <s v="Homenagem a Miguel Gomes"/>
    <x v="0"/>
    <x v="0"/>
    <m/>
    <x v="0"/>
    <x v="5"/>
    <x v="1543"/>
    <x v="0"/>
    <x v="0"/>
    <x v="0"/>
    <x v="233"/>
    <x v="4172"/>
  </r>
  <r>
    <x v="1"/>
    <n v="1133"/>
    <x v="1533"/>
    <x v="0"/>
    <s v="LM"/>
    <s v="S"/>
    <x v="0"/>
    <x v="3"/>
    <x v="149"/>
    <m/>
    <x v="114"/>
    <m/>
    <x v="35"/>
    <x v="0"/>
    <x v="339"/>
    <d v="2012-11-07T00:00:00"/>
    <x v="0"/>
    <x v="0"/>
    <m/>
    <s v="Spielfilme"/>
    <x v="0"/>
    <x v="0"/>
    <m/>
    <x v="0"/>
    <x v="5"/>
    <x v="1543"/>
    <x v="35"/>
    <x v="0"/>
    <x v="0"/>
    <x v="339"/>
    <x v="4173"/>
  </r>
  <r>
    <x v="1"/>
    <n v="1133"/>
    <x v="1533"/>
    <x v="0"/>
    <s v="LM"/>
    <s v="S"/>
    <x v="0"/>
    <x v="3"/>
    <x v="492"/>
    <m/>
    <x v="128"/>
    <m/>
    <x v="1"/>
    <x v="0"/>
    <x v="341"/>
    <d v="2012-11-10T00:00:00"/>
    <x v="13"/>
    <x v="1"/>
    <s v="Selección EFA"/>
    <m/>
    <x v="0"/>
    <x v="0"/>
    <m/>
    <x v="0"/>
    <x v="5"/>
    <x v="1543"/>
    <x v="1"/>
    <x v="0"/>
    <x v="0"/>
    <x v="341"/>
    <x v="4174"/>
  </r>
  <r>
    <x v="1"/>
    <n v="1133"/>
    <x v="1533"/>
    <x v="0"/>
    <s v="LM"/>
    <s v="S"/>
    <x v="0"/>
    <x v="3"/>
    <x v="666"/>
    <m/>
    <x v="235"/>
    <m/>
    <x v="1"/>
    <x v="0"/>
    <x v="254"/>
    <d v="2012-11-30T00:00:00"/>
    <x v="13"/>
    <x v="1"/>
    <s v="Selección Oficial"/>
    <m/>
    <x v="0"/>
    <x v="0"/>
    <m/>
    <x v="0"/>
    <x v="5"/>
    <x v="1543"/>
    <x v="1"/>
    <x v="0"/>
    <x v="0"/>
    <x v="254"/>
    <x v="4175"/>
  </r>
  <r>
    <x v="1"/>
    <n v="1133"/>
    <x v="1533"/>
    <x v="0"/>
    <s v="LM"/>
    <s v="S"/>
    <x v="0"/>
    <x v="3"/>
    <x v="99"/>
    <m/>
    <x v="78"/>
    <m/>
    <x v="20"/>
    <x v="0"/>
    <x v="342"/>
    <d v="2012-11-18T00:00:00"/>
    <x v="13"/>
    <x v="0"/>
    <m/>
    <s v="Features 2012"/>
    <x v="0"/>
    <x v="0"/>
    <m/>
    <x v="0"/>
    <x v="5"/>
    <x v="1543"/>
    <x v="20"/>
    <x v="0"/>
    <x v="0"/>
    <x v="342"/>
    <x v="4176"/>
  </r>
  <r>
    <x v="1"/>
    <n v="1133"/>
    <x v="1533"/>
    <x v="0"/>
    <s v="LM"/>
    <s v="S"/>
    <x v="0"/>
    <x v="3"/>
    <x v="543"/>
    <m/>
    <x v="15"/>
    <m/>
    <x v="3"/>
    <x v="0"/>
    <x v="369"/>
    <d v="2012-12-18T00:00:00"/>
    <x v="11"/>
    <x v="0"/>
    <m/>
    <m/>
    <x v="0"/>
    <x v="1"/>
    <m/>
    <x v="0"/>
    <x v="5"/>
    <x v="1543"/>
    <x v="3"/>
    <x v="0"/>
    <x v="1"/>
    <x v="369"/>
    <x v="4177"/>
  </r>
  <r>
    <x v="1"/>
    <n v="1133"/>
    <x v="1533"/>
    <x v="0"/>
    <s v="LM"/>
    <s v="S"/>
    <x v="0"/>
    <x v="3"/>
    <x v="791"/>
    <m/>
    <x v="391"/>
    <m/>
    <x v="1"/>
    <x v="0"/>
    <x v="379"/>
    <d v="2012-11-20T00:00:00"/>
    <x v="13"/>
    <x v="0"/>
    <m/>
    <s v="Selección Oficial - Premios LUX"/>
    <x v="0"/>
    <x v="1"/>
    <m/>
    <x v="0"/>
    <x v="5"/>
    <x v="1543"/>
    <x v="1"/>
    <x v="0"/>
    <x v="0"/>
    <x v="379"/>
    <x v="4178"/>
  </r>
  <r>
    <x v="1"/>
    <n v="1133"/>
    <x v="1533"/>
    <x v="0"/>
    <s v="LM"/>
    <s v="S"/>
    <x v="0"/>
    <x v="3"/>
    <x v="404"/>
    <m/>
    <x v="264"/>
    <m/>
    <x v="15"/>
    <x v="0"/>
    <x v="234"/>
    <d v="2012-12-01T00:00:00"/>
    <x v="11"/>
    <x v="0"/>
    <m/>
    <s v="Onde: Omaggio a Miguel Gomes"/>
    <x v="0"/>
    <x v="0"/>
    <m/>
    <x v="0"/>
    <x v="5"/>
    <x v="1543"/>
    <x v="15"/>
    <x v="0"/>
    <x v="0"/>
    <x v="234"/>
    <x v="4179"/>
  </r>
  <r>
    <x v="1"/>
    <n v="1133"/>
    <x v="1533"/>
    <x v="0"/>
    <s v="LM"/>
    <s v="S"/>
    <x v="0"/>
    <x v="3"/>
    <x v="804"/>
    <m/>
    <x v="199"/>
    <m/>
    <x v="33"/>
    <x v="0"/>
    <x v="289"/>
    <d v="2012-12-05T00:00:00"/>
    <x v="11"/>
    <x v="1"/>
    <m/>
    <m/>
    <x v="413"/>
    <x v="0"/>
    <m/>
    <x v="1"/>
    <x v="5"/>
    <x v="1543"/>
    <x v="33"/>
    <x v="503"/>
    <x v="0"/>
    <x v="289"/>
    <x v="4180"/>
  </r>
  <r>
    <x v="1"/>
    <n v="1133"/>
    <x v="1533"/>
    <x v="0"/>
    <s v="LM"/>
    <s v="S"/>
    <x v="0"/>
    <x v="3"/>
    <x v="450"/>
    <m/>
    <x v="24"/>
    <m/>
    <x v="3"/>
    <x v="0"/>
    <x v="304"/>
    <m/>
    <x v="13"/>
    <x v="0"/>
    <m/>
    <m/>
    <x v="0"/>
    <x v="1"/>
    <m/>
    <x v="0"/>
    <x v="5"/>
    <x v="1543"/>
    <x v="3"/>
    <x v="0"/>
    <x v="1"/>
    <x v="304"/>
    <x v="4181"/>
  </r>
  <r>
    <x v="1"/>
    <n v="1133"/>
    <x v="1533"/>
    <x v="0"/>
    <s v="LM"/>
    <s v="S"/>
    <x v="0"/>
    <x v="3"/>
    <x v="583"/>
    <m/>
    <x v="49"/>
    <m/>
    <x v="3"/>
    <x v="0"/>
    <x v="351"/>
    <m/>
    <x v="12"/>
    <x v="0"/>
    <m/>
    <m/>
    <x v="0"/>
    <x v="1"/>
    <m/>
    <x v="0"/>
    <x v="5"/>
    <x v="1543"/>
    <x v="3"/>
    <x v="0"/>
    <x v="1"/>
    <x v="351"/>
    <x v="4182"/>
  </r>
  <r>
    <x v="1"/>
    <n v="1133"/>
    <x v="1533"/>
    <x v="0"/>
    <s v="LM"/>
    <s v="S"/>
    <x v="0"/>
    <x v="3"/>
    <x v="805"/>
    <m/>
    <x v="401"/>
    <m/>
    <x v="1"/>
    <x v="0"/>
    <x v="246"/>
    <d v="2012-12-16T00:00:00"/>
    <x v="12"/>
    <x v="1"/>
    <m/>
    <m/>
    <x v="414"/>
    <x v="1"/>
    <m/>
    <x v="1"/>
    <x v="5"/>
    <x v="1543"/>
    <x v="1"/>
    <x v="504"/>
    <x v="0"/>
    <x v="246"/>
    <x v="4183"/>
  </r>
  <r>
    <x v="1"/>
    <n v="1133"/>
    <x v="1533"/>
    <x v="0"/>
    <s v="LM"/>
    <s v="S"/>
    <x v="0"/>
    <x v="3"/>
    <x v="806"/>
    <m/>
    <x v="24"/>
    <m/>
    <x v="3"/>
    <x v="0"/>
    <x v="490"/>
    <m/>
    <x v="12"/>
    <x v="1"/>
    <m/>
    <m/>
    <x v="415"/>
    <x v="2"/>
    <m/>
    <x v="1"/>
    <x v="5"/>
    <x v="1543"/>
    <x v="3"/>
    <x v="505"/>
    <x v="1"/>
    <x v="490"/>
    <x v="4184"/>
  </r>
  <r>
    <x v="1"/>
    <n v="1134"/>
    <x v="1534"/>
    <x v="4"/>
    <s v="CM"/>
    <s v="N"/>
    <x v="1004"/>
    <x v="2"/>
    <x v="412"/>
    <m/>
    <x v="269"/>
    <m/>
    <x v="3"/>
    <x v="0"/>
    <x v="242"/>
    <m/>
    <x v="7"/>
    <x v="1"/>
    <m/>
    <m/>
    <x v="0"/>
    <x v="0"/>
    <m/>
    <x v="0"/>
    <x v="8"/>
    <x v="1544"/>
    <x v="3"/>
    <x v="0"/>
    <x v="1"/>
    <x v="242"/>
    <x v="4185"/>
  </r>
  <r>
    <x v="1"/>
    <n v="1136"/>
    <x v="1535"/>
    <x v="1"/>
    <s v="CM"/>
    <s v="N"/>
    <x v="251"/>
    <x v="2"/>
    <x v="680"/>
    <m/>
    <x v="24"/>
    <m/>
    <x v="3"/>
    <x v="0"/>
    <x v="431"/>
    <m/>
    <x v="15"/>
    <x v="0"/>
    <m/>
    <m/>
    <x v="0"/>
    <x v="1"/>
    <m/>
    <x v="0"/>
    <x v="2"/>
    <x v="1545"/>
    <x v="3"/>
    <x v="0"/>
    <x v="1"/>
    <x v="431"/>
    <x v="4186"/>
  </r>
  <r>
    <x v="1"/>
    <n v="1572"/>
    <x v="1536"/>
    <x v="3"/>
    <s v="CM"/>
    <s v="N"/>
    <x v="1005"/>
    <x v="41"/>
    <x v="691"/>
    <m/>
    <x v="292"/>
    <m/>
    <x v="22"/>
    <x v="0"/>
    <x v="438"/>
    <d v="2012-12-09T00:00:00"/>
    <x v="12"/>
    <x v="1"/>
    <s v="AnimaWeb"/>
    <m/>
    <x v="416"/>
    <x v="0"/>
    <m/>
    <x v="1"/>
    <x v="6"/>
    <x v="1546"/>
    <x v="22"/>
    <x v="506"/>
    <x v="0"/>
    <x v="438"/>
    <x v="4187"/>
  </r>
  <r>
    <x v="1"/>
    <n v="1139"/>
    <x v="780"/>
    <x v="1"/>
    <s v="LM"/>
    <s v=""/>
    <x v="257"/>
    <x v="2"/>
    <x v="807"/>
    <m/>
    <x v="124"/>
    <m/>
    <x v="3"/>
    <x v="0"/>
    <x v="442"/>
    <m/>
    <x v="5"/>
    <x v="0"/>
    <m/>
    <m/>
    <x v="0"/>
    <x v="1"/>
    <m/>
    <x v="0"/>
    <x v="1"/>
    <x v="783"/>
    <x v="3"/>
    <x v="0"/>
    <x v="1"/>
    <x v="442"/>
    <x v="4188"/>
  </r>
  <r>
    <x v="1"/>
    <n v="1142"/>
    <x v="783"/>
    <x v="0"/>
    <s v="CM"/>
    <s v="N"/>
    <x v="541"/>
    <x v="2"/>
    <x v="774"/>
    <m/>
    <x v="24"/>
    <m/>
    <x v="3"/>
    <x v="0"/>
    <x v="360"/>
    <m/>
    <x v="6"/>
    <x v="1"/>
    <m/>
    <m/>
    <x v="0"/>
    <x v="1"/>
    <m/>
    <x v="0"/>
    <x v="0"/>
    <x v="786"/>
    <x v="3"/>
    <x v="0"/>
    <x v="1"/>
    <x v="360"/>
    <x v="4189"/>
  </r>
  <r>
    <x v="1"/>
    <n v="1427"/>
    <x v="1537"/>
    <x v="1"/>
    <s v="CM"/>
    <s v="N"/>
    <x v="1006"/>
    <x v="41"/>
    <x v="25"/>
    <m/>
    <x v="24"/>
    <m/>
    <x v="3"/>
    <x v="0"/>
    <x v="294"/>
    <d v="2012-10-28T00:00:00"/>
    <x v="14"/>
    <x v="0"/>
    <m/>
    <s v="Verdes Anos"/>
    <x v="0"/>
    <x v="0"/>
    <m/>
    <x v="0"/>
    <x v="2"/>
    <x v="1547"/>
    <x v="3"/>
    <x v="0"/>
    <x v="1"/>
    <x v="294"/>
    <x v="4190"/>
  </r>
  <r>
    <x v="1"/>
    <n v="1143"/>
    <x v="784"/>
    <x v="0"/>
    <s v="CM"/>
    <s v="N"/>
    <x v="542"/>
    <x v="2"/>
    <x v="549"/>
    <m/>
    <x v="24"/>
    <m/>
    <x v="3"/>
    <x v="0"/>
    <x v="318"/>
    <m/>
    <x v="1"/>
    <x v="0"/>
    <m/>
    <m/>
    <x v="0"/>
    <x v="1"/>
    <m/>
    <x v="0"/>
    <x v="0"/>
    <x v="787"/>
    <x v="3"/>
    <x v="0"/>
    <x v="1"/>
    <x v="318"/>
    <x v="4191"/>
  </r>
  <r>
    <x v="1"/>
    <n v="1143"/>
    <x v="784"/>
    <x v="0"/>
    <s v="CM"/>
    <s v="N"/>
    <x v="542"/>
    <x v="2"/>
    <x v="428"/>
    <m/>
    <x v="24"/>
    <m/>
    <x v="3"/>
    <x v="0"/>
    <x v="260"/>
    <d v="2012-04-19T00:00:00"/>
    <x v="5"/>
    <x v="0"/>
    <m/>
    <m/>
    <x v="0"/>
    <x v="1"/>
    <m/>
    <x v="0"/>
    <x v="0"/>
    <x v="787"/>
    <x v="3"/>
    <x v="0"/>
    <x v="1"/>
    <x v="260"/>
    <x v="4192"/>
  </r>
  <r>
    <x v="1"/>
    <n v="1143"/>
    <x v="784"/>
    <x v="0"/>
    <s v="CM"/>
    <s v="N"/>
    <x v="542"/>
    <x v="2"/>
    <x v="178"/>
    <m/>
    <x v="25"/>
    <m/>
    <x v="3"/>
    <x v="0"/>
    <x v="491"/>
    <m/>
    <x v="8"/>
    <x v="0"/>
    <m/>
    <s v="Panorama Light&amp;Sound - Shortcutz"/>
    <x v="0"/>
    <x v="0"/>
    <m/>
    <x v="0"/>
    <x v="0"/>
    <x v="787"/>
    <x v="3"/>
    <x v="0"/>
    <x v="1"/>
    <x v="491"/>
    <x v="4193"/>
  </r>
  <r>
    <x v="1"/>
    <n v="1143"/>
    <x v="784"/>
    <x v="0"/>
    <s v="CM"/>
    <s v="N"/>
    <x v="542"/>
    <x v="2"/>
    <x v="37"/>
    <m/>
    <x v="35"/>
    <m/>
    <x v="2"/>
    <x v="0"/>
    <x v="304"/>
    <d v="2012-12-02T00:00:00"/>
    <x v="11"/>
    <x v="0"/>
    <m/>
    <s v="Panorama Fenêtre Ouverte"/>
    <x v="0"/>
    <x v="0"/>
    <m/>
    <x v="0"/>
    <x v="0"/>
    <x v="787"/>
    <x v="2"/>
    <x v="0"/>
    <x v="0"/>
    <x v="304"/>
    <x v="4194"/>
  </r>
  <r>
    <x v="1"/>
    <n v="1144"/>
    <x v="1538"/>
    <x v="1"/>
    <s v="CM"/>
    <s v="N"/>
    <x v="251"/>
    <x v="2"/>
    <x v="524"/>
    <m/>
    <x v="23"/>
    <m/>
    <x v="3"/>
    <x v="0"/>
    <x v="274"/>
    <m/>
    <x v="6"/>
    <x v="1"/>
    <m/>
    <m/>
    <x v="0"/>
    <x v="1"/>
    <m/>
    <x v="0"/>
    <x v="2"/>
    <x v="1548"/>
    <x v="3"/>
    <x v="0"/>
    <x v="1"/>
    <x v="274"/>
    <x v="4195"/>
  </r>
  <r>
    <x v="1"/>
    <n v="1404"/>
    <x v="1539"/>
    <x v="1"/>
    <s v="LM"/>
    <s v="N"/>
    <x v="313"/>
    <x v="41"/>
    <x v="25"/>
    <m/>
    <x v="24"/>
    <m/>
    <x v="3"/>
    <x v="0"/>
    <x v="294"/>
    <d v="2012-10-28T00:00:00"/>
    <x v="14"/>
    <x v="1"/>
    <s v="Competição Portuguesa - Longas"/>
    <m/>
    <x v="417"/>
    <x v="0"/>
    <m/>
    <x v="1"/>
    <x v="1"/>
    <x v="1549"/>
    <x v="3"/>
    <x v="507"/>
    <x v="1"/>
    <x v="294"/>
    <x v="4196"/>
  </r>
  <r>
    <x v="1"/>
    <n v="1147"/>
    <x v="1540"/>
    <x v="4"/>
    <s v="CM"/>
    <s v="N"/>
    <x v="610"/>
    <x v="2"/>
    <x v="729"/>
    <m/>
    <x v="23"/>
    <m/>
    <x v="3"/>
    <x v="0"/>
    <x v="292"/>
    <m/>
    <x v="1"/>
    <x v="0"/>
    <m/>
    <s v="Curta Convidada"/>
    <x v="0"/>
    <x v="1"/>
    <m/>
    <x v="0"/>
    <x v="8"/>
    <x v="1550"/>
    <x v="3"/>
    <x v="0"/>
    <x v="1"/>
    <x v="292"/>
    <x v="4197"/>
  </r>
  <r>
    <x v="1"/>
    <n v="1390"/>
    <x v="1541"/>
    <x v="1"/>
    <s v="CM"/>
    <s v="N"/>
    <x v="1007"/>
    <x v="41"/>
    <x v="88"/>
    <m/>
    <x v="67"/>
    <m/>
    <x v="3"/>
    <x v="0"/>
    <x v="262"/>
    <d v="2012-10-13T00:00:00"/>
    <x v="14"/>
    <x v="1"/>
    <s v="Competição Lusófona - Panorama Regional"/>
    <m/>
    <x v="0"/>
    <x v="0"/>
    <m/>
    <x v="0"/>
    <x v="2"/>
    <x v="1551"/>
    <x v="3"/>
    <x v="0"/>
    <x v="1"/>
    <x v="262"/>
    <x v="4198"/>
  </r>
  <r>
    <x v="1"/>
    <n v="1149"/>
    <x v="788"/>
    <x v="1"/>
    <s v="LM"/>
    <s v="S"/>
    <x v="545"/>
    <x v="10"/>
    <x v="677"/>
    <m/>
    <x v="83"/>
    <m/>
    <x v="3"/>
    <x v="0"/>
    <x v="316"/>
    <d v="2012-01-25T00:00:00"/>
    <x v="15"/>
    <x v="0"/>
    <m/>
    <m/>
    <x v="0"/>
    <x v="1"/>
    <m/>
    <x v="0"/>
    <x v="1"/>
    <x v="791"/>
    <x v="3"/>
    <x v="0"/>
    <x v="1"/>
    <x v="316"/>
    <x v="4199"/>
  </r>
  <r>
    <x v="1"/>
    <n v="1150"/>
    <x v="1542"/>
    <x v="1"/>
    <s v="CM"/>
    <s v="N"/>
    <x v="1008"/>
    <x v="2"/>
    <x v="730"/>
    <m/>
    <x v="11"/>
    <m/>
    <x v="3"/>
    <x v="0"/>
    <x v="458"/>
    <m/>
    <x v="7"/>
    <x v="0"/>
    <m/>
    <s v="Curta Convidada"/>
    <x v="0"/>
    <x v="1"/>
    <m/>
    <x v="0"/>
    <x v="2"/>
    <x v="1552"/>
    <x v="3"/>
    <x v="0"/>
    <x v="1"/>
    <x v="458"/>
    <x v="4200"/>
  </r>
  <r>
    <x v="1"/>
    <n v="1279"/>
    <x v="1543"/>
    <x v="3"/>
    <s v="CM"/>
    <s v=""/>
    <x v="1009"/>
    <x v="41"/>
    <x v="192"/>
    <m/>
    <x v="140"/>
    <m/>
    <x v="3"/>
    <x v="0"/>
    <x v="250"/>
    <d v="2012-07-29T00:00:00"/>
    <x v="8"/>
    <x v="1"/>
    <s v="Competição AVANCA"/>
    <m/>
    <x v="0"/>
    <x v="0"/>
    <m/>
    <x v="0"/>
    <x v="6"/>
    <x v="1553"/>
    <x v="3"/>
    <x v="0"/>
    <x v="1"/>
    <x v="250"/>
    <x v="4201"/>
  </r>
  <r>
    <x v="1"/>
    <n v="1158"/>
    <x v="1544"/>
    <x v="0"/>
    <s v="CM"/>
    <s v="N"/>
    <x v="1010"/>
    <x v="2"/>
    <x v="411"/>
    <m/>
    <x v="268"/>
    <m/>
    <x v="0"/>
    <x v="0"/>
    <x v="241"/>
    <d v="2012-05-18T00:00:00"/>
    <x v="6"/>
    <x v="0"/>
    <m/>
    <s v="Mostra dos Festivais - FIKE"/>
    <x v="0"/>
    <x v="0"/>
    <m/>
    <x v="0"/>
    <x v="0"/>
    <x v="1554"/>
    <x v="0"/>
    <x v="0"/>
    <x v="0"/>
    <x v="241"/>
    <x v="4202"/>
  </r>
  <r>
    <x v="1"/>
    <n v="1160"/>
    <x v="1545"/>
    <x v="0"/>
    <s v="CM"/>
    <s v="N"/>
    <x v="1011"/>
    <x v="41"/>
    <x v="776"/>
    <m/>
    <x v="24"/>
    <m/>
    <x v="3"/>
    <x v="0"/>
    <x v="345"/>
    <m/>
    <x v="7"/>
    <x v="1"/>
    <m/>
    <m/>
    <x v="0"/>
    <x v="1"/>
    <m/>
    <x v="0"/>
    <x v="0"/>
    <x v="1555"/>
    <x v="3"/>
    <x v="0"/>
    <x v="1"/>
    <x v="345"/>
    <x v="4203"/>
  </r>
  <r>
    <x v="1"/>
    <n v="1160"/>
    <x v="1545"/>
    <x v="0"/>
    <s v="CM"/>
    <s v="N"/>
    <x v="1011"/>
    <x v="41"/>
    <x v="48"/>
    <m/>
    <x v="24"/>
    <m/>
    <x v="3"/>
    <x v="0"/>
    <x v="276"/>
    <d v="2012-09-16T00:00:00"/>
    <x v="9"/>
    <x v="1"/>
    <s v="Prémio Motelx  - Melhor Curta de Terror Portuguesa"/>
    <m/>
    <x v="0"/>
    <x v="0"/>
    <m/>
    <x v="0"/>
    <x v="0"/>
    <x v="1555"/>
    <x v="3"/>
    <x v="0"/>
    <x v="1"/>
    <x v="276"/>
    <x v="4204"/>
  </r>
  <r>
    <x v="1"/>
    <n v="1161"/>
    <x v="1546"/>
    <x v="0"/>
    <s v="CM"/>
    <s v="N"/>
    <x v="1012"/>
    <x v="2"/>
    <x v="417"/>
    <m/>
    <x v="24"/>
    <m/>
    <x v="3"/>
    <x v="0"/>
    <x v="247"/>
    <m/>
    <x v="1"/>
    <x v="0"/>
    <m/>
    <s v="Extra - CM portuguesas seleccionadas para a 5ª edição dos &quot;Jameson Empire Awards done in 60 seconds&quot;"/>
    <x v="0"/>
    <x v="1"/>
    <m/>
    <x v="0"/>
    <x v="0"/>
    <x v="1556"/>
    <x v="3"/>
    <x v="0"/>
    <x v="1"/>
    <x v="247"/>
    <x v="4205"/>
  </r>
  <r>
    <x v="1"/>
    <n v="1161"/>
    <x v="1546"/>
    <x v="0"/>
    <s v="CM"/>
    <s v="N"/>
    <x v="1012"/>
    <x v="2"/>
    <x v="418"/>
    <m/>
    <x v="23"/>
    <m/>
    <x v="3"/>
    <x v="0"/>
    <x v="248"/>
    <m/>
    <x v="2"/>
    <x v="0"/>
    <m/>
    <s v="Finalistas portugueses &quot;Jameson Empire Awards done in 60 Seconds&quot;"/>
    <x v="0"/>
    <x v="1"/>
    <m/>
    <x v="0"/>
    <x v="0"/>
    <x v="1556"/>
    <x v="3"/>
    <x v="0"/>
    <x v="1"/>
    <x v="248"/>
    <x v="4206"/>
  </r>
  <r>
    <x v="1"/>
    <n v="1161"/>
    <x v="1546"/>
    <x v="0"/>
    <s v="CM"/>
    <s v="N"/>
    <x v="1012"/>
    <x v="2"/>
    <x v="548"/>
    <m/>
    <x v="24"/>
    <m/>
    <x v="3"/>
    <x v="0"/>
    <x v="296"/>
    <m/>
    <x v="12"/>
    <x v="0"/>
    <m/>
    <s v="Curta Convidada"/>
    <x v="0"/>
    <x v="1"/>
    <m/>
    <x v="0"/>
    <x v="0"/>
    <x v="1556"/>
    <x v="3"/>
    <x v="0"/>
    <x v="1"/>
    <x v="296"/>
    <x v="4207"/>
  </r>
  <r>
    <x v="1"/>
    <n v="1163"/>
    <x v="1547"/>
    <x v="2"/>
    <s v="CM"/>
    <s v="N"/>
    <x v="1013"/>
    <x v="2"/>
    <x v="62"/>
    <m/>
    <x v="23"/>
    <m/>
    <x v="3"/>
    <x v="0"/>
    <x v="302"/>
    <d v="2012-03-04T00:00:00"/>
    <x v="19"/>
    <x v="1"/>
    <s v="Prémio de Cinema Português - Escolas de Cinema"/>
    <m/>
    <x v="0"/>
    <x v="0"/>
    <m/>
    <x v="0"/>
    <x v="4"/>
    <x v="1557"/>
    <x v="3"/>
    <x v="0"/>
    <x v="1"/>
    <x v="302"/>
    <x v="4208"/>
  </r>
  <r>
    <x v="1"/>
    <n v="1358"/>
    <x v="1548"/>
    <x v="2"/>
    <s v="CM"/>
    <s v="N"/>
    <x v="1014"/>
    <x v="27"/>
    <x v="439"/>
    <m/>
    <x v="281"/>
    <m/>
    <x v="3"/>
    <x v="0"/>
    <x v="277"/>
    <d v="2012-11-03T00:00:00"/>
    <x v="0"/>
    <x v="0"/>
    <m/>
    <m/>
    <x v="0"/>
    <x v="0"/>
    <m/>
    <x v="0"/>
    <x v="4"/>
    <x v="1558"/>
    <x v="3"/>
    <x v="0"/>
    <x v="1"/>
    <x v="277"/>
    <x v="4209"/>
  </r>
  <r>
    <x v="1"/>
    <n v="1571"/>
    <x v="1549"/>
    <x v="0"/>
    <s v="CM"/>
    <s v="N"/>
    <x v="1015"/>
    <x v="2"/>
    <x v="750"/>
    <m/>
    <x v="24"/>
    <m/>
    <x v="3"/>
    <x v="0"/>
    <x v="469"/>
    <m/>
    <x v="12"/>
    <x v="0"/>
    <m/>
    <s v="Curta Convidada"/>
    <x v="0"/>
    <x v="1"/>
    <m/>
    <x v="0"/>
    <x v="0"/>
    <x v="1559"/>
    <x v="3"/>
    <x v="0"/>
    <x v="1"/>
    <x v="469"/>
    <x v="4210"/>
  </r>
  <r>
    <x v="1"/>
    <n v="1604"/>
    <x v="1550"/>
    <x v="0"/>
    <s v="CM"/>
    <s v="N"/>
    <x v="1016"/>
    <x v="41"/>
    <x v="22"/>
    <m/>
    <x v="22"/>
    <m/>
    <x v="3"/>
    <x v="0"/>
    <x v="251"/>
    <d v="2012-11-18T00:00:00"/>
    <x v="13"/>
    <x v="1"/>
    <s v="Ensaios Visuais"/>
    <m/>
    <x v="0"/>
    <x v="0"/>
    <m/>
    <x v="0"/>
    <x v="0"/>
    <x v="1560"/>
    <x v="3"/>
    <x v="0"/>
    <x v="1"/>
    <x v="251"/>
    <x v="4211"/>
  </r>
  <r>
    <x v="1"/>
    <n v="1554"/>
    <x v="1551"/>
    <x v="1"/>
    <s v="CM"/>
    <s v="N"/>
    <x v="1017"/>
    <x v="5"/>
    <x v="46"/>
    <m/>
    <x v="24"/>
    <m/>
    <x v="3"/>
    <x v="0"/>
    <x v="231"/>
    <d v="2012-12-11T00:00:00"/>
    <x v="12"/>
    <x v="1"/>
    <s v="Prémio de Cinema para Filmes sobre Arte"/>
    <m/>
    <x v="110"/>
    <x v="0"/>
    <m/>
    <x v="1"/>
    <x v="2"/>
    <x v="1561"/>
    <x v="3"/>
    <x v="121"/>
    <x v="1"/>
    <x v="231"/>
    <x v="4212"/>
  </r>
  <r>
    <x v="1"/>
    <n v="1168"/>
    <x v="1552"/>
    <x v="2"/>
    <s v="CM"/>
    <s v="S"/>
    <x v="298"/>
    <x v="2"/>
    <x v="411"/>
    <m/>
    <x v="268"/>
    <m/>
    <x v="0"/>
    <x v="0"/>
    <x v="241"/>
    <d v="2012-05-18T00:00:00"/>
    <x v="6"/>
    <x v="0"/>
    <m/>
    <s v="Mostra dos Festivais - FIKE"/>
    <x v="0"/>
    <x v="0"/>
    <m/>
    <x v="0"/>
    <x v="4"/>
    <x v="1562"/>
    <x v="0"/>
    <x v="0"/>
    <x v="0"/>
    <x v="241"/>
    <x v="4213"/>
  </r>
  <r>
    <x v="1"/>
    <n v="1170"/>
    <x v="803"/>
    <x v="1"/>
    <s v="CM"/>
    <s v="N"/>
    <x v="556"/>
    <x v="2"/>
    <x v="470"/>
    <m/>
    <x v="289"/>
    <m/>
    <x v="3"/>
    <x v="0"/>
    <x v="316"/>
    <d v="2012-01-25T00:00:00"/>
    <x v="15"/>
    <x v="0"/>
    <m/>
    <m/>
    <x v="0"/>
    <x v="3"/>
    <m/>
    <x v="0"/>
    <x v="2"/>
    <x v="806"/>
    <x v="3"/>
    <x v="0"/>
    <x v="1"/>
    <x v="316"/>
    <x v="4214"/>
  </r>
  <r>
    <x v="1"/>
    <n v="1170"/>
    <x v="803"/>
    <x v="1"/>
    <s v="CM"/>
    <s v="N"/>
    <x v="556"/>
    <x v="2"/>
    <x v="408"/>
    <m/>
    <x v="266"/>
    <m/>
    <x v="2"/>
    <x v="0"/>
    <x v="238"/>
    <d v="2012-08-25T00:00:00"/>
    <x v="16"/>
    <x v="0"/>
    <m/>
    <s v="Route du Doc: Portugal"/>
    <x v="0"/>
    <x v="1"/>
    <m/>
    <x v="0"/>
    <x v="2"/>
    <x v="806"/>
    <x v="2"/>
    <x v="0"/>
    <x v="0"/>
    <x v="238"/>
    <x v="4215"/>
  </r>
  <r>
    <x v="1"/>
    <n v="1172"/>
    <x v="805"/>
    <x v="2"/>
    <s v="CM"/>
    <s v="S"/>
    <x v="21"/>
    <x v="2"/>
    <x v="487"/>
    <m/>
    <x v="295"/>
    <m/>
    <x v="10"/>
    <x v="0"/>
    <x v="287"/>
    <d v="2012-04-01T00:00:00"/>
    <x v="3"/>
    <x v="0"/>
    <m/>
    <s v="Portugal: Contemporary Animation Films"/>
    <x v="0"/>
    <x v="0"/>
    <m/>
    <x v="0"/>
    <x v="4"/>
    <x v="808"/>
    <x v="10"/>
    <x v="0"/>
    <x v="0"/>
    <x v="287"/>
    <x v="4216"/>
  </r>
  <r>
    <x v="1"/>
    <n v="1316"/>
    <x v="1553"/>
    <x v="0"/>
    <s v="CM"/>
    <s v="N"/>
    <x v="1018"/>
    <x v="3"/>
    <x v="48"/>
    <m/>
    <x v="24"/>
    <m/>
    <x v="3"/>
    <x v="0"/>
    <x v="276"/>
    <d v="2012-09-16T00:00:00"/>
    <x v="9"/>
    <x v="0"/>
    <m/>
    <m/>
    <x v="0"/>
    <x v="0"/>
    <m/>
    <x v="0"/>
    <x v="0"/>
    <x v="1563"/>
    <x v="3"/>
    <x v="0"/>
    <x v="1"/>
    <x v="276"/>
    <x v="4217"/>
  </r>
  <r>
    <x v="1"/>
    <n v="1316"/>
    <x v="1553"/>
    <x v="0"/>
    <s v="CM"/>
    <s v="N"/>
    <x v="1018"/>
    <x v="3"/>
    <x v="402"/>
    <m/>
    <x v="24"/>
    <m/>
    <x v="3"/>
    <x v="0"/>
    <x v="231"/>
    <d v="2012-12-09T00:00:00"/>
    <x v="12"/>
    <x v="1"/>
    <s v="Categoria Fundação INATEL e Prémio Jovem Realizador"/>
    <m/>
    <x v="0"/>
    <x v="1"/>
    <m/>
    <x v="0"/>
    <x v="0"/>
    <x v="1563"/>
    <x v="3"/>
    <x v="0"/>
    <x v="1"/>
    <x v="231"/>
    <x v="4218"/>
  </r>
  <r>
    <x v="1"/>
    <n v="1174"/>
    <x v="807"/>
    <x v="1"/>
    <s v="LM"/>
    <s v="N"/>
    <x v="559"/>
    <x v="2"/>
    <x v="376"/>
    <m/>
    <x v="247"/>
    <m/>
    <x v="34"/>
    <x v="0"/>
    <x v="355"/>
    <d v="2012-04-27T00:00:00"/>
    <x v="5"/>
    <x v="0"/>
    <m/>
    <s v="Port Franc"/>
    <x v="0"/>
    <x v="0"/>
    <m/>
    <x v="0"/>
    <x v="1"/>
    <x v="810"/>
    <x v="34"/>
    <x v="0"/>
    <x v="0"/>
    <x v="355"/>
    <x v="4219"/>
  </r>
  <r>
    <x v="1"/>
    <n v="1175"/>
    <x v="1554"/>
    <x v="2"/>
    <s v="CM"/>
    <s v=""/>
    <x v="1019"/>
    <x v="2"/>
    <x v="26"/>
    <m/>
    <x v="24"/>
    <m/>
    <x v="3"/>
    <x v="0"/>
    <x v="268"/>
    <d v="2012-03-25T00:00:00"/>
    <x v="2"/>
    <x v="1"/>
    <s v="Curtíssimas"/>
    <m/>
    <x v="0"/>
    <x v="0"/>
    <m/>
    <x v="0"/>
    <x v="4"/>
    <x v="1564"/>
    <x v="3"/>
    <x v="0"/>
    <x v="1"/>
    <x v="268"/>
    <x v="4220"/>
  </r>
  <r>
    <x v="1"/>
    <n v="1176"/>
    <x v="808"/>
    <x v="1"/>
    <s v="LM"/>
    <s v="N"/>
    <x v="289"/>
    <x v="3"/>
    <x v="522"/>
    <m/>
    <x v="165"/>
    <m/>
    <x v="4"/>
    <x v="0"/>
    <x v="363"/>
    <d v="2012-04-22T00:00:00"/>
    <x v="5"/>
    <x v="0"/>
    <m/>
    <s v="João Canijo"/>
    <x v="0"/>
    <x v="0"/>
    <m/>
    <x v="0"/>
    <x v="1"/>
    <x v="811"/>
    <x v="4"/>
    <x v="0"/>
    <x v="0"/>
    <x v="363"/>
    <x v="4221"/>
  </r>
  <r>
    <x v="1"/>
    <n v="1176"/>
    <x v="808"/>
    <x v="1"/>
    <s v="LM"/>
    <s v="N"/>
    <x v="289"/>
    <x v="3"/>
    <x v="666"/>
    <m/>
    <x v="235"/>
    <m/>
    <x v="1"/>
    <x v="0"/>
    <x v="254"/>
    <d v="2012-11-30T00:00:00"/>
    <x v="13"/>
    <x v="0"/>
    <m/>
    <s v="Retrospectiva: João Canijo"/>
    <x v="0"/>
    <x v="0"/>
    <m/>
    <x v="0"/>
    <x v="1"/>
    <x v="811"/>
    <x v="1"/>
    <x v="0"/>
    <x v="0"/>
    <x v="254"/>
    <x v="4222"/>
  </r>
  <r>
    <x v="1"/>
    <n v="1178"/>
    <x v="810"/>
    <x v="1"/>
    <s v="LM"/>
    <s v="S"/>
    <x v="560"/>
    <x v="5"/>
    <x v="540"/>
    <m/>
    <x v="174"/>
    <m/>
    <x v="1"/>
    <x v="0"/>
    <x v="368"/>
    <d v="2012-06-12T00:00:00"/>
    <x v="7"/>
    <x v="0"/>
    <m/>
    <m/>
    <x v="0"/>
    <x v="1"/>
    <m/>
    <x v="0"/>
    <x v="1"/>
    <x v="813"/>
    <x v="1"/>
    <x v="0"/>
    <x v="0"/>
    <x v="368"/>
    <x v="4223"/>
  </r>
  <r>
    <x v="1"/>
    <n v="1178"/>
    <x v="810"/>
    <x v="1"/>
    <s v="LM"/>
    <s v="S"/>
    <x v="560"/>
    <x v="5"/>
    <x v="564"/>
    <m/>
    <x v="319"/>
    <m/>
    <x v="1"/>
    <x v="0"/>
    <x v="309"/>
    <d v="2012-06-28T00:00:00"/>
    <x v="7"/>
    <x v="0"/>
    <m/>
    <m/>
    <x v="0"/>
    <x v="1"/>
    <m/>
    <x v="0"/>
    <x v="1"/>
    <x v="813"/>
    <x v="1"/>
    <x v="0"/>
    <x v="0"/>
    <x v="309"/>
    <x v="4224"/>
  </r>
  <r>
    <x v="1"/>
    <n v="1178"/>
    <x v="810"/>
    <x v="1"/>
    <s v="LM"/>
    <s v="S"/>
    <x v="560"/>
    <x v="5"/>
    <x v="808"/>
    <m/>
    <x v="283"/>
    <m/>
    <x v="3"/>
    <x v="0"/>
    <x v="492"/>
    <m/>
    <x v="8"/>
    <x v="0"/>
    <m/>
    <m/>
    <x v="0"/>
    <x v="1"/>
    <m/>
    <x v="0"/>
    <x v="1"/>
    <x v="813"/>
    <x v="3"/>
    <x v="0"/>
    <x v="1"/>
    <x v="492"/>
    <x v="4225"/>
  </r>
  <r>
    <x v="1"/>
    <n v="1179"/>
    <x v="1555"/>
    <x v="0"/>
    <s v="LM"/>
    <s v="S"/>
    <x v="29"/>
    <x v="37"/>
    <x v="447"/>
    <m/>
    <x v="185"/>
    <m/>
    <x v="0"/>
    <x v="0"/>
    <x v="288"/>
    <d v="2012-03-15T00:00:00"/>
    <x v="2"/>
    <x v="0"/>
    <m/>
    <s v="Mostra Portugal"/>
    <x v="0"/>
    <x v="0"/>
    <m/>
    <x v="0"/>
    <x v="5"/>
    <x v="1565"/>
    <x v="0"/>
    <x v="0"/>
    <x v="0"/>
    <x v="288"/>
    <x v="4226"/>
  </r>
  <r>
    <x v="1"/>
    <n v="1590"/>
    <x v="1556"/>
    <x v="1"/>
    <s v="CM"/>
    <s v="N"/>
    <x v="1020"/>
    <x v="2"/>
    <x v="653"/>
    <m/>
    <x v="11"/>
    <m/>
    <x v="3"/>
    <x v="0"/>
    <x v="252"/>
    <m/>
    <x v="14"/>
    <x v="1"/>
    <s v="Tema B - Livre"/>
    <m/>
    <x v="5"/>
    <x v="0"/>
    <m/>
    <x v="1"/>
    <x v="2"/>
    <x v="1566"/>
    <x v="3"/>
    <x v="508"/>
    <x v="1"/>
    <x v="252"/>
    <x v="4227"/>
  </r>
  <r>
    <x v="1"/>
    <n v="1180"/>
    <x v="811"/>
    <x v="0"/>
    <s v="LM"/>
    <s v="S"/>
    <x v="40"/>
    <x v="15"/>
    <x v="147"/>
    <m/>
    <x v="112"/>
    <m/>
    <x v="34"/>
    <x v="0"/>
    <x v="335"/>
    <d v="2012-08-11T00:00:00"/>
    <x v="16"/>
    <x v="0"/>
    <m/>
    <s v="Programmi Speciali - Films involving Concorso Cineasti del Presente Jury Members: Ana Moreira"/>
    <x v="0"/>
    <x v="0"/>
    <m/>
    <x v="0"/>
    <x v="5"/>
    <x v="814"/>
    <x v="34"/>
    <x v="0"/>
    <x v="0"/>
    <x v="335"/>
    <x v="4228"/>
  </r>
  <r>
    <x v="1"/>
    <n v="1180"/>
    <x v="811"/>
    <x v="0"/>
    <s v="LM"/>
    <s v="S"/>
    <x v="40"/>
    <x v="15"/>
    <x v="809"/>
    <m/>
    <x v="56"/>
    <m/>
    <x v="16"/>
    <x v="0"/>
    <x v="308"/>
    <d v="2012-10-18T00:00:00"/>
    <x v="14"/>
    <x v="1"/>
    <s v="Main Contest"/>
    <m/>
    <x v="0"/>
    <x v="0"/>
    <m/>
    <x v="0"/>
    <x v="5"/>
    <x v="814"/>
    <x v="16"/>
    <x v="0"/>
    <x v="0"/>
    <x v="308"/>
    <x v="4229"/>
  </r>
  <r>
    <x v="1"/>
    <n v="1180"/>
    <x v="811"/>
    <x v="0"/>
    <s v="LM"/>
    <s v="S"/>
    <x v="40"/>
    <x v="15"/>
    <x v="810"/>
    <m/>
    <x v="24"/>
    <m/>
    <x v="3"/>
    <x v="0"/>
    <x v="294"/>
    <m/>
    <x v="14"/>
    <x v="0"/>
    <m/>
    <m/>
    <x v="0"/>
    <x v="1"/>
    <m/>
    <x v="0"/>
    <x v="5"/>
    <x v="814"/>
    <x v="3"/>
    <x v="0"/>
    <x v="1"/>
    <x v="294"/>
    <x v="4230"/>
  </r>
  <r>
    <x v="1"/>
    <n v="1512"/>
    <x v="1557"/>
    <x v="1"/>
    <s v="CM"/>
    <s v="N"/>
    <x v="541"/>
    <x v="3"/>
    <x v="566"/>
    <m/>
    <x v="24"/>
    <m/>
    <x v="3"/>
    <x v="0"/>
    <x v="381"/>
    <m/>
    <x v="13"/>
    <x v="1"/>
    <m/>
    <m/>
    <x v="0"/>
    <x v="1"/>
    <m/>
    <x v="0"/>
    <x v="2"/>
    <x v="1567"/>
    <x v="3"/>
    <x v="0"/>
    <x v="1"/>
    <x v="381"/>
    <x v="4231"/>
  </r>
  <r>
    <x v="1"/>
    <n v="1181"/>
    <x v="812"/>
    <x v="2"/>
    <s v="CM"/>
    <s v="N"/>
    <x v="561"/>
    <x v="2"/>
    <x v="62"/>
    <m/>
    <x v="23"/>
    <m/>
    <x v="3"/>
    <x v="0"/>
    <x v="302"/>
    <d v="2012-03-04T00:00:00"/>
    <x v="19"/>
    <x v="1"/>
    <s v="Prémio de Cinema Português - Escolas de Cinema"/>
    <m/>
    <x v="0"/>
    <x v="0"/>
    <m/>
    <x v="0"/>
    <x v="4"/>
    <x v="815"/>
    <x v="3"/>
    <x v="0"/>
    <x v="1"/>
    <x v="302"/>
    <x v="4232"/>
  </r>
  <r>
    <x v="1"/>
    <n v="1182"/>
    <x v="813"/>
    <x v="1"/>
    <s v="LM"/>
    <s v="N"/>
    <x v="111"/>
    <x v="22"/>
    <x v="533"/>
    <m/>
    <x v="314"/>
    <m/>
    <x v="9"/>
    <x v="0"/>
    <x v="365"/>
    <d v="2012-05-26T00:00:00"/>
    <x v="6"/>
    <x v="0"/>
    <m/>
    <m/>
    <x v="0"/>
    <x v="1"/>
    <m/>
    <x v="0"/>
    <x v="1"/>
    <x v="816"/>
    <x v="9"/>
    <x v="0"/>
    <x v="0"/>
    <x v="365"/>
    <x v="4233"/>
  </r>
  <r>
    <x v="1"/>
    <n v="1182"/>
    <x v="813"/>
    <x v="1"/>
    <s v="LM"/>
    <s v="N"/>
    <x v="111"/>
    <x v="22"/>
    <x v="534"/>
    <m/>
    <x v="65"/>
    <m/>
    <x v="9"/>
    <x v="0"/>
    <x v="236"/>
    <d v="2012-06-28T00:00:00"/>
    <x v="7"/>
    <x v="0"/>
    <m/>
    <m/>
    <x v="0"/>
    <x v="1"/>
    <m/>
    <x v="0"/>
    <x v="1"/>
    <x v="816"/>
    <x v="9"/>
    <x v="0"/>
    <x v="0"/>
    <x v="236"/>
    <x v="4234"/>
  </r>
  <r>
    <x v="1"/>
    <n v="1182"/>
    <x v="813"/>
    <x v="1"/>
    <s v="LM"/>
    <s v="N"/>
    <x v="111"/>
    <x v="22"/>
    <x v="408"/>
    <m/>
    <x v="266"/>
    <m/>
    <x v="2"/>
    <x v="0"/>
    <x v="238"/>
    <d v="2012-08-25T00:00:00"/>
    <x v="16"/>
    <x v="0"/>
    <m/>
    <s v="Route du Doc: Portugal"/>
    <x v="0"/>
    <x v="1"/>
    <m/>
    <x v="0"/>
    <x v="1"/>
    <x v="816"/>
    <x v="2"/>
    <x v="0"/>
    <x v="0"/>
    <x v="238"/>
    <x v="4235"/>
  </r>
  <r>
    <x v="1"/>
    <n v="1182"/>
    <x v="813"/>
    <x v="1"/>
    <s v="LM"/>
    <s v="N"/>
    <x v="111"/>
    <x v="22"/>
    <x v="149"/>
    <m/>
    <x v="114"/>
    <m/>
    <x v="35"/>
    <x v="0"/>
    <x v="339"/>
    <d v="2012-11-07T00:00:00"/>
    <x v="0"/>
    <x v="0"/>
    <m/>
    <s v="In Focus: Manuel Mozos"/>
    <x v="0"/>
    <x v="0"/>
    <m/>
    <x v="0"/>
    <x v="1"/>
    <x v="816"/>
    <x v="35"/>
    <x v="0"/>
    <x v="0"/>
    <x v="339"/>
    <x v="4236"/>
  </r>
  <r>
    <x v="1"/>
    <n v="1483"/>
    <x v="1558"/>
    <x v="1"/>
    <s v="LM"/>
    <s v=""/>
    <x v="870"/>
    <x v="51"/>
    <x v="88"/>
    <m/>
    <x v="67"/>
    <m/>
    <x v="3"/>
    <x v="0"/>
    <x v="262"/>
    <d v="2012-10-13T00:00:00"/>
    <x v="14"/>
    <x v="0"/>
    <m/>
    <s v="António Escudeiro: Um Eco-Cineasta"/>
    <x v="0"/>
    <x v="0"/>
    <m/>
    <x v="0"/>
    <x v="1"/>
    <x v="1568"/>
    <x v="3"/>
    <x v="0"/>
    <x v="1"/>
    <x v="262"/>
    <x v="4237"/>
  </r>
  <r>
    <x v="1"/>
    <n v="1183"/>
    <x v="814"/>
    <x v="0"/>
    <s v="LM"/>
    <s v="S"/>
    <x v="40"/>
    <x v="39"/>
    <x v="594"/>
    <m/>
    <x v="39"/>
    <m/>
    <x v="3"/>
    <x v="0"/>
    <x v="403"/>
    <d v="2012-02-26T00:00:00"/>
    <x v="1"/>
    <x v="0"/>
    <m/>
    <m/>
    <x v="0"/>
    <x v="1"/>
    <m/>
    <x v="0"/>
    <x v="5"/>
    <x v="817"/>
    <x v="3"/>
    <x v="0"/>
    <x v="1"/>
    <x v="403"/>
    <x v="4238"/>
  </r>
  <r>
    <x v="1"/>
    <n v="1183"/>
    <x v="814"/>
    <x v="0"/>
    <s v="LM"/>
    <s v="S"/>
    <x v="40"/>
    <x v="39"/>
    <x v="584"/>
    <m/>
    <x v="24"/>
    <m/>
    <x v="3"/>
    <x v="0"/>
    <x v="337"/>
    <d v="2012-10-14T00:00:00"/>
    <x v="14"/>
    <x v="0"/>
    <m/>
    <s v="Maria de Medeiros/A Madrinha"/>
    <x v="0"/>
    <x v="1"/>
    <m/>
    <x v="0"/>
    <x v="5"/>
    <x v="817"/>
    <x v="3"/>
    <x v="0"/>
    <x v="1"/>
    <x v="337"/>
    <x v="4239"/>
  </r>
  <r>
    <x v="1"/>
    <n v="1184"/>
    <x v="1559"/>
    <x v="0"/>
    <s v="LM"/>
    <s v=""/>
    <x v="289"/>
    <x v="2"/>
    <x v="522"/>
    <m/>
    <x v="165"/>
    <m/>
    <x v="4"/>
    <x v="0"/>
    <x v="363"/>
    <d v="2012-04-22T00:00:00"/>
    <x v="5"/>
    <x v="0"/>
    <m/>
    <s v="João Canijo"/>
    <x v="0"/>
    <x v="0"/>
    <m/>
    <x v="0"/>
    <x v="5"/>
    <x v="1569"/>
    <x v="4"/>
    <x v="0"/>
    <x v="0"/>
    <x v="363"/>
    <x v="4240"/>
  </r>
  <r>
    <x v="1"/>
    <n v="1473"/>
    <x v="1560"/>
    <x v="0"/>
    <s v="CM"/>
    <s v="N"/>
    <x v="379"/>
    <x v="41"/>
    <x v="68"/>
    <m/>
    <x v="53"/>
    <m/>
    <x v="3"/>
    <x v="0"/>
    <x v="253"/>
    <d v="2012-07-15T00:00:00"/>
    <x v="8"/>
    <x v="1"/>
    <s v="Take One!"/>
    <m/>
    <x v="0"/>
    <x v="0"/>
    <m/>
    <x v="0"/>
    <x v="0"/>
    <x v="1570"/>
    <x v="3"/>
    <x v="0"/>
    <x v="1"/>
    <x v="253"/>
    <x v="4241"/>
  </r>
  <r>
    <x v="1"/>
    <n v="1186"/>
    <x v="1561"/>
    <x v="0"/>
    <s v="CM"/>
    <s v="N"/>
    <x v="1021"/>
    <x v="2"/>
    <x v="412"/>
    <m/>
    <x v="269"/>
    <m/>
    <x v="3"/>
    <x v="0"/>
    <x v="242"/>
    <m/>
    <x v="7"/>
    <x v="1"/>
    <m/>
    <m/>
    <x v="0"/>
    <x v="0"/>
    <m/>
    <x v="0"/>
    <x v="0"/>
    <x v="1571"/>
    <x v="3"/>
    <x v="0"/>
    <x v="1"/>
    <x v="242"/>
    <x v="4242"/>
  </r>
  <r>
    <x v="1"/>
    <n v="1187"/>
    <x v="1562"/>
    <x v="0"/>
    <s v="CM"/>
    <s v="N"/>
    <x v="1022"/>
    <x v="2"/>
    <x v="539"/>
    <m/>
    <x v="76"/>
    <m/>
    <x v="3"/>
    <x v="0"/>
    <x v="367"/>
    <d v="2012-05-06T00:00:00"/>
    <x v="6"/>
    <x v="1"/>
    <s v="Lusófono"/>
    <m/>
    <x v="0"/>
    <x v="0"/>
    <m/>
    <x v="0"/>
    <x v="0"/>
    <x v="1572"/>
    <x v="3"/>
    <x v="0"/>
    <x v="1"/>
    <x v="367"/>
    <x v="4243"/>
  </r>
  <r>
    <x v="1"/>
    <n v="807"/>
    <x v="1563"/>
    <x v="1"/>
    <s v="LM"/>
    <s v="S"/>
    <x v="1023"/>
    <x v="2"/>
    <x v="414"/>
    <m/>
    <x v="24"/>
    <m/>
    <x v="3"/>
    <x v="0"/>
    <x v="244"/>
    <d v="2012-02-29T00:00:00"/>
    <x v="1"/>
    <x v="0"/>
    <m/>
    <m/>
    <x v="0"/>
    <x v="1"/>
    <m/>
    <x v="0"/>
    <x v="1"/>
    <x v="1573"/>
    <x v="3"/>
    <x v="0"/>
    <x v="1"/>
    <x v="244"/>
    <x v="4244"/>
  </r>
  <r>
    <x v="1"/>
    <n v="1370"/>
    <x v="1564"/>
    <x v="0"/>
    <s v="LM"/>
    <s v="S"/>
    <x v="418"/>
    <x v="2"/>
    <x v="676"/>
    <m/>
    <x v="351"/>
    <m/>
    <x v="1"/>
    <x v="0"/>
    <x v="240"/>
    <d v="2012-10-20T00:00:00"/>
    <x v="14"/>
    <x v="0"/>
    <m/>
    <s v="Retrospectivas: Cine y Urbe"/>
    <x v="0"/>
    <x v="0"/>
    <m/>
    <x v="0"/>
    <x v="5"/>
    <x v="1574"/>
    <x v="1"/>
    <x v="0"/>
    <x v="0"/>
    <x v="240"/>
    <x v="4245"/>
  </r>
  <r>
    <x v="1"/>
    <n v="1325"/>
    <x v="1565"/>
    <x v="1"/>
    <s v="CM"/>
    <s v="N"/>
    <x v="1024"/>
    <x v="2"/>
    <x v="316"/>
    <m/>
    <x v="11"/>
    <m/>
    <x v="3"/>
    <x v="0"/>
    <x v="199"/>
    <d v="2012-08-25T00:00:00"/>
    <x v="16"/>
    <x v="1"/>
    <s v="Documentário"/>
    <m/>
    <x v="0"/>
    <x v="0"/>
    <m/>
    <x v="0"/>
    <x v="2"/>
    <x v="1575"/>
    <x v="3"/>
    <x v="0"/>
    <x v="1"/>
    <x v="199"/>
    <x v="4246"/>
  </r>
  <r>
    <x v="1"/>
    <n v="1218"/>
    <x v="1566"/>
    <x v="1"/>
    <s v="CM"/>
    <s v=""/>
    <x v="1025"/>
    <x v="2"/>
    <x v="811"/>
    <m/>
    <x v="321"/>
    <m/>
    <x v="3"/>
    <x v="0"/>
    <x v="387"/>
    <d v="2012-11-25T00:00:00"/>
    <x v="13"/>
    <x v="1"/>
    <s v="Secção Geral"/>
    <m/>
    <x v="47"/>
    <x v="0"/>
    <m/>
    <x v="1"/>
    <x v="2"/>
    <x v="1576"/>
    <x v="3"/>
    <x v="509"/>
    <x v="1"/>
    <x v="387"/>
    <x v="4247"/>
  </r>
  <r>
    <x v="1"/>
    <n v="1377"/>
    <x v="822"/>
    <x v="0"/>
    <s v="CM"/>
    <s v="N"/>
    <x v="1026"/>
    <x v="2"/>
    <x v="410"/>
    <m/>
    <x v="267"/>
    <m/>
    <x v="3"/>
    <x v="0"/>
    <x v="240"/>
    <m/>
    <x v="14"/>
    <x v="1"/>
    <s v="Competição Nacional"/>
    <m/>
    <x v="418"/>
    <x v="0"/>
    <m/>
    <x v="1"/>
    <x v="0"/>
    <x v="1577"/>
    <x v="3"/>
    <x v="510"/>
    <x v="1"/>
    <x v="240"/>
    <x v="4248"/>
  </r>
  <r>
    <x v="1"/>
    <n v="1686"/>
    <x v="822"/>
    <x v="0"/>
    <s v="CM"/>
    <s v="N"/>
    <x v="1027"/>
    <x v="2"/>
    <x v="459"/>
    <m/>
    <x v="287"/>
    <m/>
    <x v="3"/>
    <x v="0"/>
    <x v="267"/>
    <m/>
    <x v="13"/>
    <x v="1"/>
    <m/>
    <m/>
    <x v="0"/>
    <x v="2"/>
    <m/>
    <x v="0"/>
    <x v="0"/>
    <x v="1578"/>
    <x v="3"/>
    <x v="0"/>
    <x v="1"/>
    <x v="267"/>
    <x v="4249"/>
  </r>
  <r>
    <x v="1"/>
    <n v="1378"/>
    <x v="1567"/>
    <x v="1"/>
    <s v="CM"/>
    <s v="N"/>
    <x v="1028"/>
    <x v="2"/>
    <x v="410"/>
    <m/>
    <x v="267"/>
    <m/>
    <x v="3"/>
    <x v="0"/>
    <x v="240"/>
    <m/>
    <x v="14"/>
    <x v="1"/>
    <s v="Competição Nacional"/>
    <m/>
    <x v="0"/>
    <x v="0"/>
    <m/>
    <x v="0"/>
    <x v="2"/>
    <x v="1579"/>
    <x v="3"/>
    <x v="0"/>
    <x v="1"/>
    <x v="240"/>
    <x v="4250"/>
  </r>
  <r>
    <x v="1"/>
    <n v="1194"/>
    <x v="823"/>
    <x v="0"/>
    <s v="CM"/>
    <s v="N"/>
    <x v="293"/>
    <x v="1"/>
    <x v="403"/>
    <m/>
    <x v="263"/>
    <m/>
    <x v="2"/>
    <x v="0"/>
    <x v="232"/>
    <d v="2012-04-15T00:00:00"/>
    <x v="5"/>
    <x v="0"/>
    <m/>
    <s v="Rétrospectives et Thématiques - Jeune Cinéma Portugais"/>
    <x v="0"/>
    <x v="0"/>
    <m/>
    <x v="0"/>
    <x v="0"/>
    <x v="826"/>
    <x v="2"/>
    <x v="0"/>
    <x v="0"/>
    <x v="232"/>
    <x v="4251"/>
  </r>
  <r>
    <x v="1"/>
    <n v="1194"/>
    <x v="823"/>
    <x v="0"/>
    <s v="CM"/>
    <s v="N"/>
    <x v="293"/>
    <x v="1"/>
    <x v="538"/>
    <m/>
    <x v="315"/>
    <m/>
    <x v="3"/>
    <x v="0"/>
    <x v="338"/>
    <m/>
    <x v="14"/>
    <x v="0"/>
    <m/>
    <m/>
    <x v="0"/>
    <x v="1"/>
    <m/>
    <x v="0"/>
    <x v="0"/>
    <x v="826"/>
    <x v="3"/>
    <x v="0"/>
    <x v="1"/>
    <x v="338"/>
    <x v="4252"/>
  </r>
  <r>
    <x v="1"/>
    <n v="1195"/>
    <x v="824"/>
    <x v="0"/>
    <s v="CM"/>
    <s v="N"/>
    <x v="132"/>
    <x v="2"/>
    <x v="568"/>
    <m/>
    <x v="24"/>
    <m/>
    <x v="3"/>
    <x v="0"/>
    <x v="384"/>
    <m/>
    <x v="15"/>
    <x v="0"/>
    <m/>
    <m/>
    <x v="0"/>
    <x v="1"/>
    <m/>
    <x v="0"/>
    <x v="0"/>
    <x v="827"/>
    <x v="3"/>
    <x v="0"/>
    <x v="1"/>
    <x v="384"/>
    <x v="4253"/>
  </r>
  <r>
    <x v="1"/>
    <n v="1195"/>
    <x v="824"/>
    <x v="0"/>
    <s v="CM"/>
    <s v="N"/>
    <x v="132"/>
    <x v="2"/>
    <x v="729"/>
    <m/>
    <x v="23"/>
    <m/>
    <x v="3"/>
    <x v="0"/>
    <x v="292"/>
    <m/>
    <x v="1"/>
    <x v="1"/>
    <m/>
    <m/>
    <x v="0"/>
    <x v="1"/>
    <m/>
    <x v="0"/>
    <x v="0"/>
    <x v="827"/>
    <x v="3"/>
    <x v="0"/>
    <x v="1"/>
    <x v="292"/>
    <x v="4254"/>
  </r>
  <r>
    <x v="1"/>
    <n v="1195"/>
    <x v="824"/>
    <x v="0"/>
    <s v="CM"/>
    <s v="N"/>
    <x v="132"/>
    <x v="2"/>
    <x v="456"/>
    <m/>
    <x v="24"/>
    <m/>
    <x v="3"/>
    <x v="0"/>
    <x v="300"/>
    <m/>
    <x v="1"/>
    <x v="0"/>
    <m/>
    <s v="Especial Curtas Nomeadas para Melhor Curta Prémios Shortcutz Lisboa 2011"/>
    <x v="0"/>
    <x v="1"/>
    <m/>
    <x v="0"/>
    <x v="0"/>
    <x v="827"/>
    <x v="3"/>
    <x v="0"/>
    <x v="1"/>
    <x v="300"/>
    <x v="4255"/>
  </r>
  <r>
    <x v="1"/>
    <n v="1195"/>
    <x v="824"/>
    <x v="0"/>
    <s v="CM"/>
    <s v="N"/>
    <x v="132"/>
    <x v="2"/>
    <x v="165"/>
    <m/>
    <x v="65"/>
    <m/>
    <x v="9"/>
    <x v="0"/>
    <x v="333"/>
    <m/>
    <x v="8"/>
    <x v="0"/>
    <m/>
    <m/>
    <x v="0"/>
    <x v="1"/>
    <m/>
    <x v="0"/>
    <x v="0"/>
    <x v="827"/>
    <x v="9"/>
    <x v="0"/>
    <x v="0"/>
    <x v="333"/>
    <x v="4256"/>
  </r>
  <r>
    <x v="1"/>
    <n v="1396"/>
    <x v="1568"/>
    <x v="1"/>
    <s v="CM"/>
    <s v="N"/>
    <x v="1029"/>
    <x v="41"/>
    <x v="812"/>
    <m/>
    <x v="24"/>
    <m/>
    <x v="3"/>
    <x v="0"/>
    <x v="337"/>
    <m/>
    <x v="14"/>
    <x v="0"/>
    <m/>
    <m/>
    <x v="0"/>
    <x v="1"/>
    <m/>
    <x v="0"/>
    <x v="2"/>
    <x v="1580"/>
    <x v="3"/>
    <x v="0"/>
    <x v="1"/>
    <x v="337"/>
    <x v="4257"/>
  </r>
  <r>
    <x v="1"/>
    <n v="1396"/>
    <x v="1568"/>
    <x v="1"/>
    <s v="CM"/>
    <s v="N"/>
    <x v="1029"/>
    <x v="41"/>
    <x v="591"/>
    <m/>
    <x v="23"/>
    <m/>
    <x v="3"/>
    <x v="0"/>
    <x v="297"/>
    <m/>
    <x v="14"/>
    <x v="0"/>
    <m/>
    <m/>
    <x v="0"/>
    <x v="1"/>
    <m/>
    <x v="0"/>
    <x v="2"/>
    <x v="1580"/>
    <x v="3"/>
    <x v="0"/>
    <x v="1"/>
    <x v="297"/>
    <x v="4258"/>
  </r>
  <r>
    <x v="1"/>
    <n v="1396"/>
    <x v="1568"/>
    <x v="1"/>
    <s v="CM"/>
    <s v="N"/>
    <x v="1029"/>
    <x v="41"/>
    <x v="368"/>
    <m/>
    <x v="23"/>
    <m/>
    <x v="3"/>
    <x v="0"/>
    <x v="339"/>
    <m/>
    <x v="14"/>
    <x v="0"/>
    <m/>
    <m/>
    <x v="0"/>
    <x v="1"/>
    <m/>
    <x v="0"/>
    <x v="2"/>
    <x v="1580"/>
    <x v="3"/>
    <x v="0"/>
    <x v="1"/>
    <x v="339"/>
    <x v="4259"/>
  </r>
  <r>
    <x v="1"/>
    <n v="1396"/>
    <x v="1568"/>
    <x v="1"/>
    <s v="CM"/>
    <s v="N"/>
    <x v="1029"/>
    <x v="41"/>
    <x v="365"/>
    <m/>
    <x v="99"/>
    <m/>
    <x v="3"/>
    <x v="0"/>
    <x v="341"/>
    <m/>
    <x v="13"/>
    <x v="0"/>
    <m/>
    <m/>
    <x v="0"/>
    <x v="1"/>
    <m/>
    <x v="0"/>
    <x v="2"/>
    <x v="1580"/>
    <x v="3"/>
    <x v="0"/>
    <x v="1"/>
    <x v="341"/>
    <x v="4260"/>
  </r>
  <r>
    <x v="1"/>
    <n v="1396"/>
    <x v="1568"/>
    <x v="1"/>
    <s v="CM"/>
    <s v="N"/>
    <x v="1029"/>
    <x v="41"/>
    <x v="813"/>
    <m/>
    <x v="11"/>
    <m/>
    <x v="3"/>
    <x v="0"/>
    <x v="282"/>
    <m/>
    <x v="13"/>
    <x v="0"/>
    <m/>
    <m/>
    <x v="0"/>
    <x v="1"/>
    <m/>
    <x v="0"/>
    <x v="2"/>
    <x v="1580"/>
    <x v="3"/>
    <x v="0"/>
    <x v="1"/>
    <x v="282"/>
    <x v="4261"/>
  </r>
  <r>
    <x v="1"/>
    <n v="1396"/>
    <x v="1568"/>
    <x v="1"/>
    <s v="CM"/>
    <s v="N"/>
    <x v="1029"/>
    <x v="41"/>
    <x v="814"/>
    <m/>
    <x v="24"/>
    <m/>
    <x v="3"/>
    <x v="0"/>
    <x v="493"/>
    <m/>
    <x v="13"/>
    <x v="0"/>
    <m/>
    <s v="Curta Convidada"/>
    <x v="0"/>
    <x v="1"/>
    <m/>
    <x v="0"/>
    <x v="2"/>
    <x v="1580"/>
    <x v="3"/>
    <x v="0"/>
    <x v="1"/>
    <x v="493"/>
    <x v="4262"/>
  </r>
  <r>
    <x v="1"/>
    <n v="1198"/>
    <x v="827"/>
    <x v="1"/>
    <s v="LM"/>
    <s v="N"/>
    <x v="195"/>
    <x v="2"/>
    <x v="42"/>
    <m/>
    <x v="39"/>
    <m/>
    <x v="3"/>
    <x v="0"/>
    <x v="299"/>
    <m/>
    <x v="1"/>
    <x v="0"/>
    <m/>
    <m/>
    <x v="0"/>
    <x v="1"/>
    <m/>
    <x v="0"/>
    <x v="1"/>
    <x v="830"/>
    <x v="3"/>
    <x v="0"/>
    <x v="1"/>
    <x v="299"/>
    <x v="4263"/>
  </r>
  <r>
    <x v="1"/>
    <n v="1198"/>
    <x v="827"/>
    <x v="1"/>
    <s v="LM"/>
    <s v="N"/>
    <x v="195"/>
    <x v="2"/>
    <x v="632"/>
    <m/>
    <x v="15"/>
    <m/>
    <x v="3"/>
    <x v="0"/>
    <x v="321"/>
    <d v="2012-05-08T00:00:00"/>
    <x v="4"/>
    <x v="0"/>
    <m/>
    <m/>
    <x v="0"/>
    <x v="1"/>
    <m/>
    <x v="0"/>
    <x v="1"/>
    <x v="830"/>
    <x v="3"/>
    <x v="0"/>
    <x v="1"/>
    <x v="321"/>
    <x v="4264"/>
  </r>
  <r>
    <x v="1"/>
    <n v="1198"/>
    <x v="827"/>
    <x v="1"/>
    <s v="LM"/>
    <s v="N"/>
    <x v="195"/>
    <x v="2"/>
    <x v="514"/>
    <m/>
    <x v="99"/>
    <m/>
    <x v="3"/>
    <x v="0"/>
    <x v="360"/>
    <d v="2012-05-13T00:00:00"/>
    <x v="6"/>
    <x v="0"/>
    <m/>
    <s v="Olhares Frontais"/>
    <x v="0"/>
    <x v="0"/>
    <m/>
    <x v="0"/>
    <x v="1"/>
    <x v="830"/>
    <x v="3"/>
    <x v="0"/>
    <x v="1"/>
    <x v="360"/>
    <x v="4265"/>
  </r>
  <r>
    <x v="1"/>
    <n v="1198"/>
    <x v="827"/>
    <x v="1"/>
    <s v="LM"/>
    <s v="N"/>
    <x v="195"/>
    <x v="2"/>
    <x v="538"/>
    <m/>
    <x v="315"/>
    <m/>
    <x v="3"/>
    <x v="0"/>
    <x v="351"/>
    <m/>
    <x v="12"/>
    <x v="0"/>
    <m/>
    <m/>
    <x v="0"/>
    <x v="1"/>
    <m/>
    <x v="0"/>
    <x v="1"/>
    <x v="830"/>
    <x v="3"/>
    <x v="0"/>
    <x v="1"/>
    <x v="351"/>
    <x v="4266"/>
  </r>
  <r>
    <x v="1"/>
    <n v="1200"/>
    <x v="829"/>
    <x v="2"/>
    <s v="CM"/>
    <s v="S"/>
    <x v="568"/>
    <x v="1"/>
    <x v="411"/>
    <m/>
    <x v="268"/>
    <m/>
    <x v="0"/>
    <x v="0"/>
    <x v="241"/>
    <d v="2012-05-18T00:00:00"/>
    <x v="6"/>
    <x v="0"/>
    <m/>
    <s v="Mostra dos Festivais - FIKE"/>
    <x v="0"/>
    <x v="0"/>
    <m/>
    <x v="0"/>
    <x v="4"/>
    <x v="832"/>
    <x v="0"/>
    <x v="0"/>
    <x v="0"/>
    <x v="241"/>
    <x v="4267"/>
  </r>
  <r>
    <x v="1"/>
    <n v="1393"/>
    <x v="1569"/>
    <x v="3"/>
    <s v="CM"/>
    <s v="N"/>
    <x v="840"/>
    <x v="5"/>
    <x v="162"/>
    <m/>
    <x v="124"/>
    <m/>
    <x v="3"/>
    <x v="0"/>
    <x v="417"/>
    <m/>
    <x v="9"/>
    <x v="0"/>
    <m/>
    <m/>
    <x v="0"/>
    <x v="1"/>
    <m/>
    <x v="0"/>
    <x v="6"/>
    <x v="1581"/>
    <x v="3"/>
    <x v="0"/>
    <x v="1"/>
    <x v="417"/>
    <x v="4268"/>
  </r>
  <r>
    <x v="1"/>
    <n v="1203"/>
    <x v="831"/>
    <x v="0"/>
    <s v="CM"/>
    <s v="N"/>
    <x v="570"/>
    <x v="2"/>
    <x v="450"/>
    <m/>
    <x v="24"/>
    <m/>
    <x v="3"/>
    <x v="0"/>
    <x v="292"/>
    <m/>
    <x v="1"/>
    <x v="0"/>
    <m/>
    <m/>
    <x v="0"/>
    <x v="1"/>
    <m/>
    <x v="0"/>
    <x v="0"/>
    <x v="834"/>
    <x v="3"/>
    <x v="0"/>
    <x v="1"/>
    <x v="292"/>
    <x v="4269"/>
  </r>
  <r>
    <x v="1"/>
    <n v="1433"/>
    <x v="1570"/>
    <x v="1"/>
    <s v="CM"/>
    <s v="N"/>
    <x v="1030"/>
    <x v="41"/>
    <x v="25"/>
    <m/>
    <x v="24"/>
    <m/>
    <x v="3"/>
    <x v="0"/>
    <x v="294"/>
    <d v="2012-10-28T00:00:00"/>
    <x v="14"/>
    <x v="0"/>
    <m/>
    <s v="Verdes Anos"/>
    <x v="0"/>
    <x v="0"/>
    <m/>
    <x v="0"/>
    <x v="2"/>
    <x v="1582"/>
    <x v="3"/>
    <x v="0"/>
    <x v="1"/>
    <x v="294"/>
    <x v="4270"/>
  </r>
  <r>
    <x v="1"/>
    <n v="1372"/>
    <x v="832"/>
    <x v="0"/>
    <s v="CM"/>
    <s v="N"/>
    <x v="10"/>
    <x v="38"/>
    <x v="149"/>
    <m/>
    <x v="114"/>
    <m/>
    <x v="35"/>
    <x v="0"/>
    <x v="339"/>
    <d v="2012-11-07T00:00:00"/>
    <x v="0"/>
    <x v="0"/>
    <m/>
    <s v="In Focus: Manuel Mozos"/>
    <x v="0"/>
    <x v="0"/>
    <m/>
    <x v="0"/>
    <x v="0"/>
    <x v="835"/>
    <x v="35"/>
    <x v="0"/>
    <x v="0"/>
    <x v="339"/>
    <x v="4271"/>
  </r>
  <r>
    <x v="1"/>
    <n v="1406"/>
    <x v="1571"/>
    <x v="1"/>
    <s v="CM"/>
    <s v=""/>
    <x v="370"/>
    <x v="41"/>
    <x v="25"/>
    <m/>
    <x v="24"/>
    <m/>
    <x v="3"/>
    <x v="0"/>
    <x v="294"/>
    <d v="2012-10-28T00:00:00"/>
    <x v="14"/>
    <x v="1"/>
    <s v="Competição Portuguesa - Curtas"/>
    <m/>
    <x v="0"/>
    <x v="0"/>
    <m/>
    <x v="0"/>
    <x v="2"/>
    <x v="1583"/>
    <x v="3"/>
    <x v="0"/>
    <x v="1"/>
    <x v="294"/>
    <x v="4272"/>
  </r>
  <r>
    <x v="1"/>
    <n v="1206"/>
    <x v="1572"/>
    <x v="2"/>
    <s v="Série"/>
    <s v=""/>
    <x v="442"/>
    <x v="2"/>
    <x v="590"/>
    <m/>
    <x v="328"/>
    <m/>
    <x v="11"/>
    <x v="0"/>
    <x v="281"/>
    <d v="2012-05-01T00:00:00"/>
    <x v="4"/>
    <x v="1"/>
    <s v="TV Film and Series"/>
    <m/>
    <x v="0"/>
    <x v="0"/>
    <m/>
    <x v="0"/>
    <x v="9"/>
    <x v="1584"/>
    <x v="11"/>
    <x v="0"/>
    <x v="0"/>
    <x v="281"/>
    <x v="4273"/>
  </r>
  <r>
    <x v="1"/>
    <n v="1204"/>
    <x v="1573"/>
    <x v="1"/>
    <s v="CM"/>
    <s v="N"/>
    <x v="1031"/>
    <x v="2"/>
    <x v="811"/>
    <m/>
    <x v="321"/>
    <m/>
    <x v="3"/>
    <x v="0"/>
    <x v="387"/>
    <d v="2012-11-25T00:00:00"/>
    <x v="13"/>
    <x v="1"/>
    <s v="Secção Geral"/>
    <m/>
    <x v="419"/>
    <x v="0"/>
    <m/>
    <x v="1"/>
    <x v="2"/>
    <x v="1585"/>
    <x v="3"/>
    <x v="511"/>
    <x v="1"/>
    <x v="387"/>
    <x v="4274"/>
  </r>
  <r>
    <x v="1"/>
    <n v="1209"/>
    <x v="1574"/>
    <x v="3"/>
    <s v="CM"/>
    <s v="N"/>
    <x v="1032"/>
    <x v="2"/>
    <x v="68"/>
    <m/>
    <x v="53"/>
    <m/>
    <x v="3"/>
    <x v="0"/>
    <x v="253"/>
    <d v="2012-07-15T00:00:00"/>
    <x v="8"/>
    <x v="1"/>
    <s v="15º Videorun RESTART"/>
    <m/>
    <x v="420"/>
    <x v="0"/>
    <m/>
    <x v="1"/>
    <x v="6"/>
    <x v="1586"/>
    <x v="3"/>
    <x v="512"/>
    <x v="1"/>
    <x v="253"/>
    <x v="4275"/>
  </r>
  <r>
    <x v="1"/>
    <n v="1210"/>
    <x v="836"/>
    <x v="0"/>
    <s v="LM"/>
    <s v="N"/>
    <x v="158"/>
    <x v="35"/>
    <x v="435"/>
    <m/>
    <x v="24"/>
    <m/>
    <x v="3"/>
    <x v="0"/>
    <x v="269"/>
    <d v="2012-03-11T00:00:00"/>
    <x v="2"/>
    <x v="0"/>
    <m/>
    <m/>
    <x v="0"/>
    <x v="1"/>
    <m/>
    <x v="0"/>
    <x v="5"/>
    <x v="839"/>
    <x v="3"/>
    <x v="0"/>
    <x v="1"/>
    <x v="269"/>
    <x v="4276"/>
  </r>
  <r>
    <x v="1"/>
    <n v="1210"/>
    <x v="836"/>
    <x v="0"/>
    <s v="LM"/>
    <s v="N"/>
    <x v="158"/>
    <x v="35"/>
    <x v="452"/>
    <m/>
    <x v="24"/>
    <m/>
    <x v="3"/>
    <x v="0"/>
    <x v="296"/>
    <d v="2012-12-09T00:00:00"/>
    <x v="12"/>
    <x v="0"/>
    <m/>
    <m/>
    <x v="0"/>
    <x v="0"/>
    <m/>
    <x v="0"/>
    <x v="5"/>
    <x v="839"/>
    <x v="3"/>
    <x v="0"/>
    <x v="1"/>
    <x v="296"/>
    <x v="4277"/>
  </r>
  <r>
    <x v="1"/>
    <n v="1375"/>
    <x v="1575"/>
    <x v="0"/>
    <s v="CM"/>
    <s v="N"/>
    <x v="1033"/>
    <x v="2"/>
    <x v="410"/>
    <m/>
    <x v="267"/>
    <m/>
    <x v="3"/>
    <x v="0"/>
    <x v="240"/>
    <m/>
    <x v="14"/>
    <x v="1"/>
    <s v="Competição Nacional"/>
    <m/>
    <x v="7"/>
    <x v="0"/>
    <m/>
    <x v="1"/>
    <x v="0"/>
    <x v="1587"/>
    <x v="3"/>
    <x v="230"/>
    <x v="1"/>
    <x v="240"/>
    <x v="4278"/>
  </r>
  <r>
    <x v="1"/>
    <n v="1213"/>
    <x v="1576"/>
    <x v="0"/>
    <s v="CM"/>
    <s v="N"/>
    <x v="1034"/>
    <x v="2"/>
    <x v="412"/>
    <m/>
    <x v="269"/>
    <m/>
    <x v="3"/>
    <x v="0"/>
    <x v="242"/>
    <m/>
    <x v="7"/>
    <x v="0"/>
    <m/>
    <m/>
    <x v="0"/>
    <x v="0"/>
    <m/>
    <x v="0"/>
    <x v="0"/>
    <x v="1588"/>
    <x v="3"/>
    <x v="0"/>
    <x v="1"/>
    <x v="242"/>
    <x v="4279"/>
  </r>
  <r>
    <x v="1"/>
    <n v="1214"/>
    <x v="1577"/>
    <x v="0"/>
    <s v="LM"/>
    <s v="S"/>
    <x v="1035"/>
    <x v="2"/>
    <x v="533"/>
    <m/>
    <x v="314"/>
    <m/>
    <x v="9"/>
    <x v="0"/>
    <x v="365"/>
    <d v="2012-05-26T00:00:00"/>
    <x v="6"/>
    <x v="0"/>
    <m/>
    <m/>
    <x v="0"/>
    <x v="1"/>
    <m/>
    <x v="0"/>
    <x v="5"/>
    <x v="1589"/>
    <x v="9"/>
    <x v="0"/>
    <x v="0"/>
    <x v="365"/>
    <x v="4280"/>
  </r>
  <r>
    <x v="1"/>
    <n v="1214"/>
    <x v="1577"/>
    <x v="0"/>
    <s v="LM"/>
    <s v="S"/>
    <x v="1035"/>
    <x v="2"/>
    <x v="534"/>
    <m/>
    <x v="65"/>
    <m/>
    <x v="9"/>
    <x v="0"/>
    <x v="236"/>
    <d v="2012-06-28T00:00:00"/>
    <x v="7"/>
    <x v="0"/>
    <m/>
    <m/>
    <x v="0"/>
    <x v="1"/>
    <m/>
    <x v="0"/>
    <x v="5"/>
    <x v="1589"/>
    <x v="9"/>
    <x v="0"/>
    <x v="0"/>
    <x v="236"/>
    <x v="4281"/>
  </r>
  <r>
    <x v="1"/>
    <n v="1215"/>
    <x v="1578"/>
    <x v="0"/>
    <s v="CM"/>
    <s v="N"/>
    <x v="887"/>
    <x v="3"/>
    <x v="815"/>
    <m/>
    <x v="24"/>
    <m/>
    <x v="3"/>
    <x v="0"/>
    <x v="446"/>
    <m/>
    <x v="6"/>
    <x v="0"/>
    <m/>
    <m/>
    <x v="0"/>
    <x v="1"/>
    <m/>
    <x v="0"/>
    <x v="0"/>
    <x v="1590"/>
    <x v="3"/>
    <x v="0"/>
    <x v="1"/>
    <x v="446"/>
    <x v="4282"/>
  </r>
  <r>
    <x v="1"/>
    <n v="1385"/>
    <x v="1579"/>
    <x v="1"/>
    <s v="CM"/>
    <s v="N"/>
    <x v="1036"/>
    <x v="2"/>
    <x v="88"/>
    <m/>
    <x v="67"/>
    <m/>
    <x v="3"/>
    <x v="0"/>
    <x v="262"/>
    <d v="2012-10-13T00:00:00"/>
    <x v="14"/>
    <x v="1"/>
    <s v="Competição Lusófona - Curtas Metragens"/>
    <m/>
    <x v="421"/>
    <x v="0"/>
    <m/>
    <x v="1"/>
    <x v="2"/>
    <x v="1591"/>
    <x v="3"/>
    <x v="513"/>
    <x v="1"/>
    <x v="262"/>
    <x v="4283"/>
  </r>
  <r>
    <x v="1"/>
    <n v="1216"/>
    <x v="1580"/>
    <x v="2"/>
    <s v="CM"/>
    <s v="N"/>
    <x v="1037"/>
    <x v="2"/>
    <x v="62"/>
    <m/>
    <x v="23"/>
    <m/>
    <x v="3"/>
    <x v="0"/>
    <x v="302"/>
    <d v="2012-03-04T00:00:00"/>
    <x v="19"/>
    <x v="1"/>
    <s v="Prémio de Cinema Português - Escolas de Cinema"/>
    <m/>
    <x v="0"/>
    <x v="0"/>
    <m/>
    <x v="0"/>
    <x v="4"/>
    <x v="1592"/>
    <x v="3"/>
    <x v="0"/>
    <x v="1"/>
    <x v="302"/>
    <x v="4284"/>
  </r>
  <r>
    <x v="1"/>
    <n v="1216"/>
    <x v="1580"/>
    <x v="2"/>
    <s v="CM"/>
    <s v="N"/>
    <x v="1037"/>
    <x v="2"/>
    <x v="673"/>
    <m/>
    <x v="91"/>
    <m/>
    <x v="28"/>
    <x v="0"/>
    <x v="301"/>
    <d v="2012-06-16T00:00:00"/>
    <x v="7"/>
    <x v="1"/>
    <s v="U-Can: Escola Artística Soares dos Reis"/>
    <m/>
    <x v="0"/>
    <x v="0"/>
    <m/>
    <x v="0"/>
    <x v="4"/>
    <x v="1592"/>
    <x v="28"/>
    <x v="0"/>
    <x v="0"/>
    <x v="301"/>
    <x v="4285"/>
  </r>
  <r>
    <x v="1"/>
    <n v="1217"/>
    <x v="1581"/>
    <x v="0"/>
    <s v="CM"/>
    <s v="N"/>
    <x v="1038"/>
    <x v="2"/>
    <x v="62"/>
    <m/>
    <x v="23"/>
    <m/>
    <x v="3"/>
    <x v="0"/>
    <x v="302"/>
    <d v="2012-03-04T00:00:00"/>
    <x v="19"/>
    <x v="1"/>
    <s v="Prémio de Cinema Português - Escolas de Cinema"/>
    <m/>
    <x v="0"/>
    <x v="0"/>
    <m/>
    <x v="0"/>
    <x v="0"/>
    <x v="1593"/>
    <x v="3"/>
    <x v="0"/>
    <x v="1"/>
    <x v="302"/>
    <x v="4286"/>
  </r>
  <r>
    <x v="1"/>
    <n v="1217"/>
    <x v="1581"/>
    <x v="0"/>
    <s v="CM"/>
    <s v="N"/>
    <x v="1038"/>
    <x v="2"/>
    <x v="673"/>
    <m/>
    <x v="91"/>
    <m/>
    <x v="28"/>
    <x v="0"/>
    <x v="301"/>
    <d v="2012-06-16T00:00:00"/>
    <x v="7"/>
    <x v="1"/>
    <s v="U-Can: Escola Artística Soares dos Reis"/>
    <m/>
    <x v="0"/>
    <x v="0"/>
    <m/>
    <x v="0"/>
    <x v="0"/>
    <x v="1593"/>
    <x v="28"/>
    <x v="0"/>
    <x v="0"/>
    <x v="301"/>
    <x v="4287"/>
  </r>
  <r>
    <x v="1"/>
    <n v="1219"/>
    <x v="1582"/>
    <x v="0"/>
    <s v="CM"/>
    <s v="N"/>
    <x v="1039"/>
    <x v="2"/>
    <x v="431"/>
    <m/>
    <x v="277"/>
    <m/>
    <x v="14"/>
    <x v="0"/>
    <x v="243"/>
    <d v="2012-06-02T00:00:00"/>
    <x v="7"/>
    <x v="0"/>
    <m/>
    <m/>
    <x v="0"/>
    <x v="0"/>
    <m/>
    <x v="0"/>
    <x v="0"/>
    <x v="1594"/>
    <x v="14"/>
    <x v="0"/>
    <x v="0"/>
    <x v="243"/>
    <x v="4288"/>
  </r>
  <r>
    <x v="1"/>
    <n v="1682"/>
    <x v="1583"/>
    <x v="0"/>
    <s v="CM"/>
    <s v="N"/>
    <x v="1040"/>
    <x v="41"/>
    <x v="459"/>
    <m/>
    <x v="287"/>
    <m/>
    <x v="3"/>
    <x v="0"/>
    <x v="267"/>
    <m/>
    <x v="13"/>
    <x v="1"/>
    <m/>
    <m/>
    <x v="0"/>
    <x v="2"/>
    <m/>
    <x v="0"/>
    <x v="0"/>
    <x v="1595"/>
    <x v="3"/>
    <x v="0"/>
    <x v="1"/>
    <x v="267"/>
    <x v="4289"/>
  </r>
  <r>
    <x v="1"/>
    <n v="1221"/>
    <x v="841"/>
    <x v="2"/>
    <s v="CM"/>
    <s v="S"/>
    <x v="517"/>
    <x v="2"/>
    <x v="26"/>
    <m/>
    <x v="24"/>
    <m/>
    <x v="3"/>
    <x v="0"/>
    <x v="268"/>
    <d v="2012-03-25T00:00:00"/>
    <x v="2"/>
    <x v="1"/>
    <s v="Competição Internacional 5"/>
    <m/>
    <x v="0"/>
    <x v="0"/>
    <m/>
    <x v="0"/>
    <x v="4"/>
    <x v="844"/>
    <x v="3"/>
    <x v="0"/>
    <x v="1"/>
    <x v="268"/>
    <x v="4290"/>
  </r>
  <r>
    <x v="1"/>
    <n v="1292"/>
    <x v="1584"/>
    <x v="0"/>
    <s v="CM"/>
    <s v="N"/>
    <x v="1041"/>
    <x v="2"/>
    <x v="445"/>
    <m/>
    <x v="284"/>
    <m/>
    <x v="3"/>
    <x v="0"/>
    <x v="286"/>
    <d v="2012-09-08T00:00:00"/>
    <x v="9"/>
    <x v="1"/>
    <m/>
    <m/>
    <x v="0"/>
    <x v="0"/>
    <m/>
    <x v="0"/>
    <x v="0"/>
    <x v="1596"/>
    <x v="3"/>
    <x v="0"/>
    <x v="1"/>
    <x v="286"/>
    <x v="4291"/>
  </r>
  <r>
    <x v="1"/>
    <n v="1222"/>
    <x v="842"/>
    <x v="0"/>
    <s v="LM"/>
    <s v="S"/>
    <x v="461"/>
    <x v="10"/>
    <x v="816"/>
    <m/>
    <x v="402"/>
    <m/>
    <x v="1"/>
    <x v="0"/>
    <x v="316"/>
    <m/>
    <x v="15"/>
    <x v="0"/>
    <m/>
    <m/>
    <x v="0"/>
    <x v="1"/>
    <m/>
    <x v="0"/>
    <x v="5"/>
    <x v="845"/>
    <x v="1"/>
    <x v="0"/>
    <x v="0"/>
    <x v="316"/>
    <x v="4292"/>
  </r>
  <r>
    <x v="1"/>
    <n v="1222"/>
    <x v="842"/>
    <x v="0"/>
    <s v="LM"/>
    <s v="S"/>
    <x v="461"/>
    <x v="10"/>
    <x v="447"/>
    <m/>
    <x v="185"/>
    <m/>
    <x v="0"/>
    <x v="0"/>
    <x v="288"/>
    <d v="2012-03-15T00:00:00"/>
    <x v="2"/>
    <x v="0"/>
    <m/>
    <s v="Mostra Portugal"/>
    <x v="0"/>
    <x v="0"/>
    <m/>
    <x v="0"/>
    <x v="5"/>
    <x v="845"/>
    <x v="0"/>
    <x v="0"/>
    <x v="0"/>
    <x v="288"/>
    <x v="4293"/>
  </r>
  <r>
    <x v="1"/>
    <n v="1222"/>
    <x v="842"/>
    <x v="0"/>
    <s v="LM"/>
    <s v="S"/>
    <x v="461"/>
    <x v="10"/>
    <x v="469"/>
    <m/>
    <x v="24"/>
    <m/>
    <x v="3"/>
    <x v="0"/>
    <x v="243"/>
    <d v="2012-06-17T00:00:00"/>
    <x v="7"/>
    <x v="0"/>
    <m/>
    <m/>
    <x v="0"/>
    <x v="1"/>
    <m/>
    <x v="0"/>
    <x v="5"/>
    <x v="845"/>
    <x v="3"/>
    <x v="0"/>
    <x v="1"/>
    <x v="243"/>
    <x v="4294"/>
  </r>
  <r>
    <x v="1"/>
    <n v="1224"/>
    <x v="844"/>
    <x v="0"/>
    <s v="LM"/>
    <s v="S"/>
    <x v="20"/>
    <x v="2"/>
    <x v="639"/>
    <m/>
    <x v="17"/>
    <m/>
    <x v="2"/>
    <x v="0"/>
    <x v="322"/>
    <d v="2012-01-30T00:00:00"/>
    <x v="15"/>
    <x v="0"/>
    <m/>
    <m/>
    <x v="0"/>
    <x v="1"/>
    <m/>
    <x v="0"/>
    <x v="5"/>
    <x v="847"/>
    <x v="2"/>
    <x v="0"/>
    <x v="0"/>
    <x v="322"/>
    <x v="4295"/>
  </r>
  <r>
    <x v="1"/>
    <n v="1225"/>
    <x v="1585"/>
    <x v="4"/>
    <s v="CM"/>
    <s v=""/>
    <x v="377"/>
    <x v="2"/>
    <x v="506"/>
    <m/>
    <x v="24"/>
    <m/>
    <x v="3"/>
    <x v="0"/>
    <x v="449"/>
    <m/>
    <x v="2"/>
    <x v="0"/>
    <m/>
    <m/>
    <x v="0"/>
    <x v="1"/>
    <m/>
    <x v="0"/>
    <x v="8"/>
    <x v="1597"/>
    <x v="3"/>
    <x v="0"/>
    <x v="1"/>
    <x v="449"/>
    <x v="4296"/>
  </r>
  <r>
    <x v="1"/>
    <n v="1227"/>
    <x v="1586"/>
    <x v="1"/>
    <s v="CM"/>
    <s v="N"/>
    <x v="525"/>
    <x v="41"/>
    <x v="420"/>
    <m/>
    <x v="8"/>
    <m/>
    <x v="3"/>
    <x v="0"/>
    <x v="249"/>
    <m/>
    <x v="15"/>
    <x v="0"/>
    <m/>
    <m/>
    <x v="0"/>
    <x v="1"/>
    <m/>
    <x v="0"/>
    <x v="2"/>
    <x v="1598"/>
    <x v="3"/>
    <x v="0"/>
    <x v="1"/>
    <x v="249"/>
    <x v="4297"/>
  </r>
  <r>
    <x v="1"/>
    <n v="1227"/>
    <x v="1586"/>
    <x v="1"/>
    <s v="CM"/>
    <s v="N"/>
    <x v="525"/>
    <x v="41"/>
    <x v="368"/>
    <m/>
    <x v="23"/>
    <m/>
    <x v="3"/>
    <x v="0"/>
    <x v="347"/>
    <m/>
    <x v="7"/>
    <x v="0"/>
    <m/>
    <m/>
    <x v="0"/>
    <x v="1"/>
    <m/>
    <x v="0"/>
    <x v="2"/>
    <x v="1598"/>
    <x v="3"/>
    <x v="0"/>
    <x v="1"/>
    <x v="347"/>
    <x v="4298"/>
  </r>
  <r>
    <x v="1"/>
    <n v="1227"/>
    <x v="1586"/>
    <x v="1"/>
    <s v="CM"/>
    <s v="N"/>
    <x v="525"/>
    <x v="41"/>
    <x v="68"/>
    <m/>
    <x v="53"/>
    <m/>
    <x v="3"/>
    <x v="0"/>
    <x v="253"/>
    <d v="2012-07-15T00:00:00"/>
    <x v="8"/>
    <x v="0"/>
    <m/>
    <s v="Panorama Nacional"/>
    <x v="0"/>
    <x v="0"/>
    <m/>
    <x v="0"/>
    <x v="2"/>
    <x v="1598"/>
    <x v="3"/>
    <x v="0"/>
    <x v="1"/>
    <x v="253"/>
    <x v="4299"/>
  </r>
  <r>
    <x v="1"/>
    <n v="1227"/>
    <x v="1586"/>
    <x v="1"/>
    <s v="CM"/>
    <s v="N"/>
    <x v="525"/>
    <x v="41"/>
    <x v="471"/>
    <m/>
    <x v="75"/>
    <m/>
    <x v="15"/>
    <x v="0"/>
    <x v="251"/>
    <d v="2012-11-17T00:00:00"/>
    <x v="13"/>
    <x v="0"/>
    <m/>
    <s v="CinemaXXI: Mediometraggi e Cortometraggii fuori Concorso - Histórias de Guimarâes"/>
    <x v="0"/>
    <x v="0"/>
    <m/>
    <x v="0"/>
    <x v="2"/>
    <x v="1598"/>
    <x v="15"/>
    <x v="0"/>
    <x v="0"/>
    <x v="251"/>
    <x v="4300"/>
  </r>
  <r>
    <x v="1"/>
    <n v="1227"/>
    <x v="1586"/>
    <x v="1"/>
    <s v="CM"/>
    <s v="N"/>
    <x v="525"/>
    <x v="41"/>
    <x v="133"/>
    <m/>
    <x v="101"/>
    <m/>
    <x v="3"/>
    <x v="0"/>
    <x v="331"/>
    <d v="2012-12-09T00:00:00"/>
    <x v="12"/>
    <x v="0"/>
    <m/>
    <s v="Sessões Especiais"/>
    <x v="0"/>
    <x v="0"/>
    <m/>
    <x v="0"/>
    <x v="2"/>
    <x v="1598"/>
    <x v="3"/>
    <x v="0"/>
    <x v="1"/>
    <x v="331"/>
    <x v="4301"/>
  </r>
  <r>
    <x v="1"/>
    <n v="1228"/>
    <x v="1587"/>
    <x v="0"/>
    <s v="CM"/>
    <s v=""/>
    <x v="716"/>
    <x v="2"/>
    <x v="68"/>
    <m/>
    <x v="53"/>
    <m/>
    <x v="3"/>
    <x v="0"/>
    <x v="253"/>
    <d v="2012-07-15T00:00:00"/>
    <x v="8"/>
    <x v="1"/>
    <s v="Competição Nacional"/>
    <m/>
    <x v="0"/>
    <x v="0"/>
    <m/>
    <x v="0"/>
    <x v="0"/>
    <x v="1599"/>
    <x v="3"/>
    <x v="0"/>
    <x v="1"/>
    <x v="253"/>
    <x v="4302"/>
  </r>
  <r>
    <x v="1"/>
    <n v="1228"/>
    <x v="1587"/>
    <x v="0"/>
    <s v="CM"/>
    <s v=""/>
    <x v="716"/>
    <x v="2"/>
    <x v="22"/>
    <m/>
    <x v="22"/>
    <m/>
    <x v="3"/>
    <x v="0"/>
    <x v="251"/>
    <d v="2012-11-18T00:00:00"/>
    <x v="13"/>
    <x v="1"/>
    <s v="Secção Competitiva"/>
    <m/>
    <x v="0"/>
    <x v="0"/>
    <m/>
    <x v="0"/>
    <x v="0"/>
    <x v="1599"/>
    <x v="3"/>
    <x v="0"/>
    <x v="1"/>
    <x v="251"/>
    <x v="4303"/>
  </r>
  <r>
    <x v="1"/>
    <n v="1595"/>
    <x v="1588"/>
    <x v="0"/>
    <s v="CM"/>
    <s v="N"/>
    <x v="1042"/>
    <x v="2"/>
    <x v="22"/>
    <m/>
    <x v="22"/>
    <m/>
    <x v="3"/>
    <x v="0"/>
    <x v="251"/>
    <d v="2012-11-18T00:00:00"/>
    <x v="13"/>
    <x v="1"/>
    <s v="Ensaios Visuais"/>
    <m/>
    <x v="0"/>
    <x v="0"/>
    <m/>
    <x v="0"/>
    <x v="0"/>
    <x v="1600"/>
    <x v="3"/>
    <x v="0"/>
    <x v="1"/>
    <x v="251"/>
    <x v="4304"/>
  </r>
  <r>
    <x v="1"/>
    <n v="2152"/>
    <x v="1589"/>
    <x v="1"/>
    <s v="CM"/>
    <s v="N"/>
    <x v="1043"/>
    <x v="41"/>
    <x v="634"/>
    <m/>
    <x v="340"/>
    <m/>
    <x v="3"/>
    <x v="0"/>
    <x v="415"/>
    <d v="2012-09-09T00:00:00"/>
    <x v="9"/>
    <x v="1"/>
    <s v="Documentário"/>
    <m/>
    <x v="422"/>
    <x v="0"/>
    <m/>
    <x v="1"/>
    <x v="2"/>
    <x v="1601"/>
    <x v="3"/>
    <x v="514"/>
    <x v="1"/>
    <x v="415"/>
    <x v="4305"/>
  </r>
  <r>
    <x v="1"/>
    <n v="1420"/>
    <x v="1590"/>
    <x v="1"/>
    <s v="CM"/>
    <s v="N"/>
    <x v="313"/>
    <x v="5"/>
    <x v="408"/>
    <m/>
    <x v="266"/>
    <m/>
    <x v="2"/>
    <x v="0"/>
    <x v="238"/>
    <d v="2012-08-25T00:00:00"/>
    <x v="16"/>
    <x v="0"/>
    <m/>
    <s v="Route du Doc: Portugal"/>
    <x v="0"/>
    <x v="1"/>
    <m/>
    <x v="0"/>
    <x v="2"/>
    <x v="1602"/>
    <x v="2"/>
    <x v="0"/>
    <x v="0"/>
    <x v="238"/>
    <x v="4306"/>
  </r>
  <r>
    <x v="1"/>
    <n v="1235"/>
    <x v="851"/>
    <x v="2"/>
    <s v="CM"/>
    <s v="S"/>
    <x v="73"/>
    <x v="5"/>
    <x v="677"/>
    <m/>
    <x v="83"/>
    <m/>
    <x v="3"/>
    <x v="0"/>
    <x v="316"/>
    <d v="2012-01-25T00:00:00"/>
    <x v="15"/>
    <x v="0"/>
    <m/>
    <m/>
    <x v="0"/>
    <x v="1"/>
    <m/>
    <x v="0"/>
    <x v="4"/>
    <x v="854"/>
    <x v="3"/>
    <x v="0"/>
    <x v="1"/>
    <x v="316"/>
    <x v="4307"/>
  </r>
  <r>
    <x v="1"/>
    <n v="1235"/>
    <x v="851"/>
    <x v="2"/>
    <s v="CM"/>
    <s v="S"/>
    <x v="73"/>
    <x v="5"/>
    <x v="355"/>
    <m/>
    <x v="238"/>
    <m/>
    <x v="63"/>
    <x v="0"/>
    <x v="352"/>
    <d v="2012-02-06T00:00:00"/>
    <x v="18"/>
    <x v="1"/>
    <m/>
    <m/>
    <x v="0"/>
    <x v="0"/>
    <m/>
    <x v="0"/>
    <x v="4"/>
    <x v="854"/>
    <x v="63"/>
    <x v="0"/>
    <x v="0"/>
    <x v="352"/>
    <x v="4308"/>
  </r>
  <r>
    <x v="1"/>
    <n v="1235"/>
    <x v="851"/>
    <x v="2"/>
    <s v="CM"/>
    <s v="S"/>
    <x v="73"/>
    <x v="5"/>
    <x v="817"/>
    <m/>
    <x v="403"/>
    <m/>
    <x v="2"/>
    <x v="0"/>
    <x v="245"/>
    <d v="2012-02-14T00:00:00"/>
    <x v="1"/>
    <x v="1"/>
    <s v="Compétition Oficielle Court-métrage - Homme"/>
    <m/>
    <x v="423"/>
    <x v="0"/>
    <m/>
    <x v="1"/>
    <x v="4"/>
    <x v="854"/>
    <x v="2"/>
    <x v="515"/>
    <x v="0"/>
    <x v="245"/>
    <x v="4309"/>
  </r>
  <r>
    <x v="1"/>
    <n v="1235"/>
    <x v="851"/>
    <x v="2"/>
    <s v="CM"/>
    <s v="S"/>
    <x v="73"/>
    <x v="5"/>
    <x v="486"/>
    <m/>
    <x v="294"/>
    <m/>
    <x v="10"/>
    <x v="0"/>
    <x v="317"/>
    <d v="2012-03-07T00:00:00"/>
    <x v="2"/>
    <x v="1"/>
    <s v="Competition Short 1"/>
    <m/>
    <x v="0"/>
    <x v="0"/>
    <m/>
    <x v="0"/>
    <x v="4"/>
    <x v="854"/>
    <x v="10"/>
    <x v="0"/>
    <x v="0"/>
    <x v="317"/>
    <x v="4310"/>
  </r>
  <r>
    <x v="1"/>
    <n v="1235"/>
    <x v="851"/>
    <x v="2"/>
    <s v="CM"/>
    <s v="S"/>
    <x v="73"/>
    <x v="5"/>
    <x v="622"/>
    <m/>
    <x v="65"/>
    <m/>
    <x v="9"/>
    <x v="0"/>
    <x v="344"/>
    <d v="2012-03-25T00:00:00"/>
    <x v="2"/>
    <x v="1"/>
    <m/>
    <m/>
    <x v="0"/>
    <x v="0"/>
    <m/>
    <x v="0"/>
    <x v="4"/>
    <x v="854"/>
    <x v="9"/>
    <x v="0"/>
    <x v="0"/>
    <x v="344"/>
    <x v="4311"/>
  </r>
  <r>
    <x v="1"/>
    <n v="1235"/>
    <x v="851"/>
    <x v="2"/>
    <s v="CM"/>
    <s v="S"/>
    <x v="73"/>
    <x v="5"/>
    <x v="744"/>
    <m/>
    <x v="373"/>
    <m/>
    <x v="1"/>
    <x v="0"/>
    <x v="468"/>
    <d v="2012-03-10T00:00:00"/>
    <x v="2"/>
    <x v="1"/>
    <s v="Cortometrajes "/>
    <m/>
    <x v="424"/>
    <x v="0"/>
    <m/>
    <x v="1"/>
    <x v="4"/>
    <x v="854"/>
    <x v="1"/>
    <x v="516"/>
    <x v="0"/>
    <x v="468"/>
    <x v="4312"/>
  </r>
  <r>
    <x v="1"/>
    <n v="1235"/>
    <x v="851"/>
    <x v="2"/>
    <s v="CM"/>
    <s v="S"/>
    <x v="73"/>
    <x v="5"/>
    <x v="427"/>
    <m/>
    <x v="275"/>
    <m/>
    <x v="65"/>
    <x v="0"/>
    <x v="259"/>
    <d v="2012-03-11T00:00:00"/>
    <x v="2"/>
    <x v="0"/>
    <m/>
    <s v="Portugal2"/>
    <x v="0"/>
    <x v="0"/>
    <m/>
    <x v="0"/>
    <x v="4"/>
    <x v="854"/>
    <x v="65"/>
    <x v="0"/>
    <x v="0"/>
    <x v="259"/>
    <x v="4313"/>
  </r>
  <r>
    <x v="1"/>
    <n v="1235"/>
    <x v="851"/>
    <x v="2"/>
    <s v="CM"/>
    <s v="S"/>
    <x v="73"/>
    <x v="5"/>
    <x v="818"/>
    <m/>
    <x v="404"/>
    <m/>
    <x v="56"/>
    <x v="0"/>
    <x v="353"/>
    <d v="2012-03-18T00:00:00"/>
    <x v="2"/>
    <x v="0"/>
    <m/>
    <s v="International Panorama - Best of the World 3"/>
    <x v="0"/>
    <x v="0"/>
    <m/>
    <x v="0"/>
    <x v="4"/>
    <x v="854"/>
    <x v="56"/>
    <x v="0"/>
    <x v="0"/>
    <x v="353"/>
    <x v="4314"/>
  </r>
  <r>
    <x v="1"/>
    <n v="1235"/>
    <x v="851"/>
    <x v="2"/>
    <s v="CM"/>
    <s v="S"/>
    <x v="73"/>
    <x v="5"/>
    <x v="671"/>
    <m/>
    <x v="65"/>
    <m/>
    <x v="9"/>
    <x v="0"/>
    <x v="256"/>
    <m/>
    <x v="2"/>
    <x v="0"/>
    <m/>
    <m/>
    <x v="0"/>
    <x v="0"/>
    <m/>
    <x v="0"/>
    <x v="4"/>
    <x v="854"/>
    <x v="9"/>
    <x v="0"/>
    <x v="0"/>
    <x v="256"/>
    <x v="4315"/>
  </r>
  <r>
    <x v="1"/>
    <n v="1235"/>
    <x v="851"/>
    <x v="2"/>
    <s v="CM"/>
    <s v="S"/>
    <x v="73"/>
    <x v="5"/>
    <x v="26"/>
    <m/>
    <x v="24"/>
    <m/>
    <x v="3"/>
    <x v="0"/>
    <x v="268"/>
    <d v="2012-03-25T00:00:00"/>
    <x v="2"/>
    <x v="1"/>
    <s v="Competição Internacional 3"/>
    <m/>
    <x v="425"/>
    <x v="0"/>
    <m/>
    <x v="1"/>
    <x v="4"/>
    <x v="854"/>
    <x v="3"/>
    <x v="517"/>
    <x v="1"/>
    <x v="268"/>
    <x v="4316"/>
  </r>
  <r>
    <x v="1"/>
    <n v="1235"/>
    <x v="851"/>
    <x v="2"/>
    <s v="CM"/>
    <s v="S"/>
    <x v="73"/>
    <x v="5"/>
    <x v="200"/>
    <m/>
    <x v="145"/>
    <m/>
    <x v="2"/>
    <x v="0"/>
    <x v="332"/>
    <d v="2012-03-25T00:00:00"/>
    <x v="2"/>
    <x v="1"/>
    <s v="Compétition Internationale 2"/>
    <m/>
    <x v="0"/>
    <x v="0"/>
    <m/>
    <x v="0"/>
    <x v="4"/>
    <x v="854"/>
    <x v="2"/>
    <x v="0"/>
    <x v="0"/>
    <x v="332"/>
    <x v="4317"/>
  </r>
  <r>
    <x v="1"/>
    <n v="1235"/>
    <x v="851"/>
    <x v="2"/>
    <s v="CM"/>
    <s v="S"/>
    <x v="73"/>
    <x v="5"/>
    <x v="488"/>
    <m/>
    <x v="296"/>
    <m/>
    <x v="1"/>
    <x v="0"/>
    <x v="329"/>
    <d v="2012-04-14T00:00:00"/>
    <x v="5"/>
    <x v="1"/>
    <s v="Competición de Cortometrajes"/>
    <m/>
    <x v="0"/>
    <x v="0"/>
    <m/>
    <x v="0"/>
    <x v="4"/>
    <x v="854"/>
    <x v="1"/>
    <x v="0"/>
    <x v="0"/>
    <x v="329"/>
    <x v="4318"/>
  </r>
  <r>
    <x v="1"/>
    <n v="1235"/>
    <x v="851"/>
    <x v="2"/>
    <s v="CM"/>
    <s v="S"/>
    <x v="73"/>
    <x v="5"/>
    <x v="432"/>
    <m/>
    <x v="39"/>
    <m/>
    <x v="3"/>
    <x v="0"/>
    <x v="265"/>
    <d v="2012-04-21T00:00:00"/>
    <x v="5"/>
    <x v="1"/>
    <s v="Competição Nacional"/>
    <m/>
    <x v="426"/>
    <x v="0"/>
    <m/>
    <x v="1"/>
    <x v="4"/>
    <x v="854"/>
    <x v="3"/>
    <x v="518"/>
    <x v="1"/>
    <x v="265"/>
    <x v="4319"/>
  </r>
  <r>
    <x v="1"/>
    <n v="1235"/>
    <x v="851"/>
    <x v="2"/>
    <s v="CM"/>
    <s v="S"/>
    <x v="73"/>
    <x v="5"/>
    <x v="428"/>
    <m/>
    <x v="24"/>
    <m/>
    <x v="3"/>
    <x v="0"/>
    <x v="260"/>
    <d v="2012-04-19T00:00:00"/>
    <x v="5"/>
    <x v="0"/>
    <m/>
    <m/>
    <x v="0"/>
    <x v="1"/>
    <m/>
    <x v="0"/>
    <x v="4"/>
    <x v="854"/>
    <x v="3"/>
    <x v="0"/>
    <x v="1"/>
    <x v="260"/>
    <x v="4320"/>
  </r>
  <r>
    <x v="1"/>
    <n v="1235"/>
    <x v="851"/>
    <x v="2"/>
    <s v="CM"/>
    <s v="S"/>
    <x v="73"/>
    <x v="5"/>
    <x v="555"/>
    <m/>
    <x v="317"/>
    <m/>
    <x v="8"/>
    <x v="0"/>
    <x v="358"/>
    <d v="2012-04-29T00:00:00"/>
    <x v="5"/>
    <x v="0"/>
    <m/>
    <s v="Sessão IBERIA ANIMA-TE"/>
    <x v="0"/>
    <x v="0"/>
    <m/>
    <x v="0"/>
    <x v="4"/>
    <x v="854"/>
    <x v="8"/>
    <x v="0"/>
    <x v="0"/>
    <x v="358"/>
    <x v="4321"/>
  </r>
  <r>
    <x v="1"/>
    <n v="1235"/>
    <x v="851"/>
    <x v="2"/>
    <s v="CM"/>
    <s v="S"/>
    <x v="73"/>
    <x v="5"/>
    <x v="788"/>
    <m/>
    <x v="389"/>
    <m/>
    <x v="35"/>
    <x v="0"/>
    <x v="442"/>
    <d v="2012-04-28T00:00:00"/>
    <x v="5"/>
    <x v="0"/>
    <m/>
    <s v="It's animated!"/>
    <x v="0"/>
    <x v="0"/>
    <m/>
    <x v="0"/>
    <x v="4"/>
    <x v="854"/>
    <x v="35"/>
    <x v="0"/>
    <x v="0"/>
    <x v="442"/>
    <x v="4322"/>
  </r>
  <r>
    <x v="1"/>
    <n v="1235"/>
    <x v="851"/>
    <x v="2"/>
    <s v="CM"/>
    <s v="S"/>
    <x v="73"/>
    <x v="5"/>
    <x v="407"/>
    <m/>
    <x v="154"/>
    <m/>
    <x v="0"/>
    <x v="0"/>
    <x v="237"/>
    <d v="2012-07-08T00:00:00"/>
    <x v="17"/>
    <x v="0"/>
    <m/>
    <m/>
    <x v="0"/>
    <x v="1"/>
    <m/>
    <x v="0"/>
    <x v="4"/>
    <x v="854"/>
    <x v="0"/>
    <x v="0"/>
    <x v="0"/>
    <x v="237"/>
    <x v="4323"/>
  </r>
  <r>
    <x v="1"/>
    <n v="1235"/>
    <x v="851"/>
    <x v="2"/>
    <s v="CM"/>
    <s v="S"/>
    <x v="73"/>
    <x v="5"/>
    <x v="68"/>
    <m/>
    <x v="53"/>
    <m/>
    <x v="3"/>
    <x v="0"/>
    <x v="253"/>
    <d v="2012-07-15T00:00:00"/>
    <x v="8"/>
    <x v="0"/>
    <m/>
    <s v="20 anos: Premiados"/>
    <x v="0"/>
    <x v="0"/>
    <m/>
    <x v="0"/>
    <x v="4"/>
    <x v="854"/>
    <x v="3"/>
    <x v="0"/>
    <x v="1"/>
    <x v="253"/>
    <x v="4324"/>
  </r>
  <r>
    <x v="1"/>
    <n v="1447"/>
    <x v="1591"/>
    <x v="1"/>
    <s v="CM"/>
    <s v=""/>
    <x v="401"/>
    <x v="13"/>
    <x v="25"/>
    <m/>
    <x v="24"/>
    <m/>
    <x v="3"/>
    <x v="0"/>
    <x v="294"/>
    <d v="2012-10-28T00:00:00"/>
    <x v="14"/>
    <x v="0"/>
    <m/>
    <s v="Sessões Especiais"/>
    <x v="0"/>
    <x v="0"/>
    <m/>
    <x v="0"/>
    <x v="2"/>
    <x v="1603"/>
    <x v="3"/>
    <x v="0"/>
    <x v="1"/>
    <x v="294"/>
    <x v="4325"/>
  </r>
  <r>
    <x v="1"/>
    <n v="1447"/>
    <x v="1591"/>
    <x v="1"/>
    <s v="CM"/>
    <s v=""/>
    <x v="401"/>
    <x v="13"/>
    <x v="80"/>
    <m/>
    <x v="60"/>
    <m/>
    <x v="3"/>
    <x v="0"/>
    <x v="251"/>
    <d v="2012-11-18T00:00:00"/>
    <x v="13"/>
    <x v="0"/>
    <m/>
    <s v="Homenagens: João Pedro Rodrigues e João Rui Guerra da Mata"/>
    <x v="0"/>
    <x v="0"/>
    <m/>
    <x v="0"/>
    <x v="2"/>
    <x v="1603"/>
    <x v="3"/>
    <x v="0"/>
    <x v="1"/>
    <x v="251"/>
    <x v="4326"/>
  </r>
  <r>
    <x v="1"/>
    <n v="1236"/>
    <x v="1592"/>
    <x v="0"/>
    <s v="LM"/>
    <s v=""/>
    <x v="1044"/>
    <x v="39"/>
    <x v="469"/>
    <m/>
    <x v="24"/>
    <m/>
    <x v="3"/>
    <x v="0"/>
    <x v="243"/>
    <d v="2012-06-17T00:00:00"/>
    <x v="7"/>
    <x v="0"/>
    <m/>
    <m/>
    <x v="0"/>
    <x v="1"/>
    <m/>
    <x v="0"/>
    <x v="5"/>
    <x v="1604"/>
    <x v="3"/>
    <x v="0"/>
    <x v="1"/>
    <x v="243"/>
    <x v="4327"/>
  </r>
  <r>
    <x v="1"/>
    <n v="1236"/>
    <x v="1592"/>
    <x v="0"/>
    <s v="LM"/>
    <s v=""/>
    <x v="1044"/>
    <x v="39"/>
    <x v="413"/>
    <m/>
    <x v="270"/>
    <m/>
    <x v="3"/>
    <x v="0"/>
    <x v="243"/>
    <d v="2012-06-03T00:00:00"/>
    <x v="7"/>
    <x v="0"/>
    <m/>
    <s v="Retrospectivas do Cinema em Português"/>
    <x v="0"/>
    <x v="0"/>
    <m/>
    <x v="0"/>
    <x v="5"/>
    <x v="1604"/>
    <x v="3"/>
    <x v="0"/>
    <x v="1"/>
    <x v="243"/>
    <x v="4328"/>
  </r>
  <r>
    <x v="1"/>
    <n v="1237"/>
    <x v="852"/>
    <x v="0"/>
    <s v="LM"/>
    <s v="S"/>
    <x v="25"/>
    <x v="3"/>
    <x v="55"/>
    <m/>
    <x v="45"/>
    <m/>
    <x v="3"/>
    <x v="0"/>
    <x v="322"/>
    <d v="2012-02-01T00:00:00"/>
    <x v="18"/>
    <x v="0"/>
    <m/>
    <s v="15º Programa: As Escolhas de Sérgio Tréfaut"/>
    <x v="0"/>
    <x v="1"/>
    <m/>
    <x v="0"/>
    <x v="5"/>
    <x v="855"/>
    <x v="3"/>
    <x v="0"/>
    <x v="1"/>
    <x v="322"/>
    <x v="4329"/>
  </r>
  <r>
    <x v="1"/>
    <n v="1237"/>
    <x v="852"/>
    <x v="0"/>
    <s v="LM"/>
    <s v="S"/>
    <x v="25"/>
    <x v="3"/>
    <x v="819"/>
    <m/>
    <x v="405"/>
    <m/>
    <x v="64"/>
    <x v="0"/>
    <x v="403"/>
    <d v="2012-03-01T00:00:00"/>
    <x v="19"/>
    <x v="1"/>
    <s v="International Competition"/>
    <m/>
    <x v="427"/>
    <x v="0"/>
    <m/>
    <x v="1"/>
    <x v="5"/>
    <x v="855"/>
    <x v="64"/>
    <x v="519"/>
    <x v="0"/>
    <x v="403"/>
    <x v="4330"/>
  </r>
  <r>
    <x v="1"/>
    <n v="1237"/>
    <x v="852"/>
    <x v="0"/>
    <s v="LM"/>
    <s v="S"/>
    <x v="25"/>
    <x v="3"/>
    <x v="538"/>
    <m/>
    <x v="315"/>
    <m/>
    <x v="3"/>
    <x v="0"/>
    <x v="372"/>
    <m/>
    <x v="2"/>
    <x v="0"/>
    <m/>
    <m/>
    <x v="0"/>
    <x v="1"/>
    <m/>
    <x v="0"/>
    <x v="5"/>
    <x v="855"/>
    <x v="3"/>
    <x v="0"/>
    <x v="1"/>
    <x v="372"/>
    <x v="4331"/>
  </r>
  <r>
    <x v="1"/>
    <n v="1237"/>
    <x v="852"/>
    <x v="0"/>
    <s v="LM"/>
    <s v="S"/>
    <x v="25"/>
    <x v="3"/>
    <x v="669"/>
    <m/>
    <x v="190"/>
    <m/>
    <x v="0"/>
    <x v="0"/>
    <x v="407"/>
    <d v="2012-06-04T00:00:00"/>
    <x v="22"/>
    <x v="1"/>
    <s v="Outros Olhares"/>
    <m/>
    <x v="0"/>
    <x v="0"/>
    <m/>
    <x v="0"/>
    <x v="5"/>
    <x v="855"/>
    <x v="0"/>
    <x v="0"/>
    <x v="0"/>
    <x v="407"/>
    <x v="4332"/>
  </r>
  <r>
    <x v="1"/>
    <n v="1237"/>
    <x v="852"/>
    <x v="0"/>
    <s v="LM"/>
    <s v="S"/>
    <x v="25"/>
    <x v="3"/>
    <x v="407"/>
    <m/>
    <x v="154"/>
    <m/>
    <x v="0"/>
    <x v="0"/>
    <x v="237"/>
    <d v="2012-07-08T00:00:00"/>
    <x v="17"/>
    <x v="0"/>
    <m/>
    <m/>
    <x v="0"/>
    <x v="1"/>
    <m/>
    <x v="0"/>
    <x v="5"/>
    <x v="855"/>
    <x v="0"/>
    <x v="0"/>
    <x v="0"/>
    <x v="237"/>
    <x v="4333"/>
  </r>
  <r>
    <x v="1"/>
    <n v="1237"/>
    <x v="852"/>
    <x v="0"/>
    <s v="LM"/>
    <s v="S"/>
    <x v="25"/>
    <x v="3"/>
    <x v="584"/>
    <m/>
    <x v="24"/>
    <m/>
    <x v="3"/>
    <x v="0"/>
    <x v="337"/>
    <d v="2012-10-14T00:00:00"/>
    <x v="14"/>
    <x v="0"/>
    <m/>
    <s v="Maria de Medeiros/A Madrinha"/>
    <x v="0"/>
    <x v="1"/>
    <m/>
    <x v="0"/>
    <x v="5"/>
    <x v="855"/>
    <x v="3"/>
    <x v="0"/>
    <x v="1"/>
    <x v="337"/>
    <x v="4334"/>
  </r>
  <r>
    <x v="1"/>
    <n v="1237"/>
    <x v="852"/>
    <x v="0"/>
    <s v="LM"/>
    <s v="S"/>
    <x v="25"/>
    <x v="3"/>
    <x v="557"/>
    <m/>
    <x v="20"/>
    <m/>
    <x v="5"/>
    <x v="0"/>
    <x v="374"/>
    <d v="2012-11-17T00:00:00"/>
    <x v="0"/>
    <x v="0"/>
    <m/>
    <m/>
    <x v="0"/>
    <x v="1"/>
    <m/>
    <x v="0"/>
    <x v="5"/>
    <x v="855"/>
    <x v="5"/>
    <x v="0"/>
    <x v="0"/>
    <x v="374"/>
    <x v="4335"/>
  </r>
  <r>
    <x v="1"/>
    <n v="1237"/>
    <x v="852"/>
    <x v="0"/>
    <s v="LM"/>
    <s v="S"/>
    <x v="25"/>
    <x v="3"/>
    <x v="161"/>
    <m/>
    <x v="35"/>
    <m/>
    <x v="2"/>
    <x v="0"/>
    <x v="252"/>
    <d v="2012-11-03T00:00:00"/>
    <x v="0"/>
    <x v="0"/>
    <m/>
    <s v="Longs métrages panorama"/>
    <x v="0"/>
    <x v="0"/>
    <m/>
    <x v="0"/>
    <x v="5"/>
    <x v="855"/>
    <x v="2"/>
    <x v="0"/>
    <x v="0"/>
    <x v="252"/>
    <x v="4336"/>
  </r>
  <r>
    <x v="1"/>
    <n v="1237"/>
    <x v="852"/>
    <x v="0"/>
    <s v="LM"/>
    <s v="S"/>
    <x v="25"/>
    <x v="3"/>
    <x v="151"/>
    <m/>
    <x v="116"/>
    <m/>
    <x v="1"/>
    <x v="0"/>
    <x v="354"/>
    <d v="2012-11-24T00:00:00"/>
    <x v="13"/>
    <x v="1"/>
    <s v="Rellumes"/>
    <m/>
    <x v="428"/>
    <x v="0"/>
    <m/>
    <x v="1"/>
    <x v="5"/>
    <x v="855"/>
    <x v="1"/>
    <x v="520"/>
    <x v="0"/>
    <x v="354"/>
    <x v="4337"/>
  </r>
  <r>
    <x v="1"/>
    <n v="1240"/>
    <x v="855"/>
    <x v="1"/>
    <s v="CM"/>
    <s v="S"/>
    <x v="580"/>
    <x v="2"/>
    <x v="489"/>
    <m/>
    <x v="297"/>
    <m/>
    <x v="3"/>
    <x v="0"/>
    <x v="267"/>
    <d v="2012-11-17T00:00:00"/>
    <x v="13"/>
    <x v="1"/>
    <s v="Memórias, Gestos e Espaços"/>
    <m/>
    <x v="429"/>
    <x v="0"/>
    <m/>
    <x v="1"/>
    <x v="2"/>
    <x v="858"/>
    <x v="3"/>
    <x v="521"/>
    <x v="1"/>
    <x v="267"/>
    <x v="4338"/>
  </r>
  <r>
    <x v="1"/>
    <n v="1241"/>
    <x v="1593"/>
    <x v="1"/>
    <s v="CM"/>
    <s v="N"/>
    <x v="1045"/>
    <x v="2"/>
    <x v="514"/>
    <m/>
    <x v="99"/>
    <m/>
    <x v="3"/>
    <x v="0"/>
    <x v="360"/>
    <d v="2012-05-13T00:00:00"/>
    <x v="6"/>
    <x v="0"/>
    <m/>
    <s v="Sessão de Abertura: Abrir a Memória"/>
    <x v="0"/>
    <x v="0"/>
    <m/>
    <x v="0"/>
    <x v="2"/>
    <x v="1605"/>
    <x v="3"/>
    <x v="0"/>
    <x v="1"/>
    <x v="360"/>
    <x v="4339"/>
  </r>
  <r>
    <x v="1"/>
    <n v="1242"/>
    <x v="1594"/>
    <x v="1"/>
    <s v="CM"/>
    <s v="N"/>
    <x v="1046"/>
    <x v="2"/>
    <x v="514"/>
    <m/>
    <x v="99"/>
    <m/>
    <x v="3"/>
    <x v="0"/>
    <x v="360"/>
    <d v="2012-05-13T00:00:00"/>
    <x v="6"/>
    <x v="0"/>
    <m/>
    <s v="Sessão de Abertura: Abrir a Memória"/>
    <x v="0"/>
    <x v="0"/>
    <m/>
    <x v="0"/>
    <x v="2"/>
    <x v="1606"/>
    <x v="3"/>
    <x v="0"/>
    <x v="1"/>
    <x v="360"/>
    <x v="4340"/>
  </r>
  <r>
    <x v="1"/>
    <n v="1244"/>
    <x v="857"/>
    <x v="0"/>
    <s v="CM"/>
    <s v="N"/>
    <x v="9"/>
    <x v="5"/>
    <x v="820"/>
    <m/>
    <x v="406"/>
    <m/>
    <x v="15"/>
    <x v="0"/>
    <x v="316"/>
    <d v="2012-01-08T00:00:00"/>
    <x v="15"/>
    <x v="1"/>
    <m/>
    <m/>
    <x v="0"/>
    <x v="0"/>
    <m/>
    <x v="0"/>
    <x v="0"/>
    <x v="860"/>
    <x v="15"/>
    <x v="0"/>
    <x v="0"/>
    <x v="316"/>
    <x v="4341"/>
  </r>
  <r>
    <x v="1"/>
    <n v="1244"/>
    <x v="857"/>
    <x v="0"/>
    <s v="CM"/>
    <s v="N"/>
    <x v="9"/>
    <x v="5"/>
    <x v="713"/>
    <m/>
    <x v="15"/>
    <m/>
    <x v="3"/>
    <x v="0"/>
    <x v="431"/>
    <d v="2012-02-28T00:00:00"/>
    <x v="18"/>
    <x v="0"/>
    <m/>
    <m/>
    <x v="0"/>
    <x v="1"/>
    <m/>
    <x v="0"/>
    <x v="0"/>
    <x v="860"/>
    <x v="3"/>
    <x v="0"/>
    <x v="1"/>
    <x v="431"/>
    <x v="4342"/>
  </r>
  <r>
    <x v="1"/>
    <n v="1244"/>
    <x v="857"/>
    <x v="0"/>
    <s v="CM"/>
    <s v="N"/>
    <x v="9"/>
    <x v="5"/>
    <x v="455"/>
    <m/>
    <x v="24"/>
    <m/>
    <x v="3"/>
    <x v="0"/>
    <x v="299"/>
    <m/>
    <x v="1"/>
    <x v="0"/>
    <m/>
    <m/>
    <x v="0"/>
    <x v="1"/>
    <m/>
    <x v="0"/>
    <x v="0"/>
    <x v="860"/>
    <x v="3"/>
    <x v="0"/>
    <x v="1"/>
    <x v="299"/>
    <x v="4343"/>
  </r>
  <r>
    <x v="1"/>
    <n v="1244"/>
    <x v="857"/>
    <x v="0"/>
    <s v="CM"/>
    <s v="N"/>
    <x v="9"/>
    <x v="5"/>
    <x v="428"/>
    <m/>
    <x v="24"/>
    <m/>
    <x v="3"/>
    <x v="0"/>
    <x v="260"/>
    <d v="2012-04-19T00:00:00"/>
    <x v="5"/>
    <x v="0"/>
    <m/>
    <m/>
    <x v="0"/>
    <x v="1"/>
    <m/>
    <x v="0"/>
    <x v="0"/>
    <x v="860"/>
    <x v="3"/>
    <x v="0"/>
    <x v="1"/>
    <x v="260"/>
    <x v="4344"/>
  </r>
  <r>
    <x v="1"/>
    <n v="1244"/>
    <x v="857"/>
    <x v="0"/>
    <s v="CM"/>
    <s v="N"/>
    <x v="9"/>
    <x v="5"/>
    <x v="411"/>
    <m/>
    <x v="268"/>
    <m/>
    <x v="0"/>
    <x v="0"/>
    <x v="241"/>
    <d v="2012-05-18T00:00:00"/>
    <x v="6"/>
    <x v="0"/>
    <m/>
    <s v="Mostra dos Festivais - FIKE"/>
    <x v="0"/>
    <x v="0"/>
    <m/>
    <x v="0"/>
    <x v="0"/>
    <x v="860"/>
    <x v="0"/>
    <x v="0"/>
    <x v="0"/>
    <x v="241"/>
    <x v="4345"/>
  </r>
  <r>
    <x v="1"/>
    <n v="1244"/>
    <x v="857"/>
    <x v="0"/>
    <s v="CM"/>
    <s v="N"/>
    <x v="9"/>
    <x v="5"/>
    <x v="722"/>
    <m/>
    <x v="366"/>
    <m/>
    <x v="35"/>
    <x v="0"/>
    <x v="406"/>
    <d v="2012-06-16T00:00:00"/>
    <x v="7"/>
    <x v="1"/>
    <s v="Wettbewerb"/>
    <m/>
    <x v="0"/>
    <x v="0"/>
    <m/>
    <x v="0"/>
    <x v="0"/>
    <x v="860"/>
    <x v="35"/>
    <x v="0"/>
    <x v="0"/>
    <x v="406"/>
    <x v="4346"/>
  </r>
  <r>
    <x v="1"/>
    <n v="1244"/>
    <x v="857"/>
    <x v="0"/>
    <s v="CM"/>
    <s v="N"/>
    <x v="9"/>
    <x v="5"/>
    <x v="695"/>
    <m/>
    <x v="358"/>
    <m/>
    <x v="68"/>
    <x v="0"/>
    <x v="349"/>
    <d v="2012-09-23T00:00:00"/>
    <x v="9"/>
    <x v="1"/>
    <s v="DAAZO:COM Short Features and Experimental Films"/>
    <m/>
    <x v="0"/>
    <x v="0"/>
    <m/>
    <x v="0"/>
    <x v="0"/>
    <x v="860"/>
    <x v="68"/>
    <x v="0"/>
    <x v="0"/>
    <x v="349"/>
    <x v="4347"/>
  </r>
  <r>
    <x v="1"/>
    <n v="1244"/>
    <x v="857"/>
    <x v="0"/>
    <s v="CM"/>
    <s v="N"/>
    <x v="9"/>
    <x v="5"/>
    <x v="821"/>
    <m/>
    <x v="58"/>
    <m/>
    <x v="17"/>
    <x v="0"/>
    <x v="494"/>
    <m/>
    <x v="9"/>
    <x v="0"/>
    <m/>
    <s v="Guest Short"/>
    <x v="0"/>
    <x v="1"/>
    <m/>
    <x v="0"/>
    <x v="0"/>
    <x v="860"/>
    <x v="17"/>
    <x v="0"/>
    <x v="0"/>
    <x v="494"/>
    <x v="4348"/>
  </r>
  <r>
    <x v="1"/>
    <n v="1245"/>
    <x v="1595"/>
    <x v="2"/>
    <s v="CM"/>
    <s v="N"/>
    <x v="365"/>
    <x v="2"/>
    <x v="67"/>
    <m/>
    <x v="23"/>
    <m/>
    <x v="3"/>
    <x v="0"/>
    <x v="264"/>
    <d v="2012-06-17T00:00:00"/>
    <x v="7"/>
    <x v="1"/>
    <s v="Curtas Animação"/>
    <m/>
    <x v="0"/>
    <x v="0"/>
    <m/>
    <x v="0"/>
    <x v="4"/>
    <x v="1607"/>
    <x v="3"/>
    <x v="0"/>
    <x v="1"/>
    <x v="264"/>
    <x v="4349"/>
  </r>
  <r>
    <x v="1"/>
    <n v="1248"/>
    <x v="860"/>
    <x v="1"/>
    <s v="CM"/>
    <s v="N"/>
    <x v="583"/>
    <x v="2"/>
    <x v="724"/>
    <m/>
    <x v="367"/>
    <m/>
    <x v="3"/>
    <x v="0"/>
    <x v="312"/>
    <d v="2012-09-29T00:00:00"/>
    <x v="9"/>
    <x v="1"/>
    <s v="Curtas da Casa"/>
    <m/>
    <x v="0"/>
    <x v="0"/>
    <m/>
    <x v="0"/>
    <x v="2"/>
    <x v="863"/>
    <x v="3"/>
    <x v="0"/>
    <x v="1"/>
    <x v="312"/>
    <x v="4350"/>
  </r>
  <r>
    <x v="1"/>
    <n v="1249"/>
    <x v="1596"/>
    <x v="0"/>
    <s v="CM"/>
    <s v="N"/>
    <x v="1047"/>
    <x v="2"/>
    <x v="68"/>
    <m/>
    <x v="53"/>
    <m/>
    <x v="3"/>
    <x v="0"/>
    <x v="253"/>
    <d v="2012-07-15T00:00:00"/>
    <x v="8"/>
    <x v="1"/>
    <s v="15º Videorun RESTART"/>
    <m/>
    <x v="430"/>
    <x v="0"/>
    <m/>
    <x v="1"/>
    <x v="0"/>
    <x v="1608"/>
    <x v="3"/>
    <x v="522"/>
    <x v="1"/>
    <x v="253"/>
    <x v="4351"/>
  </r>
  <r>
    <x v="1"/>
    <n v="1340"/>
    <x v="1597"/>
    <x v="0"/>
    <s v="LM"/>
    <s v="S"/>
    <x v="236"/>
    <x v="41"/>
    <x v="185"/>
    <m/>
    <x v="136"/>
    <m/>
    <x v="7"/>
    <x v="0"/>
    <x v="286"/>
    <d v="2012-09-16T00:00:00"/>
    <x v="9"/>
    <x v="0"/>
    <m/>
    <s v="Contemporary World Cinema"/>
    <x v="0"/>
    <x v="0"/>
    <m/>
    <x v="0"/>
    <x v="5"/>
    <x v="1609"/>
    <x v="7"/>
    <x v="0"/>
    <x v="0"/>
    <x v="286"/>
    <x v="4352"/>
  </r>
  <r>
    <x v="1"/>
    <n v="1340"/>
    <x v="1597"/>
    <x v="0"/>
    <s v="LM"/>
    <s v="S"/>
    <x v="236"/>
    <x v="41"/>
    <x v="241"/>
    <m/>
    <x v="58"/>
    <m/>
    <x v="17"/>
    <x v="0"/>
    <x v="338"/>
    <d v="2012-10-21T00:00:00"/>
    <x v="14"/>
    <x v="0"/>
    <m/>
    <s v="Debate"/>
    <x v="0"/>
    <x v="0"/>
    <m/>
    <x v="0"/>
    <x v="5"/>
    <x v="1609"/>
    <x v="17"/>
    <x v="0"/>
    <x v="0"/>
    <x v="338"/>
    <x v="4353"/>
  </r>
  <r>
    <x v="1"/>
    <n v="1340"/>
    <x v="1597"/>
    <x v="0"/>
    <s v="LM"/>
    <s v="S"/>
    <x v="236"/>
    <x v="41"/>
    <x v="676"/>
    <m/>
    <x v="351"/>
    <m/>
    <x v="1"/>
    <x v="0"/>
    <x v="240"/>
    <d v="2012-10-20T00:00:00"/>
    <x v="14"/>
    <x v="1"/>
    <s v="El Sueño Africano: Largometrajes de ficción"/>
    <m/>
    <x v="0"/>
    <x v="0"/>
    <m/>
    <x v="0"/>
    <x v="5"/>
    <x v="1609"/>
    <x v="1"/>
    <x v="0"/>
    <x v="0"/>
    <x v="240"/>
    <x v="4354"/>
  </r>
  <r>
    <x v="1"/>
    <n v="1340"/>
    <x v="1597"/>
    <x v="0"/>
    <s v="LM"/>
    <s v="S"/>
    <x v="236"/>
    <x v="41"/>
    <x v="557"/>
    <m/>
    <x v="20"/>
    <m/>
    <x v="5"/>
    <x v="0"/>
    <x v="374"/>
    <d v="2012-11-17T00:00:00"/>
    <x v="0"/>
    <x v="0"/>
    <m/>
    <m/>
    <x v="0"/>
    <x v="1"/>
    <m/>
    <x v="0"/>
    <x v="5"/>
    <x v="1609"/>
    <x v="5"/>
    <x v="0"/>
    <x v="0"/>
    <x v="374"/>
    <x v="4355"/>
  </r>
  <r>
    <x v="1"/>
    <n v="1340"/>
    <x v="1597"/>
    <x v="0"/>
    <s v="LM"/>
    <s v="S"/>
    <x v="236"/>
    <x v="41"/>
    <x v="773"/>
    <m/>
    <x v="384"/>
    <m/>
    <x v="72"/>
    <x v="0"/>
    <x v="354"/>
    <d v="2012-11-24T00:00:00"/>
    <x v="13"/>
    <x v="1"/>
    <s v="Compétition Oficielle Long-Métrages"/>
    <m/>
    <x v="431"/>
    <x v="0"/>
    <m/>
    <x v="1"/>
    <x v="5"/>
    <x v="1609"/>
    <x v="72"/>
    <x v="523"/>
    <x v="0"/>
    <x v="354"/>
    <x v="4356"/>
  </r>
  <r>
    <x v="1"/>
    <n v="1340"/>
    <x v="1597"/>
    <x v="0"/>
    <s v="LM"/>
    <s v="S"/>
    <x v="236"/>
    <x v="41"/>
    <x v="143"/>
    <m/>
    <x v="109"/>
    <m/>
    <x v="2"/>
    <x v="0"/>
    <x v="354"/>
    <d v="2012-11-24T00:00:00"/>
    <x v="13"/>
    <x v="1"/>
    <s v="Longs Métrages"/>
    <m/>
    <x v="432"/>
    <x v="0"/>
    <m/>
    <x v="1"/>
    <x v="5"/>
    <x v="1609"/>
    <x v="2"/>
    <x v="524"/>
    <x v="0"/>
    <x v="354"/>
    <x v="4357"/>
  </r>
  <r>
    <x v="1"/>
    <n v="1251"/>
    <x v="1598"/>
    <x v="1"/>
    <s v="CM"/>
    <s v=""/>
    <x v="1048"/>
    <x v="2"/>
    <x v="55"/>
    <m/>
    <x v="45"/>
    <m/>
    <x v="3"/>
    <x v="0"/>
    <x v="259"/>
    <d v="2012-03-28T00:00:00"/>
    <x v="2"/>
    <x v="0"/>
    <m/>
    <s v="17º Programa: As Escolhas de Leonor Noivo"/>
    <x v="0"/>
    <x v="1"/>
    <m/>
    <x v="0"/>
    <x v="2"/>
    <x v="1610"/>
    <x v="3"/>
    <x v="0"/>
    <x v="1"/>
    <x v="259"/>
    <x v="4358"/>
  </r>
  <r>
    <x v="1"/>
    <n v="1391"/>
    <x v="1599"/>
    <x v="1"/>
    <s v="CM"/>
    <s v="N"/>
    <x v="893"/>
    <x v="41"/>
    <x v="88"/>
    <m/>
    <x v="67"/>
    <m/>
    <x v="3"/>
    <x v="0"/>
    <x v="262"/>
    <d v="2012-10-13T00:00:00"/>
    <x v="14"/>
    <x v="1"/>
    <s v="Competição Lusófona - Panorama Regional"/>
    <m/>
    <x v="0"/>
    <x v="0"/>
    <m/>
    <x v="0"/>
    <x v="2"/>
    <x v="1611"/>
    <x v="3"/>
    <x v="0"/>
    <x v="1"/>
    <x v="262"/>
    <x v="4359"/>
  </r>
  <r>
    <x v="1"/>
    <n v="1415"/>
    <x v="1600"/>
    <x v="1"/>
    <s v="LM"/>
    <s v=""/>
    <x v="47"/>
    <x v="41"/>
    <x v="25"/>
    <m/>
    <x v="24"/>
    <m/>
    <x v="3"/>
    <x v="0"/>
    <x v="294"/>
    <d v="2012-10-28T00:00:00"/>
    <x v="14"/>
    <x v="0"/>
    <m/>
    <s v="Heart Beat"/>
    <x v="0"/>
    <x v="0"/>
    <m/>
    <x v="0"/>
    <x v="1"/>
    <x v="1612"/>
    <x v="3"/>
    <x v="0"/>
    <x v="1"/>
    <x v="294"/>
    <x v="4360"/>
  </r>
  <r>
    <x v="1"/>
    <n v="1252"/>
    <x v="1601"/>
    <x v="0"/>
    <s v="CM"/>
    <s v="N"/>
    <x v="1049"/>
    <x v="2"/>
    <x v="580"/>
    <m/>
    <x v="15"/>
    <m/>
    <x v="3"/>
    <x v="0"/>
    <x v="393"/>
    <m/>
    <x v="7"/>
    <x v="0"/>
    <m/>
    <m/>
    <x v="0"/>
    <x v="1"/>
    <m/>
    <x v="0"/>
    <x v="0"/>
    <x v="1613"/>
    <x v="3"/>
    <x v="0"/>
    <x v="1"/>
    <x v="393"/>
    <x v="4361"/>
  </r>
  <r>
    <x v="1"/>
    <n v="1355"/>
    <x v="1602"/>
    <x v="1"/>
    <s v=""/>
    <s v="N"/>
    <x v="1050"/>
    <x v="2"/>
    <x v="822"/>
    <m/>
    <x v="407"/>
    <m/>
    <x v="3"/>
    <x v="0"/>
    <x v="303"/>
    <d v="2012-09-30T00:00:00"/>
    <x v="9"/>
    <x v="0"/>
    <m/>
    <m/>
    <x v="0"/>
    <x v="1"/>
    <m/>
    <x v="0"/>
    <x v="11"/>
    <x v="1614"/>
    <x v="3"/>
    <x v="0"/>
    <x v="1"/>
    <x v="303"/>
    <x v="4362"/>
  </r>
  <r>
    <x v="1"/>
    <n v="1254"/>
    <x v="863"/>
    <x v="0"/>
    <s v="CM"/>
    <s v="S"/>
    <x v="80"/>
    <x v="5"/>
    <x v="403"/>
    <m/>
    <x v="263"/>
    <m/>
    <x v="2"/>
    <x v="0"/>
    <x v="232"/>
    <d v="2012-04-15T00:00:00"/>
    <x v="5"/>
    <x v="0"/>
    <m/>
    <s v="Rétrospectives et Thématiques - Jeune Cinéma Portugais"/>
    <x v="0"/>
    <x v="0"/>
    <m/>
    <x v="0"/>
    <x v="0"/>
    <x v="866"/>
    <x v="2"/>
    <x v="0"/>
    <x v="0"/>
    <x v="232"/>
    <x v="4363"/>
  </r>
  <r>
    <x v="1"/>
    <n v="1257"/>
    <x v="1603"/>
    <x v="0"/>
    <s v="LM"/>
    <s v="S"/>
    <x v="20"/>
    <x v="0"/>
    <x v="447"/>
    <m/>
    <x v="185"/>
    <m/>
    <x v="0"/>
    <x v="0"/>
    <x v="288"/>
    <d v="2012-03-15T00:00:00"/>
    <x v="2"/>
    <x v="0"/>
    <m/>
    <s v="Mostra Portugal"/>
    <x v="0"/>
    <x v="0"/>
    <m/>
    <x v="0"/>
    <x v="5"/>
    <x v="1615"/>
    <x v="0"/>
    <x v="0"/>
    <x v="0"/>
    <x v="288"/>
    <x v="4364"/>
  </r>
  <r>
    <x v="1"/>
    <n v="1257"/>
    <x v="1603"/>
    <x v="0"/>
    <s v="LM"/>
    <s v="S"/>
    <x v="20"/>
    <x v="0"/>
    <x v="823"/>
    <m/>
    <x v="65"/>
    <m/>
    <x v="9"/>
    <x v="0"/>
    <x v="495"/>
    <m/>
    <x v="16"/>
    <x v="0"/>
    <m/>
    <m/>
    <x v="0"/>
    <x v="1"/>
    <m/>
    <x v="0"/>
    <x v="5"/>
    <x v="1615"/>
    <x v="9"/>
    <x v="0"/>
    <x v="0"/>
    <x v="495"/>
    <x v="4365"/>
  </r>
  <r>
    <x v="1"/>
    <n v="1259"/>
    <x v="867"/>
    <x v="1"/>
    <s v="CM"/>
    <s v="S"/>
    <x v="586"/>
    <x v="3"/>
    <x v="519"/>
    <m/>
    <x v="24"/>
    <m/>
    <x v="3"/>
    <x v="0"/>
    <x v="319"/>
    <d v="2012-04-21T00:00:00"/>
    <x v="5"/>
    <x v="0"/>
    <m/>
    <m/>
    <x v="0"/>
    <x v="1"/>
    <m/>
    <x v="0"/>
    <x v="2"/>
    <x v="870"/>
    <x v="3"/>
    <x v="0"/>
    <x v="1"/>
    <x v="319"/>
    <x v="4366"/>
  </r>
  <r>
    <x v="1"/>
    <n v="1687"/>
    <x v="1604"/>
    <x v="0"/>
    <s v="CM"/>
    <s v="N"/>
    <x v="1051"/>
    <x v="2"/>
    <x v="459"/>
    <m/>
    <x v="287"/>
    <m/>
    <x v="3"/>
    <x v="0"/>
    <x v="267"/>
    <m/>
    <x v="13"/>
    <x v="1"/>
    <m/>
    <m/>
    <x v="0"/>
    <x v="2"/>
    <m/>
    <x v="0"/>
    <x v="0"/>
    <x v="1616"/>
    <x v="3"/>
    <x v="0"/>
    <x v="1"/>
    <x v="267"/>
    <x v="4367"/>
  </r>
  <r>
    <x v="1"/>
    <n v="1260"/>
    <x v="868"/>
    <x v="0"/>
    <s v="CM"/>
    <s v="N"/>
    <x v="587"/>
    <x v="2"/>
    <x v="539"/>
    <m/>
    <x v="76"/>
    <m/>
    <x v="3"/>
    <x v="0"/>
    <x v="367"/>
    <d v="2012-05-06T00:00:00"/>
    <x v="6"/>
    <x v="1"/>
    <s v="Lusófono"/>
    <m/>
    <x v="0"/>
    <x v="0"/>
    <m/>
    <x v="0"/>
    <x v="0"/>
    <x v="871"/>
    <x v="3"/>
    <x v="0"/>
    <x v="1"/>
    <x v="367"/>
    <x v="4368"/>
  </r>
  <r>
    <x v="1"/>
    <n v="1260"/>
    <x v="868"/>
    <x v="0"/>
    <s v="CM"/>
    <s v="N"/>
    <x v="587"/>
    <x v="2"/>
    <x v="673"/>
    <m/>
    <x v="91"/>
    <m/>
    <x v="28"/>
    <x v="0"/>
    <x v="301"/>
    <d v="2012-06-16T00:00:00"/>
    <x v="7"/>
    <x v="1"/>
    <s v="Curtas-metragens"/>
    <m/>
    <x v="0"/>
    <x v="0"/>
    <m/>
    <x v="0"/>
    <x v="0"/>
    <x v="871"/>
    <x v="28"/>
    <x v="0"/>
    <x v="0"/>
    <x v="301"/>
    <x v="4369"/>
  </r>
  <r>
    <x v="1"/>
    <n v="1260"/>
    <x v="868"/>
    <x v="0"/>
    <s v="CM"/>
    <s v="N"/>
    <x v="587"/>
    <x v="2"/>
    <x v="445"/>
    <m/>
    <x v="284"/>
    <m/>
    <x v="3"/>
    <x v="0"/>
    <x v="286"/>
    <d v="2012-09-08T00:00:00"/>
    <x v="9"/>
    <x v="1"/>
    <m/>
    <m/>
    <x v="0"/>
    <x v="0"/>
    <m/>
    <x v="0"/>
    <x v="0"/>
    <x v="871"/>
    <x v="3"/>
    <x v="0"/>
    <x v="1"/>
    <x v="286"/>
    <x v="4370"/>
  </r>
  <r>
    <x v="1"/>
    <n v="1262"/>
    <x v="1605"/>
    <x v="0"/>
    <s v="CM"/>
    <s v="N"/>
    <x v="1052"/>
    <x v="2"/>
    <x v="419"/>
    <m/>
    <x v="11"/>
    <m/>
    <x v="3"/>
    <x v="0"/>
    <x v="243"/>
    <m/>
    <x v="7"/>
    <x v="0"/>
    <m/>
    <s v="Curta Convidada"/>
    <x v="0"/>
    <x v="1"/>
    <m/>
    <x v="0"/>
    <x v="0"/>
    <x v="1617"/>
    <x v="3"/>
    <x v="0"/>
    <x v="1"/>
    <x v="243"/>
    <x v="4371"/>
  </r>
  <r>
    <x v="1"/>
    <n v="1264"/>
    <x v="1606"/>
    <x v="0"/>
    <s v="CM"/>
    <s v="N"/>
    <x v="1053"/>
    <x v="2"/>
    <x v="673"/>
    <m/>
    <x v="91"/>
    <m/>
    <x v="28"/>
    <x v="0"/>
    <x v="301"/>
    <d v="2012-06-16T00:00:00"/>
    <x v="7"/>
    <x v="1"/>
    <s v="U-Can: Escola Secundária Artística António Arroio"/>
    <m/>
    <x v="0"/>
    <x v="0"/>
    <m/>
    <x v="0"/>
    <x v="0"/>
    <x v="1618"/>
    <x v="28"/>
    <x v="0"/>
    <x v="0"/>
    <x v="301"/>
    <x v="4372"/>
  </r>
  <r>
    <x v="1"/>
    <n v="1266"/>
    <x v="1607"/>
    <x v="0"/>
    <s v="CM"/>
    <s v="N"/>
    <x v="384"/>
    <x v="41"/>
    <x v="192"/>
    <m/>
    <x v="140"/>
    <m/>
    <x v="3"/>
    <x v="0"/>
    <x v="250"/>
    <d v="2012-07-29T00:00:00"/>
    <x v="8"/>
    <x v="1"/>
    <s v="Competição Internacional - Curta Metragem"/>
    <m/>
    <x v="433"/>
    <x v="0"/>
    <m/>
    <x v="1"/>
    <x v="0"/>
    <x v="1619"/>
    <x v="3"/>
    <x v="525"/>
    <x v="1"/>
    <x v="250"/>
    <x v="4373"/>
  </r>
  <r>
    <x v="1"/>
    <n v="1597"/>
    <x v="1608"/>
    <x v="1"/>
    <s v="CM"/>
    <s v="N"/>
    <x v="1054"/>
    <x v="41"/>
    <x v="22"/>
    <m/>
    <x v="22"/>
    <m/>
    <x v="3"/>
    <x v="0"/>
    <x v="251"/>
    <d v="2012-11-18T00:00:00"/>
    <x v="13"/>
    <x v="1"/>
    <s v="Ensaios Visuais"/>
    <m/>
    <x v="0"/>
    <x v="0"/>
    <m/>
    <x v="0"/>
    <x v="2"/>
    <x v="1620"/>
    <x v="3"/>
    <x v="0"/>
    <x v="1"/>
    <x v="251"/>
    <x v="4374"/>
  </r>
  <r>
    <x v="1"/>
    <n v="1267"/>
    <x v="872"/>
    <x v="0"/>
    <s v="LM"/>
    <s v="S"/>
    <x v="10"/>
    <x v="40"/>
    <x v="149"/>
    <m/>
    <x v="114"/>
    <m/>
    <x v="35"/>
    <x v="0"/>
    <x v="339"/>
    <d v="2012-11-07T00:00:00"/>
    <x v="0"/>
    <x v="0"/>
    <m/>
    <s v="In Focus: Manuel Mozos"/>
    <x v="0"/>
    <x v="0"/>
    <m/>
    <x v="0"/>
    <x v="5"/>
    <x v="875"/>
    <x v="35"/>
    <x v="0"/>
    <x v="0"/>
    <x v="339"/>
    <x v="4375"/>
  </r>
  <r>
    <x v="1"/>
    <n v="1268"/>
    <x v="873"/>
    <x v="1"/>
    <s v="CM"/>
    <s v="N"/>
    <x v="589"/>
    <x v="2"/>
    <x v="90"/>
    <m/>
    <x v="69"/>
    <m/>
    <x v="8"/>
    <x v="0"/>
    <x v="273"/>
    <d v="2012-02-05T00:00:00"/>
    <x v="18"/>
    <x v="0"/>
    <m/>
    <s v="Spectrum Shorts - Homelandsssss"/>
    <x v="0"/>
    <x v="0"/>
    <m/>
    <x v="0"/>
    <x v="2"/>
    <x v="876"/>
    <x v="8"/>
    <x v="0"/>
    <x v="0"/>
    <x v="273"/>
    <x v="4376"/>
  </r>
  <r>
    <x v="1"/>
    <n v="1268"/>
    <x v="873"/>
    <x v="1"/>
    <s v="CM"/>
    <s v="N"/>
    <x v="589"/>
    <x v="2"/>
    <x v="425"/>
    <m/>
    <x v="269"/>
    <m/>
    <x v="3"/>
    <x v="0"/>
    <x v="256"/>
    <d v="2012-03-17T00:00:00"/>
    <x v="2"/>
    <x v="0"/>
    <m/>
    <m/>
    <x v="0"/>
    <x v="3"/>
    <m/>
    <x v="0"/>
    <x v="2"/>
    <x v="876"/>
    <x v="3"/>
    <x v="0"/>
    <x v="1"/>
    <x v="256"/>
    <x v="4377"/>
  </r>
  <r>
    <x v="1"/>
    <n v="1268"/>
    <x v="873"/>
    <x v="1"/>
    <s v="CM"/>
    <s v="N"/>
    <x v="589"/>
    <x v="2"/>
    <x v="519"/>
    <m/>
    <x v="24"/>
    <m/>
    <x v="3"/>
    <x v="0"/>
    <x v="319"/>
    <d v="2012-04-21T00:00:00"/>
    <x v="5"/>
    <x v="0"/>
    <m/>
    <m/>
    <x v="0"/>
    <x v="1"/>
    <m/>
    <x v="0"/>
    <x v="2"/>
    <x v="876"/>
    <x v="3"/>
    <x v="0"/>
    <x v="1"/>
    <x v="319"/>
    <x v="4378"/>
  </r>
  <r>
    <x v="1"/>
    <n v="1268"/>
    <x v="873"/>
    <x v="1"/>
    <s v="CM"/>
    <s v="N"/>
    <x v="589"/>
    <x v="2"/>
    <x v="432"/>
    <m/>
    <x v="39"/>
    <m/>
    <x v="3"/>
    <x v="0"/>
    <x v="265"/>
    <d v="2012-04-21T00:00:00"/>
    <x v="5"/>
    <x v="1"/>
    <s v="Competição Nacional"/>
    <m/>
    <x v="434"/>
    <x v="0"/>
    <m/>
    <x v="1"/>
    <x v="2"/>
    <x v="876"/>
    <x v="3"/>
    <x v="526"/>
    <x v="1"/>
    <x v="265"/>
    <x v="4379"/>
  </r>
  <r>
    <x v="1"/>
    <n v="1268"/>
    <x v="873"/>
    <x v="1"/>
    <s v="CM"/>
    <s v="N"/>
    <x v="589"/>
    <x v="2"/>
    <x v="669"/>
    <m/>
    <x v="190"/>
    <m/>
    <x v="0"/>
    <x v="0"/>
    <x v="407"/>
    <d v="2012-06-04T00:00:00"/>
    <x v="22"/>
    <x v="1"/>
    <s v="Outros Olhares"/>
    <m/>
    <x v="6"/>
    <x v="0"/>
    <m/>
    <x v="1"/>
    <x v="2"/>
    <x v="876"/>
    <x v="0"/>
    <x v="527"/>
    <x v="0"/>
    <x v="407"/>
    <x v="4380"/>
  </r>
  <r>
    <x v="1"/>
    <n v="1268"/>
    <x v="873"/>
    <x v="1"/>
    <s v="CM"/>
    <s v="N"/>
    <x v="589"/>
    <x v="2"/>
    <x v="371"/>
    <m/>
    <x v="0"/>
    <m/>
    <x v="0"/>
    <x v="0"/>
    <x v="283"/>
    <d v="2012-07-08T00:00:00"/>
    <x v="8"/>
    <x v="1"/>
    <s v="Competição Internacional - Programa 1"/>
    <m/>
    <x v="0"/>
    <x v="0"/>
    <m/>
    <x v="0"/>
    <x v="2"/>
    <x v="876"/>
    <x v="0"/>
    <x v="0"/>
    <x v="0"/>
    <x v="283"/>
    <x v="4381"/>
  </r>
  <r>
    <x v="1"/>
    <n v="1268"/>
    <x v="873"/>
    <x v="1"/>
    <s v="CM"/>
    <s v="N"/>
    <x v="589"/>
    <x v="2"/>
    <x v="408"/>
    <m/>
    <x v="266"/>
    <m/>
    <x v="2"/>
    <x v="0"/>
    <x v="238"/>
    <d v="2012-08-25T00:00:00"/>
    <x v="16"/>
    <x v="0"/>
    <m/>
    <s v="Route du Doc: Portugal"/>
    <x v="0"/>
    <x v="1"/>
    <m/>
    <x v="0"/>
    <x v="2"/>
    <x v="876"/>
    <x v="2"/>
    <x v="0"/>
    <x v="0"/>
    <x v="238"/>
    <x v="4382"/>
  </r>
  <r>
    <x v="1"/>
    <n v="1268"/>
    <x v="873"/>
    <x v="1"/>
    <s v="CM"/>
    <s v="N"/>
    <x v="589"/>
    <x v="2"/>
    <x v="444"/>
    <m/>
    <x v="283"/>
    <m/>
    <x v="3"/>
    <x v="0"/>
    <x v="285"/>
    <d v="2012-10-17T00:00:00"/>
    <x v="14"/>
    <x v="0"/>
    <m/>
    <m/>
    <x v="0"/>
    <x v="1"/>
    <m/>
    <x v="0"/>
    <x v="2"/>
    <x v="876"/>
    <x v="3"/>
    <x v="0"/>
    <x v="1"/>
    <x v="285"/>
    <x v="4383"/>
  </r>
  <r>
    <x v="1"/>
    <n v="1268"/>
    <x v="873"/>
    <x v="1"/>
    <s v="CM"/>
    <s v="N"/>
    <x v="589"/>
    <x v="2"/>
    <x v="161"/>
    <m/>
    <x v="35"/>
    <m/>
    <x v="2"/>
    <x v="0"/>
    <x v="252"/>
    <d v="2012-11-03T00:00:00"/>
    <x v="0"/>
    <x v="1"/>
    <s v="Documentaires compétition"/>
    <m/>
    <x v="0"/>
    <x v="0"/>
    <m/>
    <x v="0"/>
    <x v="2"/>
    <x v="876"/>
    <x v="2"/>
    <x v="0"/>
    <x v="0"/>
    <x v="252"/>
    <x v="4384"/>
  </r>
  <r>
    <x v="1"/>
    <n v="1269"/>
    <x v="1609"/>
    <x v="0"/>
    <s v="CM"/>
    <s v=""/>
    <x v="1055"/>
    <x v="2"/>
    <x v="146"/>
    <m/>
    <x v="24"/>
    <m/>
    <x v="3"/>
    <x v="0"/>
    <x v="281"/>
    <d v="2012-05-06T00:00:00"/>
    <x v="4"/>
    <x v="0"/>
    <m/>
    <s v="Sessões Especiais - Novíssimos Curtas"/>
    <x v="0"/>
    <x v="0"/>
    <m/>
    <x v="0"/>
    <x v="0"/>
    <x v="1621"/>
    <x v="3"/>
    <x v="0"/>
    <x v="1"/>
    <x v="281"/>
    <x v="4385"/>
  </r>
  <r>
    <x v="1"/>
    <n v="1271"/>
    <x v="875"/>
    <x v="2"/>
    <s v="CM"/>
    <s v="S"/>
    <x v="170"/>
    <x v="2"/>
    <x v="411"/>
    <m/>
    <x v="268"/>
    <m/>
    <x v="0"/>
    <x v="0"/>
    <x v="241"/>
    <d v="2012-05-18T00:00:00"/>
    <x v="6"/>
    <x v="0"/>
    <m/>
    <m/>
    <x v="0"/>
    <x v="0"/>
    <m/>
    <x v="0"/>
    <x v="4"/>
    <x v="878"/>
    <x v="0"/>
    <x v="0"/>
    <x v="0"/>
    <x v="241"/>
    <x v="4386"/>
  </r>
  <r>
    <x v="1"/>
    <n v="1272"/>
    <x v="876"/>
    <x v="2"/>
    <s v="CM"/>
    <s v="S"/>
    <x v="300"/>
    <x v="2"/>
    <x v="664"/>
    <m/>
    <x v="124"/>
    <m/>
    <x v="3"/>
    <x v="0"/>
    <x v="328"/>
    <m/>
    <x v="9"/>
    <x v="0"/>
    <m/>
    <m/>
    <x v="0"/>
    <x v="1"/>
    <m/>
    <x v="0"/>
    <x v="4"/>
    <x v="879"/>
    <x v="3"/>
    <x v="0"/>
    <x v="1"/>
    <x v="328"/>
    <x v="4387"/>
  </r>
  <r>
    <x v="1"/>
    <n v="1272"/>
    <x v="876"/>
    <x v="2"/>
    <s v="CM"/>
    <s v="S"/>
    <x v="300"/>
    <x v="2"/>
    <x v="664"/>
    <m/>
    <x v="124"/>
    <m/>
    <x v="3"/>
    <x v="0"/>
    <x v="411"/>
    <m/>
    <x v="14"/>
    <x v="0"/>
    <m/>
    <m/>
    <x v="0"/>
    <x v="1"/>
    <m/>
    <x v="0"/>
    <x v="4"/>
    <x v="879"/>
    <x v="3"/>
    <x v="0"/>
    <x v="1"/>
    <x v="411"/>
    <x v="4388"/>
  </r>
  <r>
    <x v="1"/>
    <n v="1272"/>
    <x v="876"/>
    <x v="2"/>
    <s v="CM"/>
    <s v="S"/>
    <x v="300"/>
    <x v="2"/>
    <x v="22"/>
    <m/>
    <x v="22"/>
    <m/>
    <x v="3"/>
    <x v="0"/>
    <x v="251"/>
    <d v="2012-11-18T00:00:00"/>
    <x v="13"/>
    <x v="0"/>
    <m/>
    <s v="Caminhos Juniores"/>
    <x v="0"/>
    <x v="0"/>
    <m/>
    <x v="0"/>
    <x v="4"/>
    <x v="879"/>
    <x v="3"/>
    <x v="0"/>
    <x v="1"/>
    <x v="251"/>
    <x v="4389"/>
  </r>
  <r>
    <x v="1"/>
    <n v="1497"/>
    <x v="1610"/>
    <x v="2"/>
    <s v="CM"/>
    <s v="N"/>
    <x v="1056"/>
    <x v="41"/>
    <x v="27"/>
    <m/>
    <x v="25"/>
    <m/>
    <x v="3"/>
    <x v="0"/>
    <x v="307"/>
    <d v="2012-11-18T00:00:00"/>
    <x v="13"/>
    <x v="1"/>
    <s v="Competição Nacional: Jovem Cineasta Português (+18)"/>
    <m/>
    <x v="0"/>
    <x v="0"/>
    <m/>
    <x v="0"/>
    <x v="4"/>
    <x v="1622"/>
    <x v="3"/>
    <x v="0"/>
    <x v="1"/>
    <x v="307"/>
    <x v="4390"/>
  </r>
  <r>
    <x v="1"/>
    <n v="1275"/>
    <x v="879"/>
    <x v="0"/>
    <s v="CM"/>
    <s v="S"/>
    <x v="235"/>
    <x v="3"/>
    <x v="478"/>
    <m/>
    <x v="256"/>
    <m/>
    <x v="9"/>
    <x v="0"/>
    <x v="319"/>
    <d v="2012-04-26T00:00:00"/>
    <x v="5"/>
    <x v="0"/>
    <m/>
    <s v="Women in Film"/>
    <x v="0"/>
    <x v="0"/>
    <m/>
    <x v="0"/>
    <x v="0"/>
    <x v="882"/>
    <x v="9"/>
    <x v="0"/>
    <x v="0"/>
    <x v="319"/>
    <x v="4391"/>
  </r>
  <r>
    <x v="1"/>
    <n v="1275"/>
    <x v="879"/>
    <x v="0"/>
    <s v="CM"/>
    <s v="S"/>
    <x v="235"/>
    <x v="3"/>
    <x v="760"/>
    <m/>
    <x v="174"/>
    <m/>
    <x v="1"/>
    <x v="0"/>
    <x v="448"/>
    <d v="2012-05-22T00:00:00"/>
    <x v="6"/>
    <x v="1"/>
    <s v="Cortometrajes "/>
    <m/>
    <x v="0"/>
    <x v="0"/>
    <m/>
    <x v="0"/>
    <x v="0"/>
    <x v="882"/>
    <x v="1"/>
    <x v="0"/>
    <x v="0"/>
    <x v="448"/>
    <x v="4392"/>
  </r>
  <r>
    <x v="1"/>
    <n v="1275"/>
    <x v="879"/>
    <x v="0"/>
    <s v="CM"/>
    <s v="S"/>
    <x v="235"/>
    <x v="3"/>
    <x v="162"/>
    <m/>
    <x v="124"/>
    <m/>
    <x v="3"/>
    <x v="0"/>
    <x v="252"/>
    <m/>
    <x v="14"/>
    <x v="0"/>
    <m/>
    <m/>
    <x v="0"/>
    <x v="1"/>
    <m/>
    <x v="0"/>
    <x v="0"/>
    <x v="882"/>
    <x v="3"/>
    <x v="0"/>
    <x v="1"/>
    <x v="252"/>
    <x v="4393"/>
  </r>
  <r>
    <x v="1"/>
    <n v="1275"/>
    <x v="879"/>
    <x v="0"/>
    <s v="CM"/>
    <s v="S"/>
    <x v="235"/>
    <x v="3"/>
    <x v="22"/>
    <m/>
    <x v="22"/>
    <m/>
    <x v="3"/>
    <x v="0"/>
    <x v="251"/>
    <d v="2012-11-18T00:00:00"/>
    <x v="13"/>
    <x v="1"/>
    <s v="Secção Competitiva"/>
    <m/>
    <x v="0"/>
    <x v="0"/>
    <m/>
    <x v="0"/>
    <x v="0"/>
    <x v="882"/>
    <x v="3"/>
    <x v="0"/>
    <x v="1"/>
    <x v="251"/>
    <x v="4394"/>
  </r>
  <r>
    <x v="1"/>
    <n v="1277"/>
    <x v="1611"/>
    <x v="1"/>
    <s v="CM"/>
    <s v=""/>
    <x v="1057"/>
    <x v="3"/>
    <x v="519"/>
    <m/>
    <x v="24"/>
    <m/>
    <x v="3"/>
    <x v="0"/>
    <x v="319"/>
    <d v="2012-04-21T00:00:00"/>
    <x v="5"/>
    <x v="0"/>
    <m/>
    <m/>
    <x v="0"/>
    <x v="1"/>
    <m/>
    <x v="0"/>
    <x v="2"/>
    <x v="1623"/>
    <x v="3"/>
    <x v="0"/>
    <x v="1"/>
    <x v="319"/>
    <x v="4395"/>
  </r>
  <r>
    <x v="1"/>
    <n v="1277"/>
    <x v="1611"/>
    <x v="1"/>
    <s v="CM"/>
    <s v=""/>
    <x v="1057"/>
    <x v="3"/>
    <x v="725"/>
    <m/>
    <x v="23"/>
    <m/>
    <x v="3"/>
    <x v="0"/>
    <x v="325"/>
    <m/>
    <x v="13"/>
    <x v="1"/>
    <m/>
    <m/>
    <x v="0"/>
    <x v="1"/>
    <m/>
    <x v="0"/>
    <x v="2"/>
    <x v="1623"/>
    <x v="3"/>
    <x v="0"/>
    <x v="1"/>
    <x v="325"/>
    <x v="4396"/>
  </r>
  <r>
    <x v="1"/>
    <n v="1278"/>
    <x v="1612"/>
    <x v="0"/>
    <s v="CM"/>
    <s v="N"/>
    <x v="146"/>
    <x v="41"/>
    <x v="68"/>
    <m/>
    <x v="53"/>
    <m/>
    <x v="3"/>
    <x v="0"/>
    <x v="253"/>
    <d v="2012-07-15T00:00:00"/>
    <x v="8"/>
    <x v="1"/>
    <s v="Competição Nacional"/>
    <m/>
    <x v="0"/>
    <x v="0"/>
    <m/>
    <x v="0"/>
    <x v="0"/>
    <x v="1624"/>
    <x v="3"/>
    <x v="0"/>
    <x v="1"/>
    <x v="253"/>
    <x v="4397"/>
  </r>
  <r>
    <x v="1"/>
    <n v="1278"/>
    <x v="1612"/>
    <x v="0"/>
    <s v="CM"/>
    <s v="N"/>
    <x v="146"/>
    <x v="41"/>
    <x v="147"/>
    <m/>
    <x v="112"/>
    <m/>
    <x v="34"/>
    <x v="0"/>
    <x v="335"/>
    <d v="2012-08-11T00:00:00"/>
    <x v="16"/>
    <x v="1"/>
    <s v="Pardi di Domani: Concorso Internazionale "/>
    <m/>
    <x v="0"/>
    <x v="0"/>
    <m/>
    <x v="0"/>
    <x v="0"/>
    <x v="1624"/>
    <x v="34"/>
    <x v="0"/>
    <x v="0"/>
    <x v="335"/>
    <x v="4398"/>
  </r>
  <r>
    <x v="1"/>
    <n v="1278"/>
    <x v="1612"/>
    <x v="0"/>
    <s v="CM"/>
    <s v="N"/>
    <x v="146"/>
    <x v="41"/>
    <x v="185"/>
    <m/>
    <x v="136"/>
    <m/>
    <x v="7"/>
    <x v="0"/>
    <x v="286"/>
    <d v="2012-09-16T00:00:00"/>
    <x v="9"/>
    <x v="0"/>
    <m/>
    <s v="Wavelenghts"/>
    <x v="0"/>
    <x v="0"/>
    <m/>
    <x v="0"/>
    <x v="0"/>
    <x v="1624"/>
    <x v="7"/>
    <x v="0"/>
    <x v="0"/>
    <x v="286"/>
    <x v="4399"/>
  </r>
  <r>
    <x v="1"/>
    <n v="1278"/>
    <x v="1612"/>
    <x v="0"/>
    <s v="CM"/>
    <s v="N"/>
    <x v="146"/>
    <x v="41"/>
    <x v="241"/>
    <m/>
    <x v="58"/>
    <m/>
    <x v="17"/>
    <x v="0"/>
    <x v="338"/>
    <d v="2012-10-21T00:00:00"/>
    <x v="14"/>
    <x v="0"/>
    <m/>
    <s v="Experimenta: Rites of Passage"/>
    <x v="0"/>
    <x v="0"/>
    <m/>
    <x v="0"/>
    <x v="0"/>
    <x v="1624"/>
    <x v="17"/>
    <x v="0"/>
    <x v="0"/>
    <x v="338"/>
    <x v="4400"/>
  </r>
  <r>
    <x v="2"/>
    <n v="1650"/>
    <x v="1613"/>
    <x v="0"/>
    <s v="LM"/>
    <s v="S"/>
    <x v="39"/>
    <x v="15"/>
    <x v="369"/>
    <m/>
    <x v="175"/>
    <m/>
    <x v="3"/>
    <x v="0"/>
    <x v="496"/>
    <m/>
    <x v="1"/>
    <x v="0"/>
    <m/>
    <m/>
    <x v="0"/>
    <x v="1"/>
    <m/>
    <x v="0"/>
    <x v="5"/>
    <x v="1625"/>
    <x v="3"/>
    <x v="0"/>
    <x v="1"/>
    <x v="496"/>
    <x v="4401"/>
  </r>
  <r>
    <x v="2"/>
    <n v="1"/>
    <x v="0"/>
    <x v="0"/>
    <s v="CM"/>
    <s v="S"/>
    <x v="0"/>
    <x v="0"/>
    <x v="373"/>
    <m/>
    <x v="189"/>
    <m/>
    <x v="5"/>
    <x v="0"/>
    <x v="497"/>
    <d v="2013-04-21T00:00:00"/>
    <x v="5"/>
    <x v="0"/>
    <m/>
    <s v="Focus Portugal: Restless Future"/>
    <x v="0"/>
    <x v="0"/>
    <s v="Programa da ACM"/>
    <x v="0"/>
    <x v="0"/>
    <x v="0"/>
    <x v="5"/>
    <x v="0"/>
    <x v="0"/>
    <x v="497"/>
    <x v="4402"/>
  </r>
  <r>
    <x v="2"/>
    <n v="2"/>
    <x v="1"/>
    <x v="1"/>
    <s v="LM"/>
    <s v="S"/>
    <x v="1"/>
    <x v="1"/>
    <x v="824"/>
    <m/>
    <x v="408"/>
    <m/>
    <x v="9"/>
    <x v="0"/>
    <x v="498"/>
    <d v="2013-11-17T00:00:00"/>
    <x v="13"/>
    <x v="0"/>
    <m/>
    <m/>
    <x v="0"/>
    <x v="1"/>
    <s v="No BAM/PFA"/>
    <x v="0"/>
    <x v="1"/>
    <x v="1"/>
    <x v="9"/>
    <x v="0"/>
    <x v="0"/>
    <x v="498"/>
    <x v="4403"/>
  </r>
  <r>
    <x v="2"/>
    <n v="3"/>
    <x v="2"/>
    <x v="0"/>
    <s v="CM"/>
    <s v="N"/>
    <x v="2"/>
    <x v="1"/>
    <x v="825"/>
    <m/>
    <x v="409"/>
    <m/>
    <x v="3"/>
    <x v="0"/>
    <x v="499"/>
    <m/>
    <x v="7"/>
    <x v="1"/>
    <m/>
    <m/>
    <x v="0"/>
    <x v="0"/>
    <m/>
    <x v="0"/>
    <x v="0"/>
    <x v="2"/>
    <x v="3"/>
    <x v="0"/>
    <x v="1"/>
    <x v="499"/>
    <x v="4404"/>
  </r>
  <r>
    <x v="2"/>
    <n v="3"/>
    <x v="2"/>
    <x v="0"/>
    <s v="CM"/>
    <s v="N"/>
    <x v="2"/>
    <x v="1"/>
    <x v="316"/>
    <m/>
    <x v="11"/>
    <m/>
    <x v="3"/>
    <x v="0"/>
    <x v="500"/>
    <d v="2013-08-31T00:00:00"/>
    <x v="16"/>
    <x v="1"/>
    <s v="Ficção"/>
    <m/>
    <x v="0"/>
    <x v="0"/>
    <m/>
    <x v="0"/>
    <x v="0"/>
    <x v="2"/>
    <x v="3"/>
    <x v="0"/>
    <x v="1"/>
    <x v="500"/>
    <x v="4405"/>
  </r>
  <r>
    <x v="2"/>
    <n v="2129"/>
    <x v="1614"/>
    <x v="1"/>
    <s v="LM"/>
    <s v="N"/>
    <x v="282"/>
    <x v="52"/>
    <x v="179"/>
    <m/>
    <x v="133"/>
    <m/>
    <x v="0"/>
    <x v="0"/>
    <x v="501"/>
    <d v="2013-10-31T00:00:00"/>
    <x v="14"/>
    <x v="0"/>
    <m/>
    <s v="Apresentação Especial"/>
    <x v="0"/>
    <x v="0"/>
    <m/>
    <x v="0"/>
    <x v="1"/>
    <x v="1626"/>
    <x v="0"/>
    <x v="0"/>
    <x v="0"/>
    <x v="501"/>
    <x v="4406"/>
  </r>
  <r>
    <x v="2"/>
    <n v="2129"/>
    <x v="1614"/>
    <x v="1"/>
    <s v="LM"/>
    <s v="N"/>
    <x v="282"/>
    <x v="52"/>
    <x v="133"/>
    <m/>
    <x v="101"/>
    <m/>
    <x v="3"/>
    <x v="0"/>
    <x v="502"/>
    <d v="2013-12-08T00:00:00"/>
    <x v="12"/>
    <x v="1"/>
    <s v="Longas-Metragens - SC5"/>
    <m/>
    <x v="6"/>
    <x v="0"/>
    <m/>
    <x v="1"/>
    <x v="1"/>
    <x v="1626"/>
    <x v="3"/>
    <x v="528"/>
    <x v="1"/>
    <x v="502"/>
    <x v="4407"/>
  </r>
  <r>
    <x v="2"/>
    <n v="1705"/>
    <x v="1615"/>
    <x v="1"/>
    <s v="CM"/>
    <s v="N"/>
    <x v="1058"/>
    <x v="41"/>
    <x v="62"/>
    <m/>
    <x v="23"/>
    <m/>
    <x v="3"/>
    <x v="0"/>
    <x v="503"/>
    <d v="2013-03-10T00:00:00"/>
    <x v="19"/>
    <x v="1"/>
    <s v="Prémio de Cinema Português - Escolas de Cinema"/>
    <m/>
    <x v="0"/>
    <x v="0"/>
    <s v="ESTC"/>
    <x v="0"/>
    <x v="2"/>
    <x v="1627"/>
    <x v="3"/>
    <x v="0"/>
    <x v="1"/>
    <x v="503"/>
    <x v="4408"/>
  </r>
  <r>
    <x v="2"/>
    <n v="1705"/>
    <x v="1615"/>
    <x v="1"/>
    <s v="CM"/>
    <s v="N"/>
    <x v="1058"/>
    <x v="41"/>
    <x v="519"/>
    <m/>
    <x v="24"/>
    <m/>
    <x v="3"/>
    <x v="0"/>
    <x v="504"/>
    <d v="2013-05-11T00:00:00"/>
    <x v="6"/>
    <x v="0"/>
    <m/>
    <m/>
    <x v="0"/>
    <x v="1"/>
    <s v="ESTC"/>
    <x v="0"/>
    <x v="2"/>
    <x v="1627"/>
    <x v="3"/>
    <x v="0"/>
    <x v="1"/>
    <x v="504"/>
    <x v="4409"/>
  </r>
  <r>
    <x v="2"/>
    <n v="1705"/>
    <x v="1615"/>
    <x v="1"/>
    <s v="CM"/>
    <s v="N"/>
    <x v="1058"/>
    <x v="41"/>
    <x v="826"/>
    <m/>
    <x v="24"/>
    <m/>
    <x v="3"/>
    <x v="0"/>
    <x v="505"/>
    <d v="2013-09-29T00:00:00"/>
    <x v="9"/>
    <x v="1"/>
    <m/>
    <m/>
    <x v="435"/>
    <x v="0"/>
    <s v="ESTC"/>
    <x v="1"/>
    <x v="2"/>
    <x v="1627"/>
    <x v="3"/>
    <x v="529"/>
    <x v="1"/>
    <x v="505"/>
    <x v="4410"/>
  </r>
  <r>
    <x v="2"/>
    <n v="1813"/>
    <x v="886"/>
    <x v="0"/>
    <s v="CM"/>
    <s v="N"/>
    <x v="596"/>
    <x v="3"/>
    <x v="827"/>
    <m/>
    <x v="24"/>
    <m/>
    <x v="3"/>
    <x v="0"/>
    <x v="506"/>
    <m/>
    <x v="7"/>
    <x v="1"/>
    <m/>
    <m/>
    <x v="0"/>
    <x v="0"/>
    <m/>
    <x v="0"/>
    <x v="0"/>
    <x v="889"/>
    <x v="3"/>
    <x v="0"/>
    <x v="1"/>
    <x v="506"/>
    <x v="4411"/>
  </r>
  <r>
    <x v="2"/>
    <n v="2140"/>
    <x v="1616"/>
    <x v="3"/>
    <s v="CM"/>
    <s v="N"/>
    <x v="1059"/>
    <x v="52"/>
    <x v="454"/>
    <m/>
    <x v="15"/>
    <m/>
    <x v="3"/>
    <x v="0"/>
    <x v="334"/>
    <m/>
    <x v="8"/>
    <x v="1"/>
    <s v="Experimental"/>
    <m/>
    <x v="93"/>
    <x v="0"/>
    <m/>
    <x v="1"/>
    <x v="6"/>
    <x v="1628"/>
    <x v="3"/>
    <x v="249"/>
    <x v="1"/>
    <x v="334"/>
    <x v="4412"/>
  </r>
  <r>
    <x v="2"/>
    <n v="1320"/>
    <x v="892"/>
    <x v="1"/>
    <s v="CM"/>
    <s v="N"/>
    <x v="600"/>
    <x v="2"/>
    <x v="192"/>
    <m/>
    <x v="140"/>
    <m/>
    <x v="3"/>
    <x v="0"/>
    <x v="334"/>
    <d v="2013-07-28T00:00:00"/>
    <x v="8"/>
    <x v="0"/>
    <m/>
    <s v="Panorama Cinema Português"/>
    <x v="0"/>
    <x v="0"/>
    <m/>
    <x v="0"/>
    <x v="2"/>
    <x v="895"/>
    <x v="3"/>
    <x v="0"/>
    <x v="1"/>
    <x v="334"/>
    <x v="4413"/>
  </r>
  <r>
    <x v="2"/>
    <n v="1280"/>
    <x v="893"/>
    <x v="2"/>
    <s v="CM"/>
    <s v=""/>
    <x v="601"/>
    <x v="41"/>
    <x v="828"/>
    <m/>
    <x v="410"/>
    <m/>
    <x v="48"/>
    <x v="0"/>
    <x v="507"/>
    <d v="2013-02-06T00:00:00"/>
    <x v="18"/>
    <x v="0"/>
    <m/>
    <s v="Special Effects/Animarion"/>
    <x v="0"/>
    <x v="0"/>
    <m/>
    <x v="0"/>
    <x v="4"/>
    <x v="896"/>
    <x v="48"/>
    <x v="0"/>
    <x v="0"/>
    <x v="507"/>
    <x v="4414"/>
  </r>
  <r>
    <x v="2"/>
    <n v="1280"/>
    <x v="893"/>
    <x v="2"/>
    <s v="CM"/>
    <s v=""/>
    <x v="601"/>
    <x v="41"/>
    <x v="62"/>
    <m/>
    <x v="23"/>
    <m/>
    <x v="3"/>
    <x v="0"/>
    <x v="503"/>
    <d v="2013-03-10T00:00:00"/>
    <x v="19"/>
    <x v="0"/>
    <m/>
    <s v="FANTAS em curtas: Cineclube de Avanca"/>
    <x v="0"/>
    <x v="0"/>
    <m/>
    <x v="0"/>
    <x v="4"/>
    <x v="896"/>
    <x v="3"/>
    <x v="0"/>
    <x v="1"/>
    <x v="503"/>
    <x v="4415"/>
  </r>
  <r>
    <x v="2"/>
    <n v="1280"/>
    <x v="893"/>
    <x v="2"/>
    <s v="CM"/>
    <s v=""/>
    <x v="601"/>
    <x v="41"/>
    <x v="829"/>
    <m/>
    <x v="411"/>
    <m/>
    <x v="0"/>
    <x v="0"/>
    <x v="508"/>
    <d v="2013-06-08T00:00:00"/>
    <x v="7"/>
    <x v="1"/>
    <s v="Competição Mostra Estrangeira"/>
    <m/>
    <x v="0"/>
    <x v="0"/>
    <m/>
    <x v="0"/>
    <x v="4"/>
    <x v="896"/>
    <x v="0"/>
    <x v="0"/>
    <x v="0"/>
    <x v="508"/>
    <x v="4416"/>
  </r>
  <r>
    <x v="2"/>
    <n v="1280"/>
    <x v="893"/>
    <x v="2"/>
    <s v="CM"/>
    <s v=""/>
    <x v="601"/>
    <x v="41"/>
    <x v="830"/>
    <m/>
    <x v="412"/>
    <m/>
    <x v="0"/>
    <x v="0"/>
    <x v="509"/>
    <d v="2013-11-30T00:00:00"/>
    <x v="13"/>
    <x v="1"/>
    <s v="Mostra Internacional"/>
    <m/>
    <x v="0"/>
    <x v="0"/>
    <m/>
    <x v="0"/>
    <x v="4"/>
    <x v="896"/>
    <x v="0"/>
    <x v="0"/>
    <x v="0"/>
    <x v="509"/>
    <x v="4417"/>
  </r>
  <r>
    <x v="2"/>
    <n v="2167"/>
    <x v="1617"/>
    <x v="0"/>
    <s v="CM"/>
    <s v="N"/>
    <x v="1060"/>
    <x v="52"/>
    <x v="70"/>
    <m/>
    <x v="38"/>
    <m/>
    <x v="3"/>
    <x v="0"/>
    <x v="510"/>
    <d v="2013-09-15T00:00:00"/>
    <x v="9"/>
    <x v="1"/>
    <s v="Sessão Competitiva 2"/>
    <m/>
    <x v="0"/>
    <x v="0"/>
    <m/>
    <x v="0"/>
    <x v="0"/>
    <x v="1629"/>
    <x v="3"/>
    <x v="0"/>
    <x v="1"/>
    <x v="510"/>
    <x v="4418"/>
  </r>
  <r>
    <x v="2"/>
    <n v="16"/>
    <x v="6"/>
    <x v="1"/>
    <s v="CM"/>
    <s v=""/>
    <x v="6"/>
    <x v="3"/>
    <x v="824"/>
    <m/>
    <x v="408"/>
    <m/>
    <x v="9"/>
    <x v="0"/>
    <x v="498"/>
    <d v="2013-11-17T00:00:00"/>
    <x v="13"/>
    <x v="0"/>
    <m/>
    <m/>
    <x v="0"/>
    <x v="1"/>
    <s v="No BAM/PFA"/>
    <x v="0"/>
    <x v="2"/>
    <x v="6"/>
    <x v="9"/>
    <x v="0"/>
    <x v="0"/>
    <x v="498"/>
    <x v="4419"/>
  </r>
  <r>
    <x v="2"/>
    <n v="1740"/>
    <x v="1618"/>
    <x v="1"/>
    <s v="CM"/>
    <s v="N"/>
    <x v="156"/>
    <x v="41"/>
    <x v="831"/>
    <m/>
    <x v="348"/>
    <m/>
    <x v="3"/>
    <x v="0"/>
    <x v="511"/>
    <m/>
    <x v="2"/>
    <x v="1"/>
    <s v="Curta-metragem documental"/>
    <m/>
    <x v="436"/>
    <x v="0"/>
    <m/>
    <x v="1"/>
    <x v="2"/>
    <x v="1630"/>
    <x v="3"/>
    <x v="530"/>
    <x v="1"/>
    <x v="511"/>
    <x v="4420"/>
  </r>
  <r>
    <x v="2"/>
    <n v="1740"/>
    <x v="1618"/>
    <x v="1"/>
    <s v="CM"/>
    <s v="N"/>
    <x v="156"/>
    <x v="41"/>
    <x v="519"/>
    <m/>
    <x v="24"/>
    <m/>
    <x v="3"/>
    <x v="0"/>
    <x v="504"/>
    <d v="2013-05-11T00:00:00"/>
    <x v="6"/>
    <x v="0"/>
    <m/>
    <s v="Sessão Lisboa II"/>
    <x v="0"/>
    <x v="1"/>
    <m/>
    <x v="0"/>
    <x v="2"/>
    <x v="1630"/>
    <x v="3"/>
    <x v="0"/>
    <x v="1"/>
    <x v="504"/>
    <x v="4421"/>
  </r>
  <r>
    <x v="2"/>
    <n v="2029"/>
    <x v="1619"/>
    <x v="0"/>
    <s v="CM"/>
    <s v="N"/>
    <x v="1061"/>
    <x v="52"/>
    <x v="826"/>
    <m/>
    <x v="24"/>
    <m/>
    <x v="3"/>
    <x v="0"/>
    <x v="505"/>
    <d v="2013-09-29T00:00:00"/>
    <x v="9"/>
    <x v="1"/>
    <m/>
    <m/>
    <x v="0"/>
    <x v="0"/>
    <m/>
    <x v="0"/>
    <x v="0"/>
    <x v="1631"/>
    <x v="3"/>
    <x v="0"/>
    <x v="1"/>
    <x v="505"/>
    <x v="4422"/>
  </r>
  <r>
    <x v="2"/>
    <n v="1777"/>
    <x v="1620"/>
    <x v="1"/>
    <s v="CM"/>
    <s v="N"/>
    <x v="1062"/>
    <x v="41"/>
    <x v="514"/>
    <m/>
    <x v="99"/>
    <m/>
    <x v="3"/>
    <x v="0"/>
    <x v="504"/>
    <d v="2013-05-11T00:00:00"/>
    <x v="6"/>
    <x v="1"/>
    <s v="Prémio Primeiro Olhar"/>
    <m/>
    <x v="437"/>
    <x v="0"/>
    <s v="ESMAE"/>
    <x v="1"/>
    <x v="2"/>
    <x v="1632"/>
    <x v="3"/>
    <x v="531"/>
    <x v="1"/>
    <x v="504"/>
    <x v="4423"/>
  </r>
  <r>
    <x v="2"/>
    <n v="1777"/>
    <x v="1620"/>
    <x v="1"/>
    <s v="CM"/>
    <s v="N"/>
    <x v="1062"/>
    <x v="41"/>
    <x v="192"/>
    <m/>
    <x v="140"/>
    <m/>
    <x v="3"/>
    <x v="0"/>
    <x v="334"/>
    <d v="2013-07-28T00:00:00"/>
    <x v="8"/>
    <x v="0"/>
    <m/>
    <m/>
    <x v="0"/>
    <x v="0"/>
    <m/>
    <x v="0"/>
    <x v="2"/>
    <x v="1632"/>
    <x v="3"/>
    <x v="0"/>
    <x v="1"/>
    <x v="334"/>
    <x v="4424"/>
  </r>
  <r>
    <x v="2"/>
    <n v="22"/>
    <x v="9"/>
    <x v="0"/>
    <s v="CM"/>
    <s v="N"/>
    <x v="9"/>
    <x v="1"/>
    <x v="832"/>
    <m/>
    <x v="413"/>
    <m/>
    <x v="9"/>
    <x v="0"/>
    <x v="507"/>
    <d v="2013-01-27T00:00:00"/>
    <x v="15"/>
    <x v="0"/>
    <m/>
    <m/>
    <x v="0"/>
    <x v="0"/>
    <m/>
    <x v="0"/>
    <x v="0"/>
    <x v="9"/>
    <x v="9"/>
    <x v="0"/>
    <x v="0"/>
    <x v="507"/>
    <x v="4425"/>
  </r>
  <r>
    <x v="2"/>
    <n v="22"/>
    <x v="9"/>
    <x v="0"/>
    <s v="CM"/>
    <s v="N"/>
    <x v="9"/>
    <x v="1"/>
    <x v="833"/>
    <m/>
    <x v="15"/>
    <m/>
    <x v="3"/>
    <x v="0"/>
    <x v="512"/>
    <m/>
    <x v="16"/>
    <x v="0"/>
    <m/>
    <m/>
    <x v="0"/>
    <x v="1"/>
    <s v="Sessão Especial integrada nos PALCOS LIVRES"/>
    <x v="0"/>
    <x v="0"/>
    <x v="9"/>
    <x v="3"/>
    <x v="0"/>
    <x v="1"/>
    <x v="512"/>
    <x v="4426"/>
  </r>
  <r>
    <x v="2"/>
    <n v="22"/>
    <x v="9"/>
    <x v="0"/>
    <s v="CM"/>
    <s v="N"/>
    <x v="9"/>
    <x v="1"/>
    <x v="834"/>
    <m/>
    <x v="20"/>
    <m/>
    <x v="5"/>
    <x v="0"/>
    <x v="513"/>
    <d v="2013-11-17T00:00:00"/>
    <x v="13"/>
    <x v="0"/>
    <m/>
    <s v="Event: Stephan Graf von Bothmer - Short and Silent"/>
    <x v="0"/>
    <x v="0"/>
    <m/>
    <x v="0"/>
    <x v="0"/>
    <x v="9"/>
    <x v="5"/>
    <x v="0"/>
    <x v="0"/>
    <x v="513"/>
    <x v="4427"/>
  </r>
  <r>
    <x v="2"/>
    <n v="1828"/>
    <x v="1621"/>
    <x v="0"/>
    <s v="LM"/>
    <s v="N"/>
    <x v="1063"/>
    <x v="52"/>
    <x v="708"/>
    <m/>
    <x v="135"/>
    <m/>
    <x v="2"/>
    <x v="0"/>
    <x v="514"/>
    <d v="2013-05-24T00:00:00"/>
    <x v="6"/>
    <x v="0"/>
    <m/>
    <s v="Films de Clôture"/>
    <x v="0"/>
    <x v="0"/>
    <s v="3 CM: Just in Time, Les Trois Désastres, Cinesapiens"/>
    <x v="0"/>
    <x v="5"/>
    <x v="1633"/>
    <x v="2"/>
    <x v="0"/>
    <x v="0"/>
    <x v="514"/>
    <x v="4428"/>
  </r>
  <r>
    <x v="2"/>
    <n v="1828"/>
    <x v="1621"/>
    <x v="0"/>
    <s v="LM"/>
    <s v="N"/>
    <x v="1063"/>
    <x v="52"/>
    <x v="835"/>
    <m/>
    <x v="243"/>
    <m/>
    <x v="64"/>
    <x v="0"/>
    <x v="515"/>
    <d v="2013-06-29T00:00:00"/>
    <x v="7"/>
    <x v="0"/>
    <m/>
    <s v="8 1/2 Films"/>
    <x v="0"/>
    <x v="0"/>
    <s v="3 CM: Just in Time, Les Trois Désastres, Cinesapiens"/>
    <x v="0"/>
    <x v="5"/>
    <x v="1633"/>
    <x v="64"/>
    <x v="0"/>
    <x v="0"/>
    <x v="515"/>
    <x v="4429"/>
  </r>
  <r>
    <x v="2"/>
    <n v="1828"/>
    <x v="1621"/>
    <x v="0"/>
    <s v="LM"/>
    <s v="N"/>
    <x v="1063"/>
    <x v="52"/>
    <x v="246"/>
    <m/>
    <x v="173"/>
    <m/>
    <x v="7"/>
    <x v="0"/>
    <x v="516"/>
    <d v="2013-09-02T00:00:00"/>
    <x v="20"/>
    <x v="2"/>
    <m/>
    <s v="Hors-Concours"/>
    <x v="0"/>
    <x v="0"/>
    <s v="3 CM: Just in Time, Les Trois Désastres, Cinesapiens"/>
    <x v="0"/>
    <x v="5"/>
    <x v="1633"/>
    <x v="7"/>
    <x v="0"/>
    <x v="0"/>
    <x v="516"/>
    <x v="4430"/>
  </r>
  <r>
    <x v="2"/>
    <n v="1828"/>
    <x v="1621"/>
    <x v="0"/>
    <s v="LM"/>
    <s v="N"/>
    <x v="1063"/>
    <x v="52"/>
    <x v="836"/>
    <m/>
    <x v="163"/>
    <m/>
    <x v="5"/>
    <x v="0"/>
    <x v="505"/>
    <d v="2013-10-05T00:00:00"/>
    <x v="10"/>
    <x v="0"/>
    <m/>
    <s v="Agenda 13"/>
    <x v="0"/>
    <x v="0"/>
    <m/>
    <x v="0"/>
    <x v="5"/>
    <x v="1633"/>
    <x v="5"/>
    <x v="0"/>
    <x v="0"/>
    <x v="505"/>
    <x v="4431"/>
  </r>
  <r>
    <x v="2"/>
    <n v="1828"/>
    <x v="1621"/>
    <x v="0"/>
    <s v="LM"/>
    <s v="N"/>
    <x v="1063"/>
    <x v="52"/>
    <x v="85"/>
    <m/>
    <x v="64"/>
    <m/>
    <x v="18"/>
    <x v="0"/>
    <x v="517"/>
    <d v="2013-10-12T00:00:00"/>
    <x v="14"/>
    <x v="0"/>
    <m/>
    <s v="World Cinema"/>
    <x v="0"/>
    <x v="0"/>
    <s v="3 CM: Just in Time, Les Trois Désastres, Cinesapiens"/>
    <x v="0"/>
    <x v="5"/>
    <x v="1633"/>
    <x v="18"/>
    <x v="0"/>
    <x v="0"/>
    <x v="517"/>
    <x v="4432"/>
  </r>
  <r>
    <x v="2"/>
    <n v="1828"/>
    <x v="1621"/>
    <x v="0"/>
    <s v="LM"/>
    <s v="N"/>
    <x v="1063"/>
    <x v="52"/>
    <x v="837"/>
    <m/>
    <x v="414"/>
    <m/>
    <x v="18"/>
    <x v="0"/>
    <x v="518"/>
    <d v="2013-10-23T00:00:00"/>
    <x v="14"/>
    <x v="0"/>
    <m/>
    <s v="Masters"/>
    <x v="0"/>
    <x v="0"/>
    <m/>
    <x v="0"/>
    <x v="5"/>
    <x v="1633"/>
    <x v="18"/>
    <x v="0"/>
    <x v="0"/>
    <x v="518"/>
    <x v="4433"/>
  </r>
  <r>
    <x v="2"/>
    <n v="1828"/>
    <x v="1621"/>
    <x v="0"/>
    <s v="LM"/>
    <s v="N"/>
    <x v="1063"/>
    <x v="52"/>
    <x v="179"/>
    <m/>
    <x v="133"/>
    <m/>
    <x v="0"/>
    <x v="0"/>
    <x v="501"/>
    <d v="2013-10-31T00:00:00"/>
    <x v="14"/>
    <x v="0"/>
    <m/>
    <s v="Apresentação Especial"/>
    <x v="0"/>
    <x v="0"/>
    <m/>
    <x v="0"/>
    <x v="5"/>
    <x v="1633"/>
    <x v="0"/>
    <x v="0"/>
    <x v="0"/>
    <x v="501"/>
    <x v="4434"/>
  </r>
  <r>
    <x v="2"/>
    <n v="1828"/>
    <x v="1621"/>
    <x v="0"/>
    <s v="LM"/>
    <s v="N"/>
    <x v="1063"/>
    <x v="52"/>
    <x v="492"/>
    <m/>
    <x v="128"/>
    <m/>
    <x v="1"/>
    <x v="0"/>
    <x v="519"/>
    <d v="2013-11-16T00:00:00"/>
    <x v="13"/>
    <x v="0"/>
    <m/>
    <s v="Focus Europa: Portugal"/>
    <x v="0"/>
    <x v="0"/>
    <m/>
    <x v="0"/>
    <x v="5"/>
    <x v="1633"/>
    <x v="1"/>
    <x v="0"/>
    <x v="0"/>
    <x v="519"/>
    <x v="4435"/>
  </r>
  <r>
    <x v="2"/>
    <n v="1828"/>
    <x v="1621"/>
    <x v="0"/>
    <s v="LM"/>
    <s v="N"/>
    <x v="1063"/>
    <x v="52"/>
    <x v="838"/>
    <m/>
    <x v="415"/>
    <m/>
    <x v="48"/>
    <x v="0"/>
    <x v="520"/>
    <d v="2013-12-13T00:00:00"/>
    <x v="12"/>
    <x v="0"/>
    <m/>
    <s v="World Cinema"/>
    <x v="0"/>
    <x v="0"/>
    <m/>
    <x v="0"/>
    <x v="5"/>
    <x v="1633"/>
    <x v="48"/>
    <x v="0"/>
    <x v="0"/>
    <x v="520"/>
    <x v="4436"/>
  </r>
  <r>
    <x v="2"/>
    <n v="23"/>
    <x v="11"/>
    <x v="1"/>
    <s v="CM"/>
    <s v="N"/>
    <x v="11"/>
    <x v="5"/>
    <x v="839"/>
    <m/>
    <x v="82"/>
    <m/>
    <x v="21"/>
    <x v="0"/>
    <x v="521"/>
    <d v="2013-07-07T00:00:00"/>
    <x v="17"/>
    <x v="0"/>
    <m/>
    <s v="Nós"/>
    <x v="0"/>
    <x v="1"/>
    <m/>
    <x v="0"/>
    <x v="2"/>
    <x v="11"/>
    <x v="21"/>
    <x v="0"/>
    <x v="0"/>
    <x v="521"/>
    <x v="4437"/>
  </r>
  <r>
    <x v="2"/>
    <n v="24"/>
    <x v="12"/>
    <x v="0"/>
    <s v="CM"/>
    <s v="N"/>
    <x v="12"/>
    <x v="3"/>
    <x v="840"/>
    <m/>
    <x v="24"/>
    <m/>
    <x v="3"/>
    <x v="0"/>
    <x v="522"/>
    <d v="2013-01-27T00:00:00"/>
    <x v="15"/>
    <x v="1"/>
    <s v="Competição Geral"/>
    <m/>
    <x v="0"/>
    <x v="0"/>
    <m/>
    <x v="0"/>
    <x v="0"/>
    <x v="12"/>
    <x v="3"/>
    <x v="0"/>
    <x v="1"/>
    <x v="522"/>
    <x v="4438"/>
  </r>
  <r>
    <x v="2"/>
    <n v="25"/>
    <x v="899"/>
    <x v="0"/>
    <s v="CM"/>
    <s v="N"/>
    <x v="607"/>
    <x v="41"/>
    <x v="828"/>
    <m/>
    <x v="410"/>
    <m/>
    <x v="48"/>
    <x v="0"/>
    <x v="507"/>
    <d v="2013-02-06T00:00:00"/>
    <x v="18"/>
    <x v="1"/>
    <s v="Short Film Section - Fiction"/>
    <m/>
    <x v="0"/>
    <x v="0"/>
    <m/>
    <x v="0"/>
    <x v="0"/>
    <x v="902"/>
    <x v="48"/>
    <x v="0"/>
    <x v="0"/>
    <x v="507"/>
    <x v="4439"/>
  </r>
  <r>
    <x v="2"/>
    <n v="25"/>
    <x v="899"/>
    <x v="0"/>
    <s v="CM"/>
    <s v="N"/>
    <x v="607"/>
    <x v="41"/>
    <x v="841"/>
    <m/>
    <x v="416"/>
    <m/>
    <x v="48"/>
    <x v="0"/>
    <x v="523"/>
    <d v="2013-02-09T00:00:00"/>
    <x v="1"/>
    <x v="1"/>
    <s v="Category - International"/>
    <m/>
    <x v="335"/>
    <x v="0"/>
    <m/>
    <x v="1"/>
    <x v="0"/>
    <x v="902"/>
    <x v="48"/>
    <x v="532"/>
    <x v="0"/>
    <x v="523"/>
    <x v="4440"/>
  </r>
  <r>
    <x v="2"/>
    <n v="25"/>
    <x v="899"/>
    <x v="0"/>
    <s v="CM"/>
    <s v="N"/>
    <x v="607"/>
    <x v="41"/>
    <x v="62"/>
    <m/>
    <x v="23"/>
    <m/>
    <x v="3"/>
    <x v="0"/>
    <x v="503"/>
    <d v="2013-03-10T00:00:00"/>
    <x v="19"/>
    <x v="0"/>
    <m/>
    <s v="FANTAS em curtas: Cineclube de Avanca"/>
    <x v="0"/>
    <x v="0"/>
    <m/>
    <x v="0"/>
    <x v="0"/>
    <x v="902"/>
    <x v="3"/>
    <x v="0"/>
    <x v="1"/>
    <x v="503"/>
    <x v="4441"/>
  </r>
  <r>
    <x v="2"/>
    <n v="25"/>
    <x v="899"/>
    <x v="0"/>
    <s v="CM"/>
    <s v="N"/>
    <x v="607"/>
    <x v="41"/>
    <x v="720"/>
    <m/>
    <x v="365"/>
    <m/>
    <x v="15"/>
    <x v="0"/>
    <x v="524"/>
    <d v="2013-04-27T00:00:00"/>
    <x v="5"/>
    <x v="1"/>
    <s v="Festival of Festivals "/>
    <m/>
    <x v="438"/>
    <x v="0"/>
    <m/>
    <x v="1"/>
    <x v="0"/>
    <x v="902"/>
    <x v="15"/>
    <x v="533"/>
    <x v="0"/>
    <x v="524"/>
    <x v="4442"/>
  </r>
  <r>
    <x v="2"/>
    <n v="25"/>
    <x v="899"/>
    <x v="0"/>
    <s v="CM"/>
    <s v="N"/>
    <x v="607"/>
    <x v="41"/>
    <x v="34"/>
    <m/>
    <x v="32"/>
    <m/>
    <x v="3"/>
    <x v="0"/>
    <x v="525"/>
    <d v="2013-05-12T00:00:00"/>
    <x v="6"/>
    <x v="1"/>
    <s v="Ficção"/>
    <m/>
    <x v="0"/>
    <x v="0"/>
    <m/>
    <x v="0"/>
    <x v="0"/>
    <x v="902"/>
    <x v="3"/>
    <x v="0"/>
    <x v="1"/>
    <x v="525"/>
    <x v="4443"/>
  </r>
  <r>
    <x v="2"/>
    <n v="25"/>
    <x v="899"/>
    <x v="0"/>
    <s v="CM"/>
    <s v="N"/>
    <x v="607"/>
    <x v="41"/>
    <x v="829"/>
    <m/>
    <x v="411"/>
    <m/>
    <x v="0"/>
    <x v="0"/>
    <x v="508"/>
    <d v="2013-06-08T00:00:00"/>
    <x v="7"/>
    <x v="1"/>
    <s v="Competição Mostra Estrangeira"/>
    <m/>
    <x v="0"/>
    <x v="0"/>
    <m/>
    <x v="0"/>
    <x v="0"/>
    <x v="902"/>
    <x v="0"/>
    <x v="0"/>
    <x v="0"/>
    <x v="508"/>
    <x v="4444"/>
  </r>
  <r>
    <x v="2"/>
    <n v="25"/>
    <x v="899"/>
    <x v="0"/>
    <s v="CM"/>
    <s v="N"/>
    <x v="607"/>
    <x v="41"/>
    <x v="67"/>
    <m/>
    <x v="23"/>
    <m/>
    <x v="3"/>
    <x v="0"/>
    <x v="526"/>
    <d v="2013-06-16T00:00:00"/>
    <x v="7"/>
    <x v="1"/>
    <s v="Ficção Nacional"/>
    <m/>
    <x v="439"/>
    <x v="0"/>
    <m/>
    <x v="1"/>
    <x v="0"/>
    <x v="902"/>
    <x v="3"/>
    <x v="534"/>
    <x v="1"/>
    <x v="526"/>
    <x v="4445"/>
  </r>
  <r>
    <x v="2"/>
    <n v="25"/>
    <x v="899"/>
    <x v="0"/>
    <s v="CM"/>
    <s v="N"/>
    <x v="607"/>
    <x v="41"/>
    <x v="70"/>
    <m/>
    <x v="38"/>
    <m/>
    <x v="3"/>
    <x v="0"/>
    <x v="510"/>
    <d v="2013-09-15T00:00:00"/>
    <x v="9"/>
    <x v="1"/>
    <s v="Sessão Competitiva 2"/>
    <m/>
    <x v="440"/>
    <x v="0"/>
    <m/>
    <x v="1"/>
    <x v="0"/>
    <x v="902"/>
    <x v="3"/>
    <x v="535"/>
    <x v="1"/>
    <x v="510"/>
    <x v="4446"/>
  </r>
  <r>
    <x v="2"/>
    <n v="25"/>
    <x v="899"/>
    <x v="0"/>
    <s v="CM"/>
    <s v="N"/>
    <x v="607"/>
    <x v="41"/>
    <x v="842"/>
    <m/>
    <x v="279"/>
    <m/>
    <x v="3"/>
    <x v="0"/>
    <x v="527"/>
    <d v="2013-09-29T00:00:00"/>
    <x v="9"/>
    <x v="0"/>
    <m/>
    <s v="Sessão de Encerramento"/>
    <x v="0"/>
    <x v="0"/>
    <m/>
    <x v="0"/>
    <x v="0"/>
    <x v="902"/>
    <x v="3"/>
    <x v="0"/>
    <x v="1"/>
    <x v="527"/>
    <x v="4447"/>
  </r>
  <r>
    <x v="2"/>
    <n v="2061"/>
    <x v="1622"/>
    <x v="1"/>
    <s v="LM"/>
    <s v="N"/>
    <x v="1064"/>
    <x v="52"/>
    <x v="179"/>
    <m/>
    <x v="133"/>
    <m/>
    <x v="0"/>
    <x v="0"/>
    <x v="501"/>
    <d v="2013-10-31T00:00:00"/>
    <x v="14"/>
    <x v="1"/>
    <s v="Novos Diretores"/>
    <m/>
    <x v="0"/>
    <x v="0"/>
    <m/>
    <x v="0"/>
    <x v="1"/>
    <x v="1634"/>
    <x v="0"/>
    <x v="0"/>
    <x v="0"/>
    <x v="501"/>
    <x v="4448"/>
  </r>
  <r>
    <x v="2"/>
    <n v="2063"/>
    <x v="1623"/>
    <x v="1"/>
    <s v="LM"/>
    <s v="N"/>
    <x v="408"/>
    <x v="52"/>
    <x v="88"/>
    <m/>
    <x v="67"/>
    <m/>
    <x v="3"/>
    <x v="0"/>
    <x v="528"/>
    <d v="2013-10-26T00:00:00"/>
    <x v="14"/>
    <x v="1"/>
    <s v="Lusofonia: Longas Metragens"/>
    <m/>
    <x v="0"/>
    <x v="0"/>
    <m/>
    <x v="0"/>
    <x v="1"/>
    <x v="1635"/>
    <x v="3"/>
    <x v="0"/>
    <x v="1"/>
    <x v="528"/>
    <x v="4449"/>
  </r>
  <r>
    <x v="2"/>
    <n v="31"/>
    <x v="16"/>
    <x v="1"/>
    <s v="LM"/>
    <s v="S"/>
    <x v="16"/>
    <x v="3"/>
    <x v="42"/>
    <m/>
    <x v="39"/>
    <m/>
    <x v="3"/>
    <x v="0"/>
    <x v="529"/>
    <m/>
    <x v="15"/>
    <x v="0"/>
    <m/>
    <m/>
    <x v="0"/>
    <x v="1"/>
    <m/>
    <x v="0"/>
    <x v="1"/>
    <x v="16"/>
    <x v="3"/>
    <x v="0"/>
    <x v="1"/>
    <x v="529"/>
    <x v="4450"/>
  </r>
  <r>
    <x v="2"/>
    <n v="31"/>
    <x v="16"/>
    <x v="1"/>
    <s v="LM"/>
    <s v="S"/>
    <x v="16"/>
    <x v="3"/>
    <x v="595"/>
    <m/>
    <x v="206"/>
    <m/>
    <x v="3"/>
    <x v="0"/>
    <x v="530"/>
    <m/>
    <x v="5"/>
    <x v="0"/>
    <m/>
    <m/>
    <x v="0"/>
    <x v="1"/>
    <m/>
    <x v="0"/>
    <x v="1"/>
    <x v="16"/>
    <x v="3"/>
    <x v="0"/>
    <x v="1"/>
    <x v="530"/>
    <x v="4451"/>
  </r>
  <r>
    <x v="2"/>
    <n v="31"/>
    <x v="16"/>
    <x v="1"/>
    <s v="LM"/>
    <s v="S"/>
    <x v="16"/>
    <x v="3"/>
    <x v="337"/>
    <m/>
    <x v="37"/>
    <m/>
    <x v="3"/>
    <x v="0"/>
    <x v="531"/>
    <m/>
    <x v="5"/>
    <x v="0"/>
    <m/>
    <m/>
    <x v="0"/>
    <x v="1"/>
    <m/>
    <x v="0"/>
    <x v="1"/>
    <x v="16"/>
    <x v="3"/>
    <x v="0"/>
    <x v="1"/>
    <x v="531"/>
    <x v="4452"/>
  </r>
  <r>
    <x v="2"/>
    <n v="31"/>
    <x v="16"/>
    <x v="1"/>
    <s v="LM"/>
    <s v="S"/>
    <x v="16"/>
    <x v="3"/>
    <x v="843"/>
    <m/>
    <x v="253"/>
    <m/>
    <x v="0"/>
    <x v="0"/>
    <x v="532"/>
    <d v="2013-05-26T00:00:00"/>
    <x v="6"/>
    <x v="0"/>
    <m/>
    <m/>
    <x v="0"/>
    <x v="1"/>
    <m/>
    <x v="0"/>
    <x v="1"/>
    <x v="16"/>
    <x v="0"/>
    <x v="0"/>
    <x v="0"/>
    <x v="532"/>
    <x v="4453"/>
  </r>
  <r>
    <x v="2"/>
    <n v="31"/>
    <x v="16"/>
    <x v="1"/>
    <s v="LM"/>
    <s v="S"/>
    <x v="16"/>
    <x v="3"/>
    <x v="844"/>
    <m/>
    <x v="0"/>
    <m/>
    <x v="0"/>
    <x v="0"/>
    <x v="533"/>
    <d v="2013-06-06T00:00:00"/>
    <x v="22"/>
    <x v="0"/>
    <m/>
    <m/>
    <x v="0"/>
    <x v="1"/>
    <m/>
    <x v="0"/>
    <x v="1"/>
    <x v="16"/>
    <x v="0"/>
    <x v="0"/>
    <x v="0"/>
    <x v="533"/>
    <x v="4454"/>
  </r>
  <r>
    <x v="2"/>
    <n v="31"/>
    <x v="16"/>
    <x v="1"/>
    <s v="LM"/>
    <s v="S"/>
    <x v="16"/>
    <x v="3"/>
    <x v="845"/>
    <m/>
    <x v="115"/>
    <m/>
    <x v="36"/>
    <x v="0"/>
    <x v="534"/>
    <d v="2013-09-01T00:00:00"/>
    <x v="20"/>
    <x v="0"/>
    <m/>
    <m/>
    <x v="0"/>
    <x v="1"/>
    <m/>
    <x v="0"/>
    <x v="1"/>
    <x v="16"/>
    <x v="36"/>
    <x v="0"/>
    <x v="0"/>
    <x v="534"/>
    <x v="4455"/>
  </r>
  <r>
    <x v="2"/>
    <n v="1917"/>
    <x v="1624"/>
    <x v="1"/>
    <s v="LM"/>
    <s v="N"/>
    <x v="14"/>
    <x v="13"/>
    <x v="846"/>
    <m/>
    <x v="417"/>
    <m/>
    <x v="11"/>
    <x v="0"/>
    <x v="535"/>
    <d v="2013-08-03T00:00:00"/>
    <x v="25"/>
    <x v="0"/>
    <m/>
    <s v="Focus Portugal: Fado"/>
    <x v="0"/>
    <x v="0"/>
    <m/>
    <x v="0"/>
    <x v="1"/>
    <x v="1636"/>
    <x v="11"/>
    <x v="0"/>
    <x v="0"/>
    <x v="535"/>
    <x v="4456"/>
  </r>
  <r>
    <x v="2"/>
    <n v="1793"/>
    <x v="1625"/>
    <x v="0"/>
    <s v="CM"/>
    <s v="N"/>
    <x v="1065"/>
    <x v="41"/>
    <x v="847"/>
    <m/>
    <x v="24"/>
    <m/>
    <x v="3"/>
    <x v="0"/>
    <x v="536"/>
    <m/>
    <x v="6"/>
    <x v="1"/>
    <m/>
    <m/>
    <x v="359"/>
    <x v="0"/>
    <m/>
    <x v="1"/>
    <x v="0"/>
    <x v="1637"/>
    <x v="3"/>
    <x v="433"/>
    <x v="1"/>
    <x v="536"/>
    <x v="4457"/>
  </r>
  <r>
    <x v="2"/>
    <n v="1623"/>
    <x v="1626"/>
    <x v="1"/>
    <s v="LM"/>
    <s v="S"/>
    <x v="97"/>
    <x v="41"/>
    <x v="375"/>
    <m/>
    <x v="20"/>
    <m/>
    <x v="5"/>
    <x v="0"/>
    <x v="496"/>
    <d v="2013-02-17T00:00:00"/>
    <x v="1"/>
    <x v="0"/>
    <m/>
    <s v="Forum"/>
    <x v="441"/>
    <x v="0"/>
    <m/>
    <x v="1"/>
    <x v="1"/>
    <x v="1638"/>
    <x v="5"/>
    <x v="536"/>
    <x v="0"/>
    <x v="496"/>
    <x v="4458"/>
  </r>
  <r>
    <x v="2"/>
    <n v="1623"/>
    <x v="1626"/>
    <x v="1"/>
    <s v="LM"/>
    <s v="S"/>
    <x v="97"/>
    <x v="41"/>
    <x v="146"/>
    <m/>
    <x v="24"/>
    <m/>
    <x v="3"/>
    <x v="0"/>
    <x v="537"/>
    <d v="2013-04-28T00:00:00"/>
    <x v="5"/>
    <x v="1"/>
    <s v="Competição Internacional, Competição Nacional"/>
    <m/>
    <x v="0"/>
    <x v="0"/>
    <m/>
    <x v="0"/>
    <x v="1"/>
    <x v="1638"/>
    <x v="3"/>
    <x v="0"/>
    <x v="1"/>
    <x v="537"/>
    <x v="4459"/>
  </r>
  <r>
    <x v="2"/>
    <n v="1623"/>
    <x v="1626"/>
    <x v="1"/>
    <s v="LM"/>
    <s v="S"/>
    <x v="97"/>
    <x v="41"/>
    <x v="669"/>
    <m/>
    <x v="190"/>
    <m/>
    <x v="0"/>
    <x v="0"/>
    <x v="538"/>
    <d v="2013-06-14T00:00:00"/>
    <x v="7"/>
    <x v="0"/>
    <m/>
    <s v="Novos Olhares"/>
    <x v="0"/>
    <x v="0"/>
    <m/>
    <x v="0"/>
    <x v="1"/>
    <x v="1638"/>
    <x v="0"/>
    <x v="0"/>
    <x v="0"/>
    <x v="538"/>
    <x v="4460"/>
  </r>
  <r>
    <x v="2"/>
    <n v="1623"/>
    <x v="1626"/>
    <x v="1"/>
    <s v="LM"/>
    <s v="S"/>
    <x v="97"/>
    <x v="41"/>
    <x v="835"/>
    <m/>
    <x v="243"/>
    <m/>
    <x v="64"/>
    <x v="0"/>
    <x v="515"/>
    <d v="2013-06-29T00:00:00"/>
    <x v="7"/>
    <x v="0"/>
    <m/>
    <s v="Portugal Euphoria"/>
    <x v="0"/>
    <x v="0"/>
    <m/>
    <x v="0"/>
    <x v="1"/>
    <x v="1638"/>
    <x v="64"/>
    <x v="0"/>
    <x v="0"/>
    <x v="515"/>
    <x v="4461"/>
  </r>
  <r>
    <x v="2"/>
    <n v="1623"/>
    <x v="1626"/>
    <x v="1"/>
    <s v="LM"/>
    <s v="S"/>
    <x v="97"/>
    <x v="41"/>
    <x v="129"/>
    <m/>
    <x v="12"/>
    <m/>
    <x v="2"/>
    <x v="0"/>
    <x v="539"/>
    <d v="2013-07-08T00:00:00"/>
    <x v="8"/>
    <x v="0"/>
    <m/>
    <s v="Écrans Paralléles: Choeur"/>
    <x v="0"/>
    <x v="0"/>
    <m/>
    <x v="0"/>
    <x v="1"/>
    <x v="1638"/>
    <x v="2"/>
    <x v="0"/>
    <x v="0"/>
    <x v="539"/>
    <x v="4462"/>
  </r>
  <r>
    <x v="2"/>
    <n v="1623"/>
    <x v="1626"/>
    <x v="1"/>
    <s v="LM"/>
    <s v="S"/>
    <x v="97"/>
    <x v="41"/>
    <x v="848"/>
    <m/>
    <x v="165"/>
    <m/>
    <x v="4"/>
    <x v="0"/>
    <x v="540"/>
    <d v="2013-09-01T00:00:00"/>
    <x v="20"/>
    <x v="0"/>
    <m/>
    <m/>
    <x v="0"/>
    <x v="1"/>
    <m/>
    <x v="0"/>
    <x v="1"/>
    <x v="1638"/>
    <x v="4"/>
    <x v="0"/>
    <x v="0"/>
    <x v="540"/>
    <x v="4463"/>
  </r>
  <r>
    <x v="2"/>
    <n v="1623"/>
    <x v="1626"/>
    <x v="1"/>
    <s v="LM"/>
    <s v="S"/>
    <x v="97"/>
    <x v="41"/>
    <x v="134"/>
    <m/>
    <x v="99"/>
    <m/>
    <x v="3"/>
    <x v="0"/>
    <x v="541"/>
    <m/>
    <x v="9"/>
    <x v="0"/>
    <m/>
    <m/>
    <x v="0"/>
    <x v="1"/>
    <m/>
    <x v="0"/>
    <x v="1"/>
    <x v="1638"/>
    <x v="3"/>
    <x v="0"/>
    <x v="1"/>
    <x v="541"/>
    <x v="4464"/>
  </r>
  <r>
    <x v="2"/>
    <n v="1623"/>
    <x v="1626"/>
    <x v="1"/>
    <s v="LM"/>
    <s v="S"/>
    <x v="97"/>
    <x v="41"/>
    <x v="58"/>
    <m/>
    <x v="47"/>
    <m/>
    <x v="3"/>
    <x v="0"/>
    <x v="542"/>
    <d v="2013-09-08T00:00:00"/>
    <x v="9"/>
    <x v="0"/>
    <m/>
    <m/>
    <x v="0"/>
    <x v="1"/>
    <m/>
    <x v="0"/>
    <x v="1"/>
    <x v="1638"/>
    <x v="3"/>
    <x v="0"/>
    <x v="1"/>
    <x v="542"/>
    <x v="4465"/>
  </r>
  <r>
    <x v="2"/>
    <n v="1623"/>
    <x v="1626"/>
    <x v="1"/>
    <s v="LM"/>
    <s v="S"/>
    <x v="97"/>
    <x v="41"/>
    <x v="575"/>
    <m/>
    <x v="11"/>
    <m/>
    <x v="3"/>
    <x v="0"/>
    <x v="543"/>
    <m/>
    <x v="9"/>
    <x v="0"/>
    <m/>
    <m/>
    <x v="0"/>
    <x v="1"/>
    <m/>
    <x v="0"/>
    <x v="1"/>
    <x v="1638"/>
    <x v="3"/>
    <x v="0"/>
    <x v="1"/>
    <x v="543"/>
    <x v="4466"/>
  </r>
  <r>
    <x v="2"/>
    <n v="1623"/>
    <x v="1626"/>
    <x v="1"/>
    <s v="LM"/>
    <s v="S"/>
    <x v="97"/>
    <x v="41"/>
    <x v="188"/>
    <m/>
    <x v="0"/>
    <m/>
    <x v="0"/>
    <x v="0"/>
    <x v="505"/>
    <d v="2013-10-10T00:00:00"/>
    <x v="10"/>
    <x v="0"/>
    <m/>
    <s v="Expectativa 2013: Vanguarda"/>
    <x v="0"/>
    <x v="0"/>
    <m/>
    <x v="0"/>
    <x v="1"/>
    <x v="1638"/>
    <x v="0"/>
    <x v="0"/>
    <x v="0"/>
    <x v="505"/>
    <x v="4467"/>
  </r>
  <r>
    <x v="2"/>
    <n v="1623"/>
    <x v="1626"/>
    <x v="1"/>
    <s v="LM"/>
    <s v="S"/>
    <x v="97"/>
    <x v="41"/>
    <x v="849"/>
    <m/>
    <x v="58"/>
    <m/>
    <x v="17"/>
    <x v="0"/>
    <x v="544"/>
    <d v="2013-11-10T00:00:00"/>
    <x v="13"/>
    <x v="0"/>
    <m/>
    <s v="Features: Bonfires &amp; Revolution"/>
    <x v="0"/>
    <x v="0"/>
    <m/>
    <x v="0"/>
    <x v="1"/>
    <x v="1638"/>
    <x v="17"/>
    <x v="0"/>
    <x v="0"/>
    <x v="544"/>
    <x v="4468"/>
  </r>
  <r>
    <x v="2"/>
    <n v="1623"/>
    <x v="1626"/>
    <x v="1"/>
    <s v="LM"/>
    <s v="S"/>
    <x v="97"/>
    <x v="41"/>
    <x v="850"/>
    <m/>
    <x v="113"/>
    <m/>
    <x v="7"/>
    <x v="0"/>
    <x v="544"/>
    <d v="2013-11-07T00:00:00"/>
    <x v="13"/>
    <x v="0"/>
    <m/>
    <m/>
    <x v="0"/>
    <x v="1"/>
    <m/>
    <x v="0"/>
    <x v="1"/>
    <x v="1638"/>
    <x v="7"/>
    <x v="0"/>
    <x v="0"/>
    <x v="544"/>
    <x v="4469"/>
  </r>
  <r>
    <x v="2"/>
    <n v="1623"/>
    <x v="1626"/>
    <x v="1"/>
    <s v="LM"/>
    <s v="S"/>
    <x v="97"/>
    <x v="41"/>
    <x v="309"/>
    <m/>
    <x v="174"/>
    <m/>
    <x v="1"/>
    <x v="0"/>
    <x v="545"/>
    <d v="2013-11-24T00:00:00"/>
    <x v="13"/>
    <x v="1"/>
    <s v="L'Alternativa Oficiales: Largometrajes"/>
    <m/>
    <x v="0"/>
    <x v="0"/>
    <m/>
    <x v="0"/>
    <x v="1"/>
    <x v="1638"/>
    <x v="1"/>
    <x v="0"/>
    <x v="0"/>
    <x v="545"/>
    <x v="4470"/>
  </r>
  <r>
    <x v="2"/>
    <n v="1623"/>
    <x v="1626"/>
    <x v="1"/>
    <s v="LM"/>
    <s v="S"/>
    <x v="97"/>
    <x v="41"/>
    <x v="830"/>
    <m/>
    <x v="412"/>
    <m/>
    <x v="0"/>
    <x v="0"/>
    <x v="509"/>
    <d v="2013-11-30T00:00:00"/>
    <x v="13"/>
    <x v="0"/>
    <m/>
    <s v="Rodacine"/>
    <x v="0"/>
    <x v="0"/>
    <m/>
    <x v="0"/>
    <x v="1"/>
    <x v="1638"/>
    <x v="0"/>
    <x v="0"/>
    <x v="0"/>
    <x v="509"/>
    <x v="4471"/>
  </r>
  <r>
    <x v="2"/>
    <n v="1623"/>
    <x v="1626"/>
    <x v="1"/>
    <s v="LM"/>
    <s v="S"/>
    <x v="97"/>
    <x v="41"/>
    <x v="851"/>
    <m/>
    <x v="58"/>
    <m/>
    <x v="17"/>
    <x v="0"/>
    <x v="546"/>
    <d v="2013-12-05T00:00:00"/>
    <x v="11"/>
    <x v="0"/>
    <m/>
    <m/>
    <x v="0"/>
    <x v="0"/>
    <m/>
    <x v="0"/>
    <x v="1"/>
    <x v="1638"/>
    <x v="17"/>
    <x v="0"/>
    <x v="0"/>
    <x v="546"/>
    <x v="4472"/>
  </r>
  <r>
    <x v="2"/>
    <n v="1623"/>
    <x v="1626"/>
    <x v="1"/>
    <s v="LM"/>
    <s v="S"/>
    <x v="97"/>
    <x v="41"/>
    <x v="838"/>
    <m/>
    <x v="415"/>
    <m/>
    <x v="48"/>
    <x v="0"/>
    <x v="520"/>
    <d v="2013-12-13T00:00:00"/>
    <x v="12"/>
    <x v="1"/>
    <s v="Competition Films"/>
    <m/>
    <x v="0"/>
    <x v="0"/>
    <m/>
    <x v="0"/>
    <x v="1"/>
    <x v="1638"/>
    <x v="48"/>
    <x v="0"/>
    <x v="0"/>
    <x v="520"/>
    <x v="4473"/>
  </r>
  <r>
    <x v="2"/>
    <n v="1623"/>
    <x v="1626"/>
    <x v="1"/>
    <s v="LM"/>
    <s v="S"/>
    <x v="97"/>
    <x v="41"/>
    <x v="852"/>
    <m/>
    <x v="58"/>
    <m/>
    <x v="17"/>
    <x v="0"/>
    <x v="547"/>
    <m/>
    <x v="12"/>
    <x v="0"/>
    <m/>
    <m/>
    <x v="0"/>
    <x v="1"/>
    <m/>
    <x v="0"/>
    <x v="1"/>
    <x v="1638"/>
    <x v="17"/>
    <x v="0"/>
    <x v="0"/>
    <x v="547"/>
    <x v="4474"/>
  </r>
  <r>
    <x v="2"/>
    <n v="1623"/>
    <x v="1626"/>
    <x v="1"/>
    <s v="LM"/>
    <s v="S"/>
    <x v="97"/>
    <x v="41"/>
    <x v="57"/>
    <m/>
    <x v="40"/>
    <m/>
    <x v="3"/>
    <x v="0"/>
    <x v="548"/>
    <m/>
    <x v="12"/>
    <x v="0"/>
    <m/>
    <s v="Ciclo &quot;Jovens Cineastas&quot;"/>
    <x v="0"/>
    <x v="1"/>
    <m/>
    <x v="0"/>
    <x v="1"/>
    <x v="1638"/>
    <x v="3"/>
    <x v="0"/>
    <x v="1"/>
    <x v="548"/>
    <x v="4475"/>
  </r>
  <r>
    <x v="2"/>
    <n v="1623"/>
    <x v="1626"/>
    <x v="1"/>
    <s v="LM"/>
    <s v="S"/>
    <x v="97"/>
    <x v="41"/>
    <x v="853"/>
    <m/>
    <x v="418"/>
    <m/>
    <x v="73"/>
    <x v="0"/>
    <x v="549"/>
    <d v="2013-12-26T00:00:00"/>
    <x v="12"/>
    <x v="1"/>
    <s v="Longs Métrages Fiction"/>
    <m/>
    <x v="0"/>
    <x v="0"/>
    <m/>
    <x v="0"/>
    <x v="1"/>
    <x v="1638"/>
    <x v="73"/>
    <x v="0"/>
    <x v="0"/>
    <x v="549"/>
    <x v="4476"/>
  </r>
  <r>
    <x v="2"/>
    <n v="1311"/>
    <x v="904"/>
    <x v="0"/>
    <s v="CM"/>
    <s v="N"/>
    <x v="610"/>
    <x v="41"/>
    <x v="854"/>
    <m/>
    <x v="24"/>
    <m/>
    <x v="3"/>
    <x v="0"/>
    <x v="550"/>
    <d v="2013-03-27T00:00:00"/>
    <x v="2"/>
    <x v="0"/>
    <m/>
    <m/>
    <x v="0"/>
    <x v="1"/>
    <m/>
    <x v="0"/>
    <x v="0"/>
    <x v="907"/>
    <x v="3"/>
    <x v="0"/>
    <x v="1"/>
    <x v="550"/>
    <x v="4477"/>
  </r>
  <r>
    <x v="2"/>
    <n v="37"/>
    <x v="20"/>
    <x v="0"/>
    <s v="CM"/>
    <s v="N"/>
    <x v="20"/>
    <x v="7"/>
    <x v="855"/>
    <m/>
    <x v="18"/>
    <m/>
    <x v="3"/>
    <x v="0"/>
    <x v="551"/>
    <d v="2013-12-10T00:00:00"/>
    <x v="32"/>
    <x v="0"/>
    <m/>
    <m/>
    <x v="0"/>
    <x v="1"/>
    <m/>
    <x v="0"/>
    <x v="0"/>
    <x v="20"/>
    <x v="3"/>
    <x v="0"/>
    <x v="1"/>
    <x v="551"/>
    <x v="4478"/>
  </r>
  <r>
    <x v="2"/>
    <n v="1531"/>
    <x v="906"/>
    <x v="0"/>
    <s v="LM"/>
    <s v="S"/>
    <x v="20"/>
    <x v="39"/>
    <x v="856"/>
    <m/>
    <x v="23"/>
    <m/>
    <x v="3"/>
    <x v="0"/>
    <x v="552"/>
    <d v="2013-03-06T00:00:00"/>
    <x v="19"/>
    <x v="0"/>
    <m/>
    <m/>
    <x v="0"/>
    <x v="1"/>
    <s v="Universidade Lusófona do Porto"/>
    <x v="0"/>
    <x v="5"/>
    <x v="909"/>
    <x v="3"/>
    <x v="0"/>
    <x v="1"/>
    <x v="552"/>
    <x v="4479"/>
  </r>
  <r>
    <x v="2"/>
    <n v="2073"/>
    <x v="1627"/>
    <x v="1"/>
    <s v="LM"/>
    <s v="N"/>
    <x v="572"/>
    <x v="52"/>
    <x v="25"/>
    <m/>
    <x v="24"/>
    <m/>
    <x v="3"/>
    <x v="0"/>
    <x v="553"/>
    <d v="2013-11-03T00:00:00"/>
    <x v="0"/>
    <x v="1"/>
    <s v="Competição Portuguesa- Longas"/>
    <m/>
    <x v="442"/>
    <x v="0"/>
    <m/>
    <x v="1"/>
    <x v="1"/>
    <x v="1639"/>
    <x v="3"/>
    <x v="537"/>
    <x v="1"/>
    <x v="553"/>
    <x v="4480"/>
  </r>
  <r>
    <x v="2"/>
    <n v="680"/>
    <x v="907"/>
    <x v="2"/>
    <s v="CM"/>
    <s v="N"/>
    <x v="364"/>
    <x v="41"/>
    <x v="70"/>
    <m/>
    <x v="38"/>
    <m/>
    <x v="3"/>
    <x v="0"/>
    <x v="510"/>
    <d v="2013-09-15T00:00:00"/>
    <x v="9"/>
    <x v="1"/>
    <s v="Sessão Competitiva 1"/>
    <m/>
    <x v="0"/>
    <x v="0"/>
    <m/>
    <x v="0"/>
    <x v="4"/>
    <x v="910"/>
    <x v="3"/>
    <x v="0"/>
    <x v="1"/>
    <x v="510"/>
    <x v="4481"/>
  </r>
  <r>
    <x v="2"/>
    <n v="39"/>
    <x v="22"/>
    <x v="0"/>
    <s v="LM"/>
    <s v="N"/>
    <x v="22"/>
    <x v="8"/>
    <x v="857"/>
    <m/>
    <x v="419"/>
    <m/>
    <x v="34"/>
    <x v="0"/>
    <x v="554"/>
    <d v="2013-08-25T00:00:00"/>
    <x v="16"/>
    <x v="0"/>
    <m/>
    <s v="Filme de Abertura"/>
    <x v="0"/>
    <x v="0"/>
    <m/>
    <x v="0"/>
    <x v="5"/>
    <x v="22"/>
    <x v="34"/>
    <x v="0"/>
    <x v="0"/>
    <x v="554"/>
    <x v="4482"/>
  </r>
  <r>
    <x v="2"/>
    <n v="40"/>
    <x v="908"/>
    <x v="0"/>
    <s v="LM"/>
    <s v="S"/>
    <x v="0"/>
    <x v="9"/>
    <x v="843"/>
    <m/>
    <x v="253"/>
    <m/>
    <x v="0"/>
    <x v="0"/>
    <x v="532"/>
    <d v="2013-05-26T00:00:00"/>
    <x v="6"/>
    <x v="0"/>
    <m/>
    <m/>
    <x v="0"/>
    <x v="1"/>
    <m/>
    <x v="0"/>
    <x v="5"/>
    <x v="911"/>
    <x v="0"/>
    <x v="0"/>
    <x v="0"/>
    <x v="532"/>
    <x v="4483"/>
  </r>
  <r>
    <x v="2"/>
    <n v="40"/>
    <x v="908"/>
    <x v="0"/>
    <s v="LM"/>
    <s v="S"/>
    <x v="0"/>
    <x v="9"/>
    <x v="844"/>
    <m/>
    <x v="0"/>
    <m/>
    <x v="0"/>
    <x v="0"/>
    <x v="533"/>
    <d v="2013-06-06T00:00:00"/>
    <x v="22"/>
    <x v="0"/>
    <m/>
    <m/>
    <x v="0"/>
    <x v="1"/>
    <m/>
    <x v="0"/>
    <x v="5"/>
    <x v="911"/>
    <x v="0"/>
    <x v="0"/>
    <x v="0"/>
    <x v="533"/>
    <x v="4484"/>
  </r>
  <r>
    <x v="2"/>
    <n v="2016"/>
    <x v="912"/>
    <x v="0"/>
    <s v="CM"/>
    <s v="N"/>
    <x v="613"/>
    <x v="41"/>
    <x v="826"/>
    <m/>
    <x v="24"/>
    <m/>
    <x v="3"/>
    <x v="0"/>
    <x v="505"/>
    <d v="2013-09-29T00:00:00"/>
    <x v="9"/>
    <x v="1"/>
    <m/>
    <m/>
    <x v="0"/>
    <x v="0"/>
    <m/>
    <x v="0"/>
    <x v="0"/>
    <x v="915"/>
    <x v="3"/>
    <x v="0"/>
    <x v="1"/>
    <x v="505"/>
    <x v="4485"/>
  </r>
  <r>
    <x v="2"/>
    <n v="1978"/>
    <x v="1628"/>
    <x v="0"/>
    <s v="CM"/>
    <s v="N"/>
    <x v="1066"/>
    <x v="52"/>
    <x v="827"/>
    <m/>
    <x v="24"/>
    <m/>
    <x v="3"/>
    <x v="0"/>
    <x v="555"/>
    <m/>
    <x v="16"/>
    <x v="1"/>
    <m/>
    <m/>
    <x v="0"/>
    <x v="0"/>
    <m/>
    <x v="0"/>
    <x v="0"/>
    <x v="1640"/>
    <x v="3"/>
    <x v="0"/>
    <x v="1"/>
    <x v="555"/>
    <x v="4486"/>
  </r>
  <r>
    <x v="2"/>
    <n v="1706"/>
    <x v="1629"/>
    <x v="4"/>
    <s v="CM"/>
    <s v="N"/>
    <x v="1067"/>
    <x v="2"/>
    <x v="62"/>
    <m/>
    <x v="23"/>
    <m/>
    <x v="3"/>
    <x v="0"/>
    <x v="503"/>
    <d v="2013-03-10T00:00:00"/>
    <x v="19"/>
    <x v="1"/>
    <s v="Prémio de Cinema Português - Escolas de Cinema"/>
    <m/>
    <x v="0"/>
    <x v="0"/>
    <s v="ESTC"/>
    <x v="0"/>
    <x v="8"/>
    <x v="1641"/>
    <x v="3"/>
    <x v="0"/>
    <x v="1"/>
    <x v="503"/>
    <x v="4487"/>
  </r>
  <r>
    <x v="2"/>
    <n v="47"/>
    <x v="914"/>
    <x v="0"/>
    <s v="CM"/>
    <s v="S"/>
    <x v="615"/>
    <x v="41"/>
    <x v="854"/>
    <m/>
    <x v="24"/>
    <m/>
    <x v="3"/>
    <x v="0"/>
    <x v="550"/>
    <d v="2013-03-27T00:00:00"/>
    <x v="2"/>
    <x v="0"/>
    <m/>
    <m/>
    <x v="0"/>
    <x v="1"/>
    <m/>
    <x v="0"/>
    <x v="0"/>
    <x v="917"/>
    <x v="3"/>
    <x v="0"/>
    <x v="1"/>
    <x v="550"/>
    <x v="4488"/>
  </r>
  <r>
    <x v="2"/>
    <n v="47"/>
    <x v="914"/>
    <x v="0"/>
    <s v="CM"/>
    <s v="S"/>
    <x v="615"/>
    <x v="41"/>
    <x v="63"/>
    <m/>
    <x v="24"/>
    <m/>
    <x v="3"/>
    <x v="0"/>
    <x v="556"/>
    <d v="2013-04-10T00:00:00"/>
    <x v="5"/>
    <x v="1"/>
    <s v="Competição Curta-metragem"/>
    <m/>
    <x v="0"/>
    <x v="0"/>
    <m/>
    <x v="0"/>
    <x v="0"/>
    <x v="917"/>
    <x v="3"/>
    <x v="0"/>
    <x v="1"/>
    <x v="556"/>
    <x v="4489"/>
  </r>
  <r>
    <x v="2"/>
    <n v="47"/>
    <x v="914"/>
    <x v="0"/>
    <s v="CM"/>
    <s v="S"/>
    <x v="615"/>
    <x v="41"/>
    <x v="192"/>
    <m/>
    <x v="140"/>
    <m/>
    <x v="3"/>
    <x v="0"/>
    <x v="334"/>
    <d v="2013-07-28T00:00:00"/>
    <x v="8"/>
    <x v="0"/>
    <m/>
    <s v="Panorama Cinema Português"/>
    <x v="0"/>
    <x v="0"/>
    <m/>
    <x v="0"/>
    <x v="0"/>
    <x v="917"/>
    <x v="3"/>
    <x v="0"/>
    <x v="1"/>
    <x v="334"/>
    <x v="4490"/>
  </r>
  <r>
    <x v="2"/>
    <n v="47"/>
    <x v="914"/>
    <x v="0"/>
    <s v="CM"/>
    <s v="S"/>
    <x v="615"/>
    <x v="41"/>
    <x v="316"/>
    <m/>
    <x v="11"/>
    <m/>
    <x v="3"/>
    <x v="0"/>
    <x v="500"/>
    <d v="2013-08-31T00:00:00"/>
    <x v="16"/>
    <x v="1"/>
    <s v="Ficção"/>
    <m/>
    <x v="0"/>
    <x v="0"/>
    <m/>
    <x v="0"/>
    <x v="0"/>
    <x v="917"/>
    <x v="3"/>
    <x v="0"/>
    <x v="1"/>
    <x v="500"/>
    <x v="4491"/>
  </r>
  <r>
    <x v="2"/>
    <n v="1987"/>
    <x v="915"/>
    <x v="3"/>
    <s v="CM"/>
    <s v="N"/>
    <x v="616"/>
    <x v="41"/>
    <x v="767"/>
    <m/>
    <x v="65"/>
    <m/>
    <x v="9"/>
    <x v="0"/>
    <x v="542"/>
    <d v="2013-09-08T00:00:00"/>
    <x v="9"/>
    <x v="0"/>
    <m/>
    <m/>
    <x v="0"/>
    <x v="0"/>
    <m/>
    <x v="0"/>
    <x v="6"/>
    <x v="918"/>
    <x v="9"/>
    <x v="0"/>
    <x v="0"/>
    <x v="542"/>
    <x v="4492"/>
  </r>
  <r>
    <x v="2"/>
    <n v="1987"/>
    <x v="915"/>
    <x v="3"/>
    <s v="CM"/>
    <s v="N"/>
    <x v="616"/>
    <x v="41"/>
    <x v="858"/>
    <m/>
    <x v="23"/>
    <m/>
    <x v="3"/>
    <x v="0"/>
    <x v="501"/>
    <d v="2013-10-19T00:00:00"/>
    <x v="14"/>
    <x v="1"/>
    <m/>
    <m/>
    <x v="0"/>
    <x v="0"/>
    <m/>
    <x v="0"/>
    <x v="6"/>
    <x v="918"/>
    <x v="3"/>
    <x v="0"/>
    <x v="1"/>
    <x v="501"/>
    <x v="4493"/>
  </r>
  <r>
    <x v="2"/>
    <n v="50"/>
    <x v="920"/>
    <x v="1"/>
    <s v="CM"/>
    <s v="N"/>
    <x v="313"/>
    <x v="41"/>
    <x v="30"/>
    <m/>
    <x v="28"/>
    <m/>
    <x v="8"/>
    <x v="0"/>
    <x v="557"/>
    <d v="2013-03-17T00:00:00"/>
    <x v="2"/>
    <x v="1"/>
    <s v="European Competition"/>
    <m/>
    <x v="0"/>
    <x v="0"/>
    <m/>
    <x v="0"/>
    <x v="2"/>
    <x v="923"/>
    <x v="8"/>
    <x v="0"/>
    <x v="0"/>
    <x v="557"/>
    <x v="4494"/>
  </r>
  <r>
    <x v="2"/>
    <n v="50"/>
    <x v="920"/>
    <x v="1"/>
    <s v="CM"/>
    <s v="N"/>
    <x v="313"/>
    <x v="41"/>
    <x v="854"/>
    <m/>
    <x v="24"/>
    <m/>
    <x v="3"/>
    <x v="0"/>
    <x v="550"/>
    <d v="2013-03-27T00:00:00"/>
    <x v="2"/>
    <x v="0"/>
    <m/>
    <m/>
    <x v="0"/>
    <x v="1"/>
    <m/>
    <x v="0"/>
    <x v="2"/>
    <x v="923"/>
    <x v="3"/>
    <x v="0"/>
    <x v="1"/>
    <x v="550"/>
    <x v="4495"/>
  </r>
  <r>
    <x v="2"/>
    <n v="50"/>
    <x v="920"/>
    <x v="1"/>
    <s v="CM"/>
    <s v="N"/>
    <x v="313"/>
    <x v="41"/>
    <x v="756"/>
    <m/>
    <x v="379"/>
    <m/>
    <x v="1"/>
    <x v="0"/>
    <x v="558"/>
    <d v="2013-06-28T00:00:00"/>
    <x v="7"/>
    <x v="1"/>
    <s v="Sección Oficial Cortometrajes"/>
    <m/>
    <x v="0"/>
    <x v="0"/>
    <m/>
    <x v="0"/>
    <x v="2"/>
    <x v="923"/>
    <x v="1"/>
    <x v="0"/>
    <x v="0"/>
    <x v="558"/>
    <x v="4496"/>
  </r>
  <r>
    <x v="2"/>
    <n v="50"/>
    <x v="920"/>
    <x v="1"/>
    <s v="CM"/>
    <s v="N"/>
    <x v="313"/>
    <x v="41"/>
    <x v="859"/>
    <m/>
    <x v="420"/>
    <m/>
    <x v="0"/>
    <x v="0"/>
    <x v="559"/>
    <d v="2013-09-29T00:00:00"/>
    <x v="9"/>
    <x v="0"/>
    <m/>
    <s v="Mostra Movimentos do Mundo - MOV I"/>
    <x v="0"/>
    <x v="0"/>
    <m/>
    <x v="0"/>
    <x v="2"/>
    <x v="923"/>
    <x v="0"/>
    <x v="0"/>
    <x v="0"/>
    <x v="559"/>
    <x v="4497"/>
  </r>
  <r>
    <x v="2"/>
    <n v="50"/>
    <x v="920"/>
    <x v="1"/>
    <s v="CM"/>
    <s v="N"/>
    <x v="313"/>
    <x v="41"/>
    <x v="826"/>
    <m/>
    <x v="24"/>
    <m/>
    <x v="3"/>
    <x v="0"/>
    <x v="505"/>
    <d v="2013-09-29T00:00:00"/>
    <x v="9"/>
    <x v="1"/>
    <m/>
    <m/>
    <x v="443"/>
    <x v="0"/>
    <m/>
    <x v="1"/>
    <x v="2"/>
    <x v="923"/>
    <x v="3"/>
    <x v="538"/>
    <x v="1"/>
    <x v="505"/>
    <x v="4498"/>
  </r>
  <r>
    <x v="2"/>
    <n v="50"/>
    <x v="920"/>
    <x v="1"/>
    <s v="CM"/>
    <s v="N"/>
    <x v="313"/>
    <x v="41"/>
    <x v="95"/>
    <m/>
    <x v="74"/>
    <m/>
    <x v="1"/>
    <x v="0"/>
    <x v="519"/>
    <d v="2013-11-15T00:00:00"/>
    <x v="13"/>
    <x v="1"/>
    <s v="Certamen Europeo 2"/>
    <m/>
    <x v="0"/>
    <x v="0"/>
    <m/>
    <x v="0"/>
    <x v="2"/>
    <x v="923"/>
    <x v="1"/>
    <x v="0"/>
    <x v="0"/>
    <x v="519"/>
    <x v="4499"/>
  </r>
  <r>
    <x v="2"/>
    <n v="50"/>
    <x v="920"/>
    <x v="1"/>
    <s v="CM"/>
    <s v="N"/>
    <x v="313"/>
    <x v="41"/>
    <x v="860"/>
    <m/>
    <x v="6"/>
    <m/>
    <x v="4"/>
    <x v="0"/>
    <x v="467"/>
    <d v="2013-11-24T00:00:00"/>
    <x v="13"/>
    <x v="0"/>
    <m/>
    <s v="Portugal Alterado: Las últimas películas"/>
    <x v="0"/>
    <x v="0"/>
    <m/>
    <x v="0"/>
    <x v="2"/>
    <x v="923"/>
    <x v="4"/>
    <x v="0"/>
    <x v="0"/>
    <x v="467"/>
    <x v="4500"/>
  </r>
  <r>
    <x v="2"/>
    <n v="54"/>
    <x v="28"/>
    <x v="0"/>
    <s v="CM"/>
    <s v="N"/>
    <x v="28"/>
    <x v="2"/>
    <x v="861"/>
    <m/>
    <x v="24"/>
    <m/>
    <x v="3"/>
    <x v="0"/>
    <x v="499"/>
    <d v="2013-06-30T00:00:00"/>
    <x v="7"/>
    <x v="0"/>
    <m/>
    <m/>
    <x v="0"/>
    <x v="1"/>
    <s v="Sessão  Shortcutz Lisboa"/>
    <x v="0"/>
    <x v="0"/>
    <x v="28"/>
    <x v="3"/>
    <x v="0"/>
    <x v="1"/>
    <x v="499"/>
    <x v="4501"/>
  </r>
  <r>
    <x v="2"/>
    <n v="56"/>
    <x v="30"/>
    <x v="0"/>
    <s v="LM"/>
    <s v="S"/>
    <x v="30"/>
    <x v="9"/>
    <x v="862"/>
    <m/>
    <x v="24"/>
    <m/>
    <x v="3"/>
    <x v="0"/>
    <x v="560"/>
    <m/>
    <x v="2"/>
    <x v="0"/>
    <m/>
    <m/>
    <x v="0"/>
    <x v="1"/>
    <m/>
    <x v="0"/>
    <x v="5"/>
    <x v="30"/>
    <x v="3"/>
    <x v="0"/>
    <x v="1"/>
    <x v="560"/>
    <x v="4502"/>
  </r>
  <r>
    <x v="2"/>
    <n v="56"/>
    <x v="30"/>
    <x v="0"/>
    <s v="LM"/>
    <s v="S"/>
    <x v="30"/>
    <x v="9"/>
    <x v="863"/>
    <m/>
    <x v="421"/>
    <m/>
    <x v="32"/>
    <x v="0"/>
    <x v="561"/>
    <d v="2013-03-30T00:00:00"/>
    <x v="2"/>
    <x v="0"/>
    <m/>
    <s v="Carte Blanche Cinéma Portugais"/>
    <x v="0"/>
    <x v="1"/>
    <m/>
    <x v="0"/>
    <x v="5"/>
    <x v="30"/>
    <x v="32"/>
    <x v="0"/>
    <x v="0"/>
    <x v="561"/>
    <x v="4503"/>
  </r>
  <r>
    <x v="2"/>
    <n v="57"/>
    <x v="31"/>
    <x v="0"/>
    <s v="CM"/>
    <s v="N"/>
    <x v="31"/>
    <x v="3"/>
    <x v="34"/>
    <m/>
    <x v="32"/>
    <m/>
    <x v="3"/>
    <x v="0"/>
    <x v="525"/>
    <d v="2013-05-12T00:00:00"/>
    <x v="6"/>
    <x v="1"/>
    <s v="Ficção"/>
    <m/>
    <x v="0"/>
    <x v="0"/>
    <m/>
    <x v="0"/>
    <x v="0"/>
    <x v="31"/>
    <x v="3"/>
    <x v="0"/>
    <x v="1"/>
    <x v="525"/>
    <x v="4504"/>
  </r>
  <r>
    <x v="2"/>
    <n v="57"/>
    <x v="31"/>
    <x v="0"/>
    <s v="CM"/>
    <s v="N"/>
    <x v="31"/>
    <x v="3"/>
    <x v="864"/>
    <m/>
    <x v="32"/>
    <m/>
    <x v="3"/>
    <x v="0"/>
    <x v="562"/>
    <d v="2013-06-16T00:00:00"/>
    <x v="7"/>
    <x v="0"/>
    <m/>
    <s v="Mostra do Cinema Português"/>
    <x v="0"/>
    <x v="0"/>
    <m/>
    <x v="0"/>
    <x v="0"/>
    <x v="31"/>
    <x v="3"/>
    <x v="0"/>
    <x v="1"/>
    <x v="562"/>
    <x v="4505"/>
  </r>
  <r>
    <x v="2"/>
    <n v="1612"/>
    <x v="1630"/>
    <x v="0"/>
    <s v="CM"/>
    <s v="N"/>
    <x v="427"/>
    <x v="1"/>
    <x v="865"/>
    <m/>
    <x v="419"/>
    <m/>
    <x v="34"/>
    <x v="0"/>
    <x v="563"/>
    <d v="2013-02-28T00:00:00"/>
    <x v="18"/>
    <x v="0"/>
    <m/>
    <m/>
    <x v="0"/>
    <x v="1"/>
    <s v="Cinemathèque Suisse"/>
    <x v="0"/>
    <x v="0"/>
    <x v="1642"/>
    <x v="34"/>
    <x v="0"/>
    <x v="0"/>
    <x v="563"/>
    <x v="4506"/>
  </r>
  <r>
    <x v="2"/>
    <n v="1713"/>
    <x v="1631"/>
    <x v="1"/>
    <s v="CM"/>
    <s v="N"/>
    <x v="1068"/>
    <x v="52"/>
    <x v="866"/>
    <m/>
    <x v="23"/>
    <m/>
    <x v="3"/>
    <x v="0"/>
    <x v="557"/>
    <m/>
    <x v="2"/>
    <x v="0"/>
    <m/>
    <s v="Mestrado de CAM - Comunicação Audiovisual e Multimedia"/>
    <x v="0"/>
    <x v="1"/>
    <m/>
    <x v="0"/>
    <x v="2"/>
    <x v="1643"/>
    <x v="3"/>
    <x v="0"/>
    <x v="1"/>
    <x v="557"/>
    <x v="4507"/>
  </r>
  <r>
    <x v="2"/>
    <n v="1711"/>
    <x v="1632"/>
    <x v="0"/>
    <s v="CM"/>
    <s v="N"/>
    <x v="1069"/>
    <x v="5"/>
    <x v="831"/>
    <m/>
    <x v="348"/>
    <m/>
    <x v="3"/>
    <x v="0"/>
    <x v="511"/>
    <m/>
    <x v="2"/>
    <x v="1"/>
    <s v="Curta-metragem de ficção"/>
    <m/>
    <x v="0"/>
    <x v="0"/>
    <s v="ULHT"/>
    <x v="0"/>
    <x v="0"/>
    <x v="1644"/>
    <x v="3"/>
    <x v="0"/>
    <x v="1"/>
    <x v="511"/>
    <x v="4508"/>
  </r>
  <r>
    <x v="2"/>
    <n v="1825"/>
    <x v="1633"/>
    <x v="1"/>
    <s v="CM"/>
    <s v="N"/>
    <x v="1070"/>
    <x v="52"/>
    <x v="861"/>
    <m/>
    <x v="24"/>
    <m/>
    <x v="3"/>
    <x v="0"/>
    <x v="499"/>
    <d v="2013-06-30T00:00:00"/>
    <x v="7"/>
    <x v="0"/>
    <m/>
    <m/>
    <x v="0"/>
    <x v="1"/>
    <s v="A preceder &quot;Lisboa Domiciliária&quot;"/>
    <x v="0"/>
    <x v="2"/>
    <x v="1645"/>
    <x v="3"/>
    <x v="0"/>
    <x v="1"/>
    <x v="499"/>
    <x v="4509"/>
  </r>
  <r>
    <x v="2"/>
    <n v="1825"/>
    <x v="1633"/>
    <x v="1"/>
    <s v="CM"/>
    <s v="N"/>
    <x v="1070"/>
    <x v="52"/>
    <x v="867"/>
    <m/>
    <x v="24"/>
    <m/>
    <x v="3"/>
    <x v="0"/>
    <x v="564"/>
    <m/>
    <x v="7"/>
    <x v="0"/>
    <m/>
    <s v="Curta Convidada Olhar Lisboa"/>
    <x v="0"/>
    <x v="1"/>
    <m/>
    <x v="0"/>
    <x v="2"/>
    <x v="1645"/>
    <x v="3"/>
    <x v="0"/>
    <x v="1"/>
    <x v="564"/>
    <x v="4510"/>
  </r>
  <r>
    <x v="2"/>
    <n v="60"/>
    <x v="34"/>
    <x v="0"/>
    <s v="CM"/>
    <s v="N"/>
    <x v="34"/>
    <x v="2"/>
    <x v="868"/>
    <m/>
    <x v="24"/>
    <m/>
    <x v="3"/>
    <x v="0"/>
    <x v="565"/>
    <m/>
    <x v="1"/>
    <x v="0"/>
    <m/>
    <m/>
    <x v="444"/>
    <x v="2"/>
    <m/>
    <x v="1"/>
    <x v="0"/>
    <x v="34"/>
    <x v="3"/>
    <x v="539"/>
    <x v="1"/>
    <x v="565"/>
    <x v="4511"/>
  </r>
  <r>
    <x v="2"/>
    <n v="1932"/>
    <x v="1634"/>
    <x v="3"/>
    <s v="CM"/>
    <s v="N"/>
    <x v="1071"/>
    <x v="53"/>
    <x v="846"/>
    <m/>
    <x v="417"/>
    <m/>
    <x v="11"/>
    <x v="0"/>
    <x v="535"/>
    <d v="2013-08-03T00:00:00"/>
    <x v="25"/>
    <x v="0"/>
    <m/>
    <s v="Focus Portual: Silent Films"/>
    <x v="0"/>
    <x v="0"/>
    <m/>
    <x v="0"/>
    <x v="6"/>
    <x v="1646"/>
    <x v="11"/>
    <x v="0"/>
    <x v="0"/>
    <x v="535"/>
    <x v="4512"/>
  </r>
  <r>
    <x v="2"/>
    <n v="1844"/>
    <x v="1635"/>
    <x v="0"/>
    <s v="CM"/>
    <s v="N"/>
    <x v="1072"/>
    <x v="52"/>
    <x v="146"/>
    <m/>
    <x v="24"/>
    <m/>
    <x v="3"/>
    <x v="0"/>
    <x v="537"/>
    <d v="2013-04-28T00:00:00"/>
    <x v="5"/>
    <x v="1"/>
    <s v="Competição Nacional - Ficção"/>
    <s v="Cinema Emergente Curtas"/>
    <x v="0"/>
    <x v="0"/>
    <m/>
    <x v="0"/>
    <x v="0"/>
    <x v="1647"/>
    <x v="3"/>
    <x v="0"/>
    <x v="1"/>
    <x v="537"/>
    <x v="4513"/>
  </r>
  <r>
    <x v="2"/>
    <n v="2028"/>
    <x v="1636"/>
    <x v="0"/>
    <s v="CM"/>
    <s v="N"/>
    <x v="1073"/>
    <x v="52"/>
    <x v="826"/>
    <m/>
    <x v="24"/>
    <m/>
    <x v="3"/>
    <x v="0"/>
    <x v="505"/>
    <d v="2013-09-29T00:00:00"/>
    <x v="9"/>
    <x v="1"/>
    <m/>
    <m/>
    <x v="0"/>
    <x v="0"/>
    <m/>
    <x v="0"/>
    <x v="0"/>
    <x v="1648"/>
    <x v="3"/>
    <x v="0"/>
    <x v="1"/>
    <x v="505"/>
    <x v="4514"/>
  </r>
  <r>
    <x v="2"/>
    <n v="1478"/>
    <x v="927"/>
    <x v="2"/>
    <s v="CM"/>
    <s v="N"/>
    <x v="73"/>
    <x v="41"/>
    <x v="220"/>
    <m/>
    <x v="154"/>
    <m/>
    <x v="0"/>
    <x v="0"/>
    <x v="566"/>
    <d v="2013-08-18T00:00:00"/>
    <x v="16"/>
    <x v="1"/>
    <s v="Portifólio"/>
    <m/>
    <x v="0"/>
    <x v="0"/>
    <m/>
    <x v="0"/>
    <x v="4"/>
    <x v="930"/>
    <x v="0"/>
    <x v="0"/>
    <x v="0"/>
    <x v="566"/>
    <x v="4515"/>
  </r>
  <r>
    <x v="2"/>
    <n v="1803"/>
    <x v="1637"/>
    <x v="1"/>
    <s v="CM"/>
    <s v="N"/>
    <x v="1074"/>
    <x v="52"/>
    <x v="869"/>
    <m/>
    <x v="24"/>
    <m/>
    <x v="3"/>
    <x v="0"/>
    <x v="567"/>
    <m/>
    <x v="6"/>
    <x v="1"/>
    <m/>
    <m/>
    <x v="37"/>
    <x v="2"/>
    <m/>
    <x v="1"/>
    <x v="2"/>
    <x v="1649"/>
    <x v="3"/>
    <x v="39"/>
    <x v="1"/>
    <x v="567"/>
    <x v="4516"/>
  </r>
  <r>
    <x v="2"/>
    <n v="1717"/>
    <x v="928"/>
    <x v="1"/>
    <s v="CM"/>
    <s v="N"/>
    <x v="1075"/>
    <x v="41"/>
    <x v="62"/>
    <m/>
    <x v="23"/>
    <m/>
    <x v="3"/>
    <x v="0"/>
    <x v="503"/>
    <d v="2013-03-10T00:00:00"/>
    <x v="19"/>
    <x v="1"/>
    <s v="Prémio de Cinema Português - Escolas de Cinema"/>
    <m/>
    <x v="0"/>
    <x v="0"/>
    <s v="Universidade do Minho"/>
    <x v="0"/>
    <x v="2"/>
    <x v="1650"/>
    <x v="3"/>
    <x v="0"/>
    <x v="1"/>
    <x v="503"/>
    <x v="4517"/>
  </r>
  <r>
    <x v="2"/>
    <n v="67"/>
    <x v="40"/>
    <x v="0"/>
    <s v="LM"/>
    <s v="S"/>
    <x v="38"/>
    <x v="5"/>
    <x v="492"/>
    <m/>
    <x v="128"/>
    <m/>
    <x v="1"/>
    <x v="0"/>
    <x v="519"/>
    <d v="2013-11-16T00:00:00"/>
    <x v="13"/>
    <x v="0"/>
    <m/>
    <s v="Focus Europa: Portugal"/>
    <x v="0"/>
    <x v="0"/>
    <m/>
    <x v="0"/>
    <x v="5"/>
    <x v="40"/>
    <x v="1"/>
    <x v="0"/>
    <x v="0"/>
    <x v="519"/>
    <x v="4518"/>
  </r>
  <r>
    <x v="2"/>
    <n v="71"/>
    <x v="931"/>
    <x v="0"/>
    <s v="CM"/>
    <s v="N"/>
    <x v="628"/>
    <x v="3"/>
    <x v="827"/>
    <m/>
    <x v="24"/>
    <m/>
    <x v="3"/>
    <x v="0"/>
    <x v="555"/>
    <m/>
    <x v="16"/>
    <x v="1"/>
    <m/>
    <m/>
    <x v="0"/>
    <x v="0"/>
    <m/>
    <x v="0"/>
    <x v="0"/>
    <x v="934"/>
    <x v="3"/>
    <x v="0"/>
    <x v="1"/>
    <x v="555"/>
    <x v="4519"/>
  </r>
  <r>
    <x v="2"/>
    <n v="1961"/>
    <x v="1638"/>
    <x v="1"/>
    <s v="CM"/>
    <s v="N"/>
    <x v="1076"/>
    <x v="2"/>
    <x v="316"/>
    <m/>
    <x v="11"/>
    <m/>
    <x v="3"/>
    <x v="0"/>
    <x v="500"/>
    <d v="2013-08-31T00:00:00"/>
    <x v="16"/>
    <x v="1"/>
    <s v="Documentário"/>
    <m/>
    <x v="445"/>
    <x v="0"/>
    <m/>
    <x v="1"/>
    <x v="2"/>
    <x v="1651"/>
    <x v="3"/>
    <x v="540"/>
    <x v="1"/>
    <x v="500"/>
    <x v="4520"/>
  </r>
  <r>
    <x v="2"/>
    <n v="72"/>
    <x v="42"/>
    <x v="1"/>
    <s v="CM"/>
    <s v="S"/>
    <x v="40"/>
    <x v="10"/>
    <x v="158"/>
    <m/>
    <x v="121"/>
    <m/>
    <x v="3"/>
    <x v="0"/>
    <x v="568"/>
    <d v="2013-10-13T00:00:00"/>
    <x v="14"/>
    <x v="0"/>
    <m/>
    <s v="Focus: Teresa Villaverde"/>
    <x v="0"/>
    <x v="0"/>
    <m/>
    <x v="0"/>
    <x v="2"/>
    <x v="42"/>
    <x v="3"/>
    <x v="0"/>
    <x v="1"/>
    <x v="568"/>
    <x v="4521"/>
  </r>
  <r>
    <x v="2"/>
    <n v="1613"/>
    <x v="1639"/>
    <x v="0"/>
    <s v="LM"/>
    <s v="S"/>
    <x v="461"/>
    <x v="45"/>
    <x v="865"/>
    <m/>
    <x v="419"/>
    <m/>
    <x v="34"/>
    <x v="0"/>
    <x v="563"/>
    <d v="2013-02-28T00:00:00"/>
    <x v="18"/>
    <x v="0"/>
    <m/>
    <m/>
    <x v="0"/>
    <x v="1"/>
    <s v="Cinemathèque Suisse"/>
    <x v="0"/>
    <x v="5"/>
    <x v="1652"/>
    <x v="34"/>
    <x v="0"/>
    <x v="0"/>
    <x v="563"/>
    <x v="4522"/>
  </r>
  <r>
    <x v="2"/>
    <n v="1784"/>
    <x v="1640"/>
    <x v="2"/>
    <s v="CM"/>
    <s v="N"/>
    <x v="1077"/>
    <x v="2"/>
    <x v="34"/>
    <m/>
    <x v="32"/>
    <m/>
    <x v="3"/>
    <x v="0"/>
    <x v="525"/>
    <d v="2013-05-12T00:00:00"/>
    <x v="6"/>
    <x v="1"/>
    <s v="Animação"/>
    <m/>
    <x v="0"/>
    <x v="0"/>
    <m/>
    <x v="0"/>
    <x v="4"/>
    <x v="1653"/>
    <x v="3"/>
    <x v="0"/>
    <x v="1"/>
    <x v="525"/>
    <x v="4523"/>
  </r>
  <r>
    <x v="2"/>
    <n v="1327"/>
    <x v="933"/>
    <x v="0"/>
    <s v="CM"/>
    <s v="N"/>
    <x v="629"/>
    <x v="41"/>
    <x v="840"/>
    <m/>
    <x v="24"/>
    <m/>
    <x v="3"/>
    <x v="0"/>
    <x v="522"/>
    <d v="2013-01-27T00:00:00"/>
    <x v="15"/>
    <x v="1"/>
    <s v="Competição Geral"/>
    <m/>
    <x v="0"/>
    <x v="0"/>
    <m/>
    <x v="0"/>
    <x v="0"/>
    <x v="936"/>
    <x v="3"/>
    <x v="0"/>
    <x v="1"/>
    <x v="522"/>
    <x v="4524"/>
  </r>
  <r>
    <x v="2"/>
    <n v="1845"/>
    <x v="1641"/>
    <x v="0"/>
    <s v="CM"/>
    <s v="N"/>
    <x v="326"/>
    <x v="52"/>
    <x v="146"/>
    <m/>
    <x v="24"/>
    <m/>
    <x v="3"/>
    <x v="0"/>
    <x v="537"/>
    <d v="2013-04-28T00:00:00"/>
    <x v="5"/>
    <x v="1"/>
    <s v="Competição Nacional - Ficção"/>
    <s v="Cinema Emergente Curtas"/>
    <x v="0"/>
    <x v="0"/>
    <m/>
    <x v="0"/>
    <x v="0"/>
    <x v="1654"/>
    <x v="3"/>
    <x v="0"/>
    <x v="1"/>
    <x v="537"/>
    <x v="4525"/>
  </r>
  <r>
    <x v="2"/>
    <n v="1845"/>
    <x v="1641"/>
    <x v="0"/>
    <s v="CM"/>
    <s v="N"/>
    <x v="326"/>
    <x v="52"/>
    <x v="48"/>
    <m/>
    <x v="24"/>
    <m/>
    <x v="3"/>
    <x v="0"/>
    <x v="569"/>
    <d v="2013-09-15T00:00:00"/>
    <x v="9"/>
    <x v="1"/>
    <s v="Prémio Yorn MOTELx"/>
    <m/>
    <x v="0"/>
    <x v="0"/>
    <m/>
    <x v="0"/>
    <x v="0"/>
    <x v="1654"/>
    <x v="3"/>
    <x v="0"/>
    <x v="1"/>
    <x v="569"/>
    <x v="4526"/>
  </r>
  <r>
    <x v="2"/>
    <n v="1845"/>
    <x v="1641"/>
    <x v="0"/>
    <s v="CM"/>
    <s v="N"/>
    <x v="326"/>
    <x v="52"/>
    <x v="870"/>
    <m/>
    <x v="59"/>
    <m/>
    <x v="3"/>
    <x v="0"/>
    <x v="568"/>
    <d v="2013-10-13T00:00:00"/>
    <x v="14"/>
    <x v="1"/>
    <s v="Competição Nacional"/>
    <m/>
    <x v="0"/>
    <x v="0"/>
    <m/>
    <x v="0"/>
    <x v="0"/>
    <x v="1654"/>
    <x v="3"/>
    <x v="0"/>
    <x v="1"/>
    <x v="568"/>
    <x v="4527"/>
  </r>
  <r>
    <x v="2"/>
    <n v="1845"/>
    <x v="1641"/>
    <x v="0"/>
    <s v="CM"/>
    <s v="N"/>
    <x v="326"/>
    <x v="52"/>
    <x v="860"/>
    <m/>
    <x v="6"/>
    <m/>
    <x v="4"/>
    <x v="0"/>
    <x v="467"/>
    <d v="2013-11-24T00:00:00"/>
    <x v="13"/>
    <x v="0"/>
    <m/>
    <s v="Portugal Alterado: Las últimas películas"/>
    <x v="0"/>
    <x v="0"/>
    <m/>
    <x v="0"/>
    <x v="0"/>
    <x v="1654"/>
    <x v="4"/>
    <x v="0"/>
    <x v="0"/>
    <x v="467"/>
    <x v="4528"/>
  </r>
  <r>
    <x v="2"/>
    <n v="77"/>
    <x v="47"/>
    <x v="0"/>
    <s v="CM"/>
    <s v="N"/>
    <x v="45"/>
    <x v="5"/>
    <x v="854"/>
    <m/>
    <x v="24"/>
    <m/>
    <x v="3"/>
    <x v="0"/>
    <x v="550"/>
    <d v="2013-03-27T00:00:00"/>
    <x v="2"/>
    <x v="0"/>
    <m/>
    <m/>
    <x v="0"/>
    <x v="1"/>
    <m/>
    <x v="0"/>
    <x v="0"/>
    <x v="47"/>
    <x v="3"/>
    <x v="0"/>
    <x v="1"/>
    <x v="550"/>
    <x v="4529"/>
  </r>
  <r>
    <x v="2"/>
    <n v="78"/>
    <x v="48"/>
    <x v="0"/>
    <s v="LM"/>
    <s v="S"/>
    <x v="40"/>
    <x v="11"/>
    <x v="158"/>
    <m/>
    <x v="121"/>
    <m/>
    <x v="3"/>
    <x v="0"/>
    <x v="568"/>
    <d v="2013-10-13T00:00:00"/>
    <x v="14"/>
    <x v="0"/>
    <m/>
    <s v="Focus: Teresa Villaverde"/>
    <x v="0"/>
    <x v="0"/>
    <m/>
    <x v="0"/>
    <x v="5"/>
    <x v="48"/>
    <x v="3"/>
    <x v="0"/>
    <x v="1"/>
    <x v="568"/>
    <x v="4530"/>
  </r>
  <r>
    <x v="2"/>
    <n v="81"/>
    <x v="50"/>
    <x v="0"/>
    <s v="LM"/>
    <s v="S"/>
    <x v="47"/>
    <x v="0"/>
    <x v="865"/>
    <m/>
    <x v="419"/>
    <m/>
    <x v="34"/>
    <x v="0"/>
    <x v="563"/>
    <d v="2013-02-28T00:00:00"/>
    <x v="18"/>
    <x v="0"/>
    <m/>
    <m/>
    <x v="0"/>
    <x v="1"/>
    <s v="Cinemathèque Suisse"/>
    <x v="0"/>
    <x v="5"/>
    <x v="50"/>
    <x v="34"/>
    <x v="0"/>
    <x v="0"/>
    <x v="563"/>
    <x v="4531"/>
  </r>
  <r>
    <x v="2"/>
    <n v="82"/>
    <x v="51"/>
    <x v="0"/>
    <s v="LM"/>
    <s v="S"/>
    <x v="48"/>
    <x v="12"/>
    <x v="871"/>
    <m/>
    <x v="391"/>
    <m/>
    <x v="1"/>
    <x v="0"/>
    <x v="498"/>
    <d v="2013-11-19T00:00:00"/>
    <x v="13"/>
    <x v="0"/>
    <m/>
    <s v="Saramago y el cine"/>
    <x v="0"/>
    <x v="1"/>
    <m/>
    <x v="0"/>
    <x v="5"/>
    <x v="51"/>
    <x v="1"/>
    <x v="0"/>
    <x v="0"/>
    <x v="498"/>
    <x v="4532"/>
  </r>
  <r>
    <x v="2"/>
    <n v="2136"/>
    <x v="1642"/>
    <x v="2"/>
    <s v="CM"/>
    <s v="N"/>
    <x v="931"/>
    <x v="3"/>
    <x v="454"/>
    <m/>
    <x v="15"/>
    <m/>
    <x v="3"/>
    <x v="0"/>
    <x v="334"/>
    <m/>
    <x v="8"/>
    <x v="1"/>
    <s v="Filme Escolar"/>
    <m/>
    <x v="263"/>
    <x v="0"/>
    <m/>
    <x v="1"/>
    <x v="4"/>
    <x v="1655"/>
    <x v="3"/>
    <x v="541"/>
    <x v="1"/>
    <x v="334"/>
    <x v="4533"/>
  </r>
  <r>
    <x v="2"/>
    <n v="2023"/>
    <x v="1643"/>
    <x v="0"/>
    <s v="CM"/>
    <s v="N"/>
    <x v="1073"/>
    <x v="52"/>
    <x v="826"/>
    <m/>
    <x v="24"/>
    <m/>
    <x v="3"/>
    <x v="0"/>
    <x v="505"/>
    <d v="2013-09-29T00:00:00"/>
    <x v="9"/>
    <x v="1"/>
    <m/>
    <m/>
    <x v="0"/>
    <x v="0"/>
    <m/>
    <x v="0"/>
    <x v="0"/>
    <x v="1656"/>
    <x v="3"/>
    <x v="0"/>
    <x v="1"/>
    <x v="505"/>
    <x v="4534"/>
  </r>
  <r>
    <x v="2"/>
    <n v="1759"/>
    <x v="1644"/>
    <x v="0"/>
    <s v="CM"/>
    <s v="N"/>
    <x v="1078"/>
    <x v="41"/>
    <x v="63"/>
    <m/>
    <x v="24"/>
    <m/>
    <x v="3"/>
    <x v="0"/>
    <x v="556"/>
    <d v="2013-04-10T00:00:00"/>
    <x v="5"/>
    <x v="1"/>
    <s v="Competição Curta-metragem"/>
    <m/>
    <x v="0"/>
    <x v="0"/>
    <m/>
    <x v="0"/>
    <x v="0"/>
    <x v="1657"/>
    <x v="3"/>
    <x v="0"/>
    <x v="1"/>
    <x v="556"/>
    <x v="4535"/>
  </r>
  <r>
    <x v="2"/>
    <n v="1759"/>
    <x v="1644"/>
    <x v="0"/>
    <s v="CM"/>
    <s v="N"/>
    <x v="1078"/>
    <x v="41"/>
    <x v="827"/>
    <m/>
    <x v="24"/>
    <m/>
    <x v="3"/>
    <x v="0"/>
    <x v="570"/>
    <m/>
    <x v="8"/>
    <x v="1"/>
    <m/>
    <m/>
    <x v="0"/>
    <x v="0"/>
    <m/>
    <x v="0"/>
    <x v="0"/>
    <x v="1657"/>
    <x v="3"/>
    <x v="0"/>
    <x v="1"/>
    <x v="570"/>
    <x v="4536"/>
  </r>
  <r>
    <x v="2"/>
    <n v="1990"/>
    <x v="1645"/>
    <x v="0"/>
    <s v="CM"/>
    <s v="N"/>
    <x v="1079"/>
    <x v="41"/>
    <x v="767"/>
    <m/>
    <x v="65"/>
    <m/>
    <x v="9"/>
    <x v="0"/>
    <x v="542"/>
    <d v="2013-09-08T00:00:00"/>
    <x v="9"/>
    <x v="0"/>
    <m/>
    <m/>
    <x v="0"/>
    <x v="0"/>
    <m/>
    <x v="0"/>
    <x v="0"/>
    <x v="1658"/>
    <x v="9"/>
    <x v="0"/>
    <x v="0"/>
    <x v="542"/>
    <x v="4537"/>
  </r>
  <r>
    <x v="2"/>
    <n v="1735"/>
    <x v="1646"/>
    <x v="2"/>
    <s v="CM"/>
    <s v="N"/>
    <x v="1080"/>
    <x v="41"/>
    <x v="26"/>
    <m/>
    <x v="24"/>
    <m/>
    <x v="3"/>
    <x v="0"/>
    <x v="571"/>
    <d v="2013-03-17T00:00:00"/>
    <x v="2"/>
    <x v="1"/>
    <s v="Competição Internacional de Estudantes"/>
    <s v="Monstrinha - 7 aos 12"/>
    <x v="0"/>
    <x v="0"/>
    <m/>
    <x v="0"/>
    <x v="4"/>
    <x v="1659"/>
    <x v="3"/>
    <x v="0"/>
    <x v="1"/>
    <x v="571"/>
    <x v="4538"/>
  </r>
  <r>
    <x v="2"/>
    <n v="1282"/>
    <x v="937"/>
    <x v="1"/>
    <s v="CM"/>
    <s v=""/>
    <x v="633"/>
    <x v="41"/>
    <x v="62"/>
    <m/>
    <x v="23"/>
    <m/>
    <x v="3"/>
    <x v="0"/>
    <x v="503"/>
    <d v="2013-03-10T00:00:00"/>
    <x v="19"/>
    <x v="0"/>
    <m/>
    <s v="FANTAS em curtas: Cineclube de Avanca"/>
    <x v="0"/>
    <x v="0"/>
    <m/>
    <x v="0"/>
    <x v="2"/>
    <x v="940"/>
    <x v="3"/>
    <x v="0"/>
    <x v="1"/>
    <x v="503"/>
    <x v="4539"/>
  </r>
  <r>
    <x v="2"/>
    <n v="1282"/>
    <x v="937"/>
    <x v="1"/>
    <s v="CM"/>
    <s v=""/>
    <x v="633"/>
    <x v="41"/>
    <x v="519"/>
    <m/>
    <x v="24"/>
    <m/>
    <x v="3"/>
    <x v="0"/>
    <x v="504"/>
    <d v="2013-05-11T00:00:00"/>
    <x v="6"/>
    <x v="0"/>
    <m/>
    <m/>
    <x v="0"/>
    <x v="1"/>
    <m/>
    <x v="0"/>
    <x v="2"/>
    <x v="940"/>
    <x v="3"/>
    <x v="0"/>
    <x v="1"/>
    <x v="504"/>
    <x v="4540"/>
  </r>
  <r>
    <x v="2"/>
    <n v="1282"/>
    <x v="937"/>
    <x v="1"/>
    <s v="CM"/>
    <s v=""/>
    <x v="633"/>
    <x v="41"/>
    <x v="829"/>
    <m/>
    <x v="411"/>
    <m/>
    <x v="0"/>
    <x v="0"/>
    <x v="508"/>
    <d v="2013-06-08T00:00:00"/>
    <x v="7"/>
    <x v="1"/>
    <s v="Competição Mostra Estrangeira"/>
    <m/>
    <x v="0"/>
    <x v="0"/>
    <m/>
    <x v="0"/>
    <x v="2"/>
    <x v="940"/>
    <x v="0"/>
    <x v="0"/>
    <x v="0"/>
    <x v="508"/>
    <x v="4541"/>
  </r>
  <r>
    <x v="2"/>
    <n v="1282"/>
    <x v="937"/>
    <x v="1"/>
    <s v="CM"/>
    <s v=""/>
    <x v="633"/>
    <x v="41"/>
    <x v="67"/>
    <m/>
    <x v="23"/>
    <m/>
    <x v="3"/>
    <x v="0"/>
    <x v="526"/>
    <d v="2013-06-16T00:00:00"/>
    <x v="7"/>
    <x v="1"/>
    <s v="Documentário "/>
    <m/>
    <x v="7"/>
    <x v="0"/>
    <m/>
    <x v="1"/>
    <x v="2"/>
    <x v="940"/>
    <x v="3"/>
    <x v="542"/>
    <x v="1"/>
    <x v="526"/>
    <x v="4542"/>
  </r>
  <r>
    <x v="2"/>
    <n v="1282"/>
    <x v="937"/>
    <x v="1"/>
    <s v="CM"/>
    <s v=""/>
    <x v="633"/>
    <x v="41"/>
    <x v="872"/>
    <m/>
    <x v="422"/>
    <m/>
    <x v="3"/>
    <x v="0"/>
    <x v="518"/>
    <d v="2013-10-26T00:00:00"/>
    <x v="14"/>
    <x v="1"/>
    <s v="Sessão Competitiva nº4"/>
    <m/>
    <x v="0"/>
    <x v="0"/>
    <m/>
    <x v="0"/>
    <x v="2"/>
    <x v="940"/>
    <x v="3"/>
    <x v="0"/>
    <x v="1"/>
    <x v="518"/>
    <x v="4543"/>
  </r>
  <r>
    <x v="2"/>
    <n v="1282"/>
    <x v="937"/>
    <x v="1"/>
    <s v="CM"/>
    <s v=""/>
    <x v="633"/>
    <x v="41"/>
    <x v="873"/>
    <m/>
    <x v="297"/>
    <m/>
    <x v="3"/>
    <x v="0"/>
    <x v="509"/>
    <d v="2013-11-27T00:00:00"/>
    <x v="13"/>
    <x v="1"/>
    <s v="Memórias, Gestos e Espaços"/>
    <m/>
    <x v="7"/>
    <x v="0"/>
    <m/>
    <x v="1"/>
    <x v="2"/>
    <x v="940"/>
    <x v="3"/>
    <x v="543"/>
    <x v="1"/>
    <x v="509"/>
    <x v="4544"/>
  </r>
  <r>
    <x v="2"/>
    <n v="1617"/>
    <x v="1647"/>
    <x v="0"/>
    <s v="CM"/>
    <s v="N"/>
    <x v="265"/>
    <x v="41"/>
    <x v="874"/>
    <m/>
    <x v="24"/>
    <m/>
    <x v="3"/>
    <x v="0"/>
    <x v="572"/>
    <m/>
    <x v="15"/>
    <x v="1"/>
    <m/>
    <m/>
    <x v="0"/>
    <x v="1"/>
    <m/>
    <x v="0"/>
    <x v="0"/>
    <x v="1660"/>
    <x v="3"/>
    <x v="0"/>
    <x v="1"/>
    <x v="572"/>
    <x v="4545"/>
  </r>
  <r>
    <x v="2"/>
    <n v="1617"/>
    <x v="1647"/>
    <x v="0"/>
    <s v="CM"/>
    <s v="N"/>
    <x v="265"/>
    <x v="41"/>
    <x v="454"/>
    <m/>
    <x v="15"/>
    <m/>
    <x v="3"/>
    <x v="0"/>
    <x v="334"/>
    <m/>
    <x v="8"/>
    <x v="1"/>
    <s v="Ficção"/>
    <m/>
    <x v="0"/>
    <x v="0"/>
    <m/>
    <x v="0"/>
    <x v="0"/>
    <x v="1660"/>
    <x v="3"/>
    <x v="0"/>
    <x v="1"/>
    <x v="334"/>
    <x v="4546"/>
  </r>
  <r>
    <x v="2"/>
    <n v="1617"/>
    <x v="1647"/>
    <x v="0"/>
    <s v="CM"/>
    <s v="N"/>
    <x v="265"/>
    <x v="41"/>
    <x v="767"/>
    <m/>
    <x v="65"/>
    <m/>
    <x v="9"/>
    <x v="0"/>
    <x v="542"/>
    <d v="2013-09-08T00:00:00"/>
    <x v="9"/>
    <x v="0"/>
    <m/>
    <m/>
    <x v="0"/>
    <x v="0"/>
    <m/>
    <x v="0"/>
    <x v="0"/>
    <x v="1660"/>
    <x v="9"/>
    <x v="0"/>
    <x v="0"/>
    <x v="542"/>
    <x v="4547"/>
  </r>
  <r>
    <x v="2"/>
    <n v="1617"/>
    <x v="1647"/>
    <x v="0"/>
    <s v="CM"/>
    <s v="N"/>
    <x v="265"/>
    <x v="41"/>
    <x v="70"/>
    <m/>
    <x v="38"/>
    <m/>
    <x v="3"/>
    <x v="0"/>
    <x v="510"/>
    <d v="2013-09-15T00:00:00"/>
    <x v="9"/>
    <x v="1"/>
    <s v="Sessão Competitiva 2"/>
    <m/>
    <x v="0"/>
    <x v="0"/>
    <m/>
    <x v="0"/>
    <x v="0"/>
    <x v="1660"/>
    <x v="3"/>
    <x v="0"/>
    <x v="1"/>
    <x v="510"/>
    <x v="4548"/>
  </r>
  <r>
    <x v="2"/>
    <n v="2032"/>
    <x v="1648"/>
    <x v="0"/>
    <s v="CM"/>
    <s v="N"/>
    <x v="461"/>
    <x v="54"/>
    <x v="870"/>
    <m/>
    <x v="59"/>
    <m/>
    <x v="3"/>
    <x v="0"/>
    <x v="568"/>
    <d v="2013-10-13T00:00:00"/>
    <x v="14"/>
    <x v="0"/>
    <m/>
    <s v="Sessão de Abertura - Mostra Retrospectiva de curtas-metragens de João César Monteiro"/>
    <x v="0"/>
    <x v="0"/>
    <m/>
    <x v="0"/>
    <x v="0"/>
    <x v="1661"/>
    <x v="3"/>
    <x v="0"/>
    <x v="1"/>
    <x v="568"/>
    <x v="4549"/>
  </r>
  <r>
    <x v="2"/>
    <n v="2019"/>
    <x v="1649"/>
    <x v="1"/>
    <s v="LM"/>
    <s v="N"/>
    <x v="259"/>
    <x v="52"/>
    <x v="68"/>
    <m/>
    <x v="53"/>
    <m/>
    <x v="3"/>
    <x v="0"/>
    <x v="573"/>
    <d v="2013-07-14T00:00:00"/>
    <x v="8"/>
    <x v="0"/>
    <m/>
    <s v="Estaleiro"/>
    <x v="0"/>
    <x v="0"/>
    <m/>
    <x v="0"/>
    <x v="1"/>
    <x v="1662"/>
    <x v="3"/>
    <x v="0"/>
    <x v="1"/>
    <x v="573"/>
    <x v="4550"/>
  </r>
  <r>
    <x v="2"/>
    <n v="2019"/>
    <x v="1649"/>
    <x v="1"/>
    <s v="LM"/>
    <s v="N"/>
    <x v="259"/>
    <x v="52"/>
    <x v="25"/>
    <m/>
    <x v="24"/>
    <m/>
    <x v="3"/>
    <x v="0"/>
    <x v="553"/>
    <d v="2013-11-03T00:00:00"/>
    <x v="0"/>
    <x v="1"/>
    <s v="Competição Portuguesa - Longas"/>
    <m/>
    <x v="446"/>
    <x v="0"/>
    <m/>
    <x v="1"/>
    <x v="1"/>
    <x v="1662"/>
    <x v="3"/>
    <x v="544"/>
    <x v="1"/>
    <x v="553"/>
    <x v="4551"/>
  </r>
  <r>
    <x v="2"/>
    <n v="2019"/>
    <x v="1649"/>
    <x v="1"/>
    <s v="LM"/>
    <s v="N"/>
    <x v="259"/>
    <x v="52"/>
    <x v="150"/>
    <m/>
    <x v="115"/>
    <m/>
    <x v="36"/>
    <x v="0"/>
    <x v="574"/>
    <d v="2013-11-17T00:00:00"/>
    <x v="13"/>
    <x v="1"/>
    <s v="DOX:AWARD - Main Competition"/>
    <m/>
    <x v="0"/>
    <x v="0"/>
    <m/>
    <x v="0"/>
    <x v="1"/>
    <x v="1662"/>
    <x v="36"/>
    <x v="0"/>
    <x v="0"/>
    <x v="574"/>
    <x v="4552"/>
  </r>
  <r>
    <x v="2"/>
    <n v="2019"/>
    <x v="1649"/>
    <x v="1"/>
    <s v="LM"/>
    <s v="N"/>
    <x v="259"/>
    <x v="52"/>
    <x v="471"/>
    <m/>
    <x v="75"/>
    <m/>
    <x v="15"/>
    <x v="0"/>
    <x v="519"/>
    <d v="2013-11-17T00:00:00"/>
    <x v="13"/>
    <x v="1"/>
    <s v="CinemaXXI - Concorso Lungometraggi"/>
    <m/>
    <x v="0"/>
    <x v="0"/>
    <m/>
    <x v="0"/>
    <x v="1"/>
    <x v="1662"/>
    <x v="15"/>
    <x v="0"/>
    <x v="0"/>
    <x v="519"/>
    <x v="4553"/>
  </r>
  <r>
    <x v="2"/>
    <n v="2019"/>
    <x v="1649"/>
    <x v="1"/>
    <s v="LM"/>
    <s v="N"/>
    <x v="259"/>
    <x v="52"/>
    <x v="875"/>
    <m/>
    <x v="173"/>
    <m/>
    <x v="7"/>
    <x v="0"/>
    <x v="498"/>
    <d v="2013-11-24T00:00:00"/>
    <x v="13"/>
    <x v="1"/>
    <s v="Compétition Internationale Longs Métrages"/>
    <m/>
    <x v="0"/>
    <x v="0"/>
    <m/>
    <x v="0"/>
    <x v="1"/>
    <x v="1662"/>
    <x v="7"/>
    <x v="0"/>
    <x v="0"/>
    <x v="498"/>
    <x v="4554"/>
  </r>
  <r>
    <x v="2"/>
    <n v="2019"/>
    <x v="1649"/>
    <x v="1"/>
    <s v="LM"/>
    <s v="N"/>
    <x v="259"/>
    <x v="52"/>
    <x v="860"/>
    <m/>
    <x v="6"/>
    <m/>
    <x v="4"/>
    <x v="0"/>
    <x v="467"/>
    <d v="2013-11-24T00:00:00"/>
    <x v="13"/>
    <x v="0"/>
    <m/>
    <s v="Portugal Alterado: Las últimas películas"/>
    <x v="0"/>
    <x v="0"/>
    <m/>
    <x v="0"/>
    <x v="1"/>
    <x v="1662"/>
    <x v="4"/>
    <x v="0"/>
    <x v="0"/>
    <x v="467"/>
    <x v="4555"/>
  </r>
  <r>
    <x v="2"/>
    <n v="2183"/>
    <x v="54"/>
    <x v="1"/>
    <s v="CM"/>
    <s v="N"/>
    <x v="1081"/>
    <x v="41"/>
    <x v="25"/>
    <m/>
    <x v="24"/>
    <m/>
    <x v="3"/>
    <x v="0"/>
    <x v="553"/>
    <d v="2013-11-03T00:00:00"/>
    <x v="0"/>
    <x v="0"/>
    <m/>
    <s v="Verdes Anoa"/>
    <x v="0"/>
    <x v="0"/>
    <m/>
    <x v="0"/>
    <x v="2"/>
    <x v="1663"/>
    <x v="3"/>
    <x v="0"/>
    <x v="1"/>
    <x v="553"/>
    <x v="4556"/>
  </r>
  <r>
    <x v="2"/>
    <n v="1876"/>
    <x v="1650"/>
    <x v="1"/>
    <s v="CM"/>
    <s v="N"/>
    <x v="574"/>
    <x v="41"/>
    <x v="519"/>
    <m/>
    <x v="24"/>
    <m/>
    <x v="3"/>
    <x v="0"/>
    <x v="504"/>
    <d v="2013-05-11T00:00:00"/>
    <x v="6"/>
    <x v="0"/>
    <m/>
    <s v="Sessão Guimarães - Capital Europeia da Cultura I"/>
    <x v="0"/>
    <x v="1"/>
    <m/>
    <x v="0"/>
    <x v="2"/>
    <x v="1664"/>
    <x v="3"/>
    <x v="0"/>
    <x v="1"/>
    <x v="504"/>
    <x v="4557"/>
  </r>
  <r>
    <x v="2"/>
    <n v="1876"/>
    <x v="1650"/>
    <x v="1"/>
    <s v="CM"/>
    <s v="N"/>
    <x v="574"/>
    <x v="41"/>
    <x v="371"/>
    <m/>
    <x v="0"/>
    <m/>
    <x v="0"/>
    <x v="0"/>
    <x v="575"/>
    <d v="2013-07-28T00:00:00"/>
    <x v="8"/>
    <x v="0"/>
    <m/>
    <s v="Foco Portugal"/>
    <x v="0"/>
    <x v="0"/>
    <m/>
    <x v="0"/>
    <x v="2"/>
    <x v="1664"/>
    <x v="0"/>
    <x v="0"/>
    <x v="0"/>
    <x v="575"/>
    <x v="4558"/>
  </r>
  <r>
    <x v="2"/>
    <n v="2188"/>
    <x v="1651"/>
    <x v="2"/>
    <s v="CM"/>
    <s v="N"/>
    <x v="1082"/>
    <x v="15"/>
    <x v="876"/>
    <m/>
    <x v="23"/>
    <m/>
    <x v="3"/>
    <x v="0"/>
    <x v="576"/>
    <m/>
    <x v="12"/>
    <x v="0"/>
    <m/>
    <s v="Convidado: O Dia Mais Curto"/>
    <x v="0"/>
    <x v="1"/>
    <m/>
    <x v="0"/>
    <x v="4"/>
    <x v="1665"/>
    <x v="3"/>
    <x v="0"/>
    <x v="1"/>
    <x v="576"/>
    <x v="4559"/>
  </r>
  <r>
    <x v="2"/>
    <n v="2188"/>
    <x v="1651"/>
    <x v="2"/>
    <s v="CM"/>
    <s v="N"/>
    <x v="1082"/>
    <x v="15"/>
    <x v="877"/>
    <m/>
    <x v="15"/>
    <m/>
    <x v="3"/>
    <x v="0"/>
    <x v="577"/>
    <m/>
    <x v="12"/>
    <x v="0"/>
    <m/>
    <s v="Curta convidada"/>
    <x v="0"/>
    <x v="1"/>
    <m/>
    <x v="0"/>
    <x v="4"/>
    <x v="1665"/>
    <x v="3"/>
    <x v="0"/>
    <x v="1"/>
    <x v="577"/>
    <x v="4560"/>
  </r>
  <r>
    <x v="2"/>
    <n v="1528"/>
    <x v="939"/>
    <x v="0"/>
    <s v="CM"/>
    <s v="N"/>
    <x v="635"/>
    <x v="41"/>
    <x v="179"/>
    <m/>
    <x v="133"/>
    <m/>
    <x v="0"/>
    <x v="0"/>
    <x v="501"/>
    <d v="2013-10-31T00:00:00"/>
    <x v="14"/>
    <x v="0"/>
    <m/>
    <s v="Guimarães Transversal"/>
    <x v="0"/>
    <x v="0"/>
    <m/>
    <x v="0"/>
    <x v="0"/>
    <x v="942"/>
    <x v="0"/>
    <x v="0"/>
    <x v="0"/>
    <x v="501"/>
    <x v="4561"/>
  </r>
  <r>
    <x v="2"/>
    <n v="89"/>
    <x v="941"/>
    <x v="1"/>
    <s v="CM"/>
    <s v="N"/>
    <x v="453"/>
    <x v="5"/>
    <x v="861"/>
    <m/>
    <x v="24"/>
    <m/>
    <x v="3"/>
    <x v="0"/>
    <x v="499"/>
    <d v="2013-06-30T00:00:00"/>
    <x v="7"/>
    <x v="0"/>
    <m/>
    <m/>
    <x v="0"/>
    <x v="1"/>
    <s v="Sessão Shortcutz Lisboa"/>
    <x v="0"/>
    <x v="2"/>
    <x v="944"/>
    <x v="3"/>
    <x v="0"/>
    <x v="1"/>
    <x v="499"/>
    <x v="4562"/>
  </r>
  <r>
    <x v="2"/>
    <n v="1809"/>
    <x v="1652"/>
    <x v="1"/>
    <s v="CM"/>
    <s v="N"/>
    <x v="1083"/>
    <x v="2"/>
    <x v="825"/>
    <m/>
    <x v="409"/>
    <m/>
    <x v="3"/>
    <x v="0"/>
    <x v="499"/>
    <m/>
    <x v="7"/>
    <x v="1"/>
    <m/>
    <m/>
    <x v="7"/>
    <x v="0"/>
    <m/>
    <x v="1"/>
    <x v="2"/>
    <x v="1666"/>
    <x v="3"/>
    <x v="7"/>
    <x v="1"/>
    <x v="499"/>
    <x v="4563"/>
  </r>
  <r>
    <x v="2"/>
    <n v="91"/>
    <x v="942"/>
    <x v="0"/>
    <s v="LM"/>
    <s v="N"/>
    <x v="536"/>
    <x v="2"/>
    <x v="583"/>
    <m/>
    <x v="49"/>
    <m/>
    <x v="3"/>
    <x v="0"/>
    <x v="578"/>
    <m/>
    <x v="1"/>
    <x v="0"/>
    <m/>
    <m/>
    <x v="0"/>
    <x v="1"/>
    <m/>
    <x v="0"/>
    <x v="5"/>
    <x v="945"/>
    <x v="3"/>
    <x v="0"/>
    <x v="1"/>
    <x v="578"/>
    <x v="4564"/>
  </r>
  <r>
    <x v="2"/>
    <n v="1501"/>
    <x v="944"/>
    <x v="2"/>
    <s v="CM"/>
    <s v="S"/>
    <x v="638"/>
    <x v="41"/>
    <x v="62"/>
    <m/>
    <x v="23"/>
    <m/>
    <x v="3"/>
    <x v="0"/>
    <x v="503"/>
    <d v="2013-03-10T00:00:00"/>
    <x v="19"/>
    <x v="1"/>
    <s v="Prémio de Cinema Português - Melhor Filme"/>
    <m/>
    <x v="0"/>
    <x v="0"/>
    <m/>
    <x v="0"/>
    <x v="4"/>
    <x v="947"/>
    <x v="3"/>
    <x v="0"/>
    <x v="1"/>
    <x v="503"/>
    <x v="4565"/>
  </r>
  <r>
    <x v="2"/>
    <n v="1501"/>
    <x v="944"/>
    <x v="2"/>
    <s v="CM"/>
    <s v="S"/>
    <x v="638"/>
    <x v="41"/>
    <x v="26"/>
    <m/>
    <x v="24"/>
    <m/>
    <x v="3"/>
    <x v="0"/>
    <x v="571"/>
    <d v="2013-03-17T00:00:00"/>
    <x v="2"/>
    <x v="1"/>
    <s v="Competição SPAutores/Vasco Granja"/>
    <m/>
    <x v="0"/>
    <x v="0"/>
    <m/>
    <x v="0"/>
    <x v="4"/>
    <x v="947"/>
    <x v="3"/>
    <x v="0"/>
    <x v="1"/>
    <x v="571"/>
    <x v="4566"/>
  </r>
  <r>
    <x v="2"/>
    <n v="1501"/>
    <x v="944"/>
    <x v="2"/>
    <s v="CM"/>
    <s v="S"/>
    <x v="638"/>
    <x v="41"/>
    <x v="829"/>
    <m/>
    <x v="411"/>
    <m/>
    <x v="0"/>
    <x v="0"/>
    <x v="508"/>
    <d v="2013-06-08T00:00:00"/>
    <x v="7"/>
    <x v="1"/>
    <s v="Competição Mostra Estrangeira"/>
    <m/>
    <x v="447"/>
    <x v="0"/>
    <m/>
    <x v="1"/>
    <x v="4"/>
    <x v="947"/>
    <x v="0"/>
    <x v="545"/>
    <x v="0"/>
    <x v="508"/>
    <x v="4567"/>
  </r>
  <r>
    <x v="2"/>
    <n v="1501"/>
    <x v="944"/>
    <x v="2"/>
    <s v="CM"/>
    <s v="S"/>
    <x v="638"/>
    <x v="41"/>
    <x v="192"/>
    <m/>
    <x v="140"/>
    <m/>
    <x v="3"/>
    <x v="0"/>
    <x v="334"/>
    <d v="2013-07-28T00:00:00"/>
    <x v="8"/>
    <x v="1"/>
    <s v="Prémio Competição Avanca"/>
    <m/>
    <x v="0"/>
    <x v="0"/>
    <m/>
    <x v="0"/>
    <x v="4"/>
    <x v="947"/>
    <x v="3"/>
    <x v="0"/>
    <x v="1"/>
    <x v="334"/>
    <x v="4568"/>
  </r>
  <r>
    <x v="2"/>
    <n v="1501"/>
    <x v="944"/>
    <x v="2"/>
    <s v="CM"/>
    <s v="S"/>
    <x v="638"/>
    <x v="41"/>
    <x v="70"/>
    <m/>
    <x v="38"/>
    <m/>
    <x v="3"/>
    <x v="0"/>
    <x v="510"/>
    <d v="2013-09-15T00:00:00"/>
    <x v="9"/>
    <x v="1"/>
    <s v="Sessão Competitiva 2"/>
    <m/>
    <x v="0"/>
    <x v="0"/>
    <m/>
    <x v="0"/>
    <x v="4"/>
    <x v="947"/>
    <x v="3"/>
    <x v="0"/>
    <x v="1"/>
    <x v="510"/>
    <x v="4569"/>
  </r>
  <r>
    <x v="2"/>
    <n v="1501"/>
    <x v="944"/>
    <x v="2"/>
    <s v="CM"/>
    <s v="S"/>
    <x v="638"/>
    <x v="41"/>
    <x v="842"/>
    <m/>
    <x v="279"/>
    <m/>
    <x v="3"/>
    <x v="0"/>
    <x v="527"/>
    <d v="2013-09-29T00:00:00"/>
    <x v="9"/>
    <x v="1"/>
    <s v="1ª Manga Internacional/Nacional"/>
    <m/>
    <x v="0"/>
    <x v="0"/>
    <m/>
    <x v="0"/>
    <x v="4"/>
    <x v="947"/>
    <x v="3"/>
    <x v="0"/>
    <x v="1"/>
    <x v="527"/>
    <x v="4570"/>
  </r>
  <r>
    <x v="2"/>
    <n v="1501"/>
    <x v="944"/>
    <x v="2"/>
    <s v="CM"/>
    <s v="S"/>
    <x v="638"/>
    <x v="41"/>
    <x v="878"/>
    <m/>
    <x v="288"/>
    <m/>
    <x v="10"/>
    <x v="0"/>
    <x v="579"/>
    <d v="2013-09-29T00:00:00"/>
    <x v="9"/>
    <x v="1"/>
    <s v="Animation"/>
    <m/>
    <x v="0"/>
    <x v="0"/>
    <m/>
    <x v="0"/>
    <x v="4"/>
    <x v="947"/>
    <x v="10"/>
    <x v="0"/>
    <x v="0"/>
    <x v="579"/>
    <x v="4571"/>
  </r>
  <r>
    <x v="2"/>
    <n v="1501"/>
    <x v="944"/>
    <x v="2"/>
    <s v="CM"/>
    <s v="S"/>
    <x v="638"/>
    <x v="41"/>
    <x v="872"/>
    <m/>
    <x v="422"/>
    <m/>
    <x v="3"/>
    <x v="0"/>
    <x v="518"/>
    <d v="2013-10-26T00:00:00"/>
    <x v="14"/>
    <x v="1"/>
    <s v="Sessão Competitiva nº5"/>
    <m/>
    <x v="0"/>
    <x v="0"/>
    <m/>
    <x v="0"/>
    <x v="4"/>
    <x v="947"/>
    <x v="3"/>
    <x v="0"/>
    <x v="1"/>
    <x v="518"/>
    <x v="4572"/>
  </r>
  <r>
    <x v="2"/>
    <n v="2102"/>
    <x v="1653"/>
    <x v="1"/>
    <s v="CM"/>
    <s v="N"/>
    <x v="381"/>
    <x v="55"/>
    <x v="873"/>
    <m/>
    <x v="297"/>
    <m/>
    <x v="3"/>
    <x v="0"/>
    <x v="509"/>
    <d v="2013-11-27T00:00:00"/>
    <x v="13"/>
    <x v="0"/>
    <m/>
    <s v="Homenagem à Ria de Aveiro"/>
    <x v="0"/>
    <x v="0"/>
    <m/>
    <x v="0"/>
    <x v="2"/>
    <x v="1667"/>
    <x v="3"/>
    <x v="0"/>
    <x v="1"/>
    <x v="509"/>
    <x v="4573"/>
  </r>
  <r>
    <x v="2"/>
    <n v="98"/>
    <x v="945"/>
    <x v="2"/>
    <s v="CM"/>
    <s v="S"/>
    <x v="324"/>
    <x v="13"/>
    <x v="879"/>
    <m/>
    <x v="306"/>
    <m/>
    <x v="2"/>
    <x v="0"/>
    <x v="580"/>
    <m/>
    <x v="1"/>
    <x v="0"/>
    <m/>
    <s v="Regina Pessoa et Abi Feijó"/>
    <x v="0"/>
    <x v="1"/>
    <m/>
    <x v="0"/>
    <x v="4"/>
    <x v="949"/>
    <x v="2"/>
    <x v="0"/>
    <x v="0"/>
    <x v="580"/>
    <x v="4574"/>
  </r>
  <r>
    <x v="2"/>
    <n v="98"/>
    <x v="945"/>
    <x v="2"/>
    <s v="CM"/>
    <s v="S"/>
    <x v="324"/>
    <x v="13"/>
    <x v="220"/>
    <m/>
    <x v="154"/>
    <m/>
    <x v="0"/>
    <x v="0"/>
    <x v="566"/>
    <d v="2013-08-18T00:00:00"/>
    <x v="16"/>
    <x v="0"/>
    <m/>
    <s v="Papo Animado"/>
    <x v="0"/>
    <x v="0"/>
    <m/>
    <x v="0"/>
    <x v="4"/>
    <x v="949"/>
    <x v="0"/>
    <x v="0"/>
    <x v="0"/>
    <x v="566"/>
    <x v="4575"/>
  </r>
  <r>
    <x v="2"/>
    <n v="98"/>
    <x v="945"/>
    <x v="2"/>
    <s v="CM"/>
    <s v="S"/>
    <x v="324"/>
    <x v="13"/>
    <x v="880"/>
    <m/>
    <x v="298"/>
    <m/>
    <x v="15"/>
    <x v="0"/>
    <x v="553"/>
    <d v="2013-10-30T00:00:00"/>
    <x v="14"/>
    <x v="0"/>
    <m/>
    <s v="Regina Pessoa e Abi Feijó: la regina dell'animazione e il suo maestro - La Trilogia"/>
    <x v="0"/>
    <x v="0"/>
    <m/>
    <x v="0"/>
    <x v="4"/>
    <x v="949"/>
    <x v="15"/>
    <x v="0"/>
    <x v="0"/>
    <x v="553"/>
    <x v="4576"/>
  </r>
  <r>
    <x v="2"/>
    <n v="98"/>
    <x v="945"/>
    <x v="2"/>
    <s v="CM"/>
    <s v="S"/>
    <x v="324"/>
    <x v="13"/>
    <x v="881"/>
    <m/>
    <x v="423"/>
    <m/>
    <x v="18"/>
    <x v="0"/>
    <x v="581"/>
    <d v="2013-11-26T00:00:00"/>
    <x v="13"/>
    <x v="0"/>
    <m/>
    <s v="Regina Pessoa Retrospective"/>
    <x v="0"/>
    <x v="0"/>
    <m/>
    <x v="0"/>
    <x v="4"/>
    <x v="949"/>
    <x v="18"/>
    <x v="0"/>
    <x v="0"/>
    <x v="581"/>
    <x v="4577"/>
  </r>
  <r>
    <x v="2"/>
    <n v="1503"/>
    <x v="946"/>
    <x v="2"/>
    <s v="CM"/>
    <s v=""/>
    <x v="640"/>
    <x v="43"/>
    <x v="879"/>
    <m/>
    <x v="306"/>
    <m/>
    <x v="2"/>
    <x v="0"/>
    <x v="580"/>
    <m/>
    <x v="1"/>
    <x v="0"/>
    <m/>
    <s v="Regina Pessoa et Abi Feijó"/>
    <x v="0"/>
    <x v="1"/>
    <m/>
    <x v="0"/>
    <x v="4"/>
    <x v="950"/>
    <x v="2"/>
    <x v="0"/>
    <x v="0"/>
    <x v="580"/>
    <x v="4578"/>
  </r>
  <r>
    <x v="2"/>
    <n v="101"/>
    <x v="63"/>
    <x v="1"/>
    <s v="CM"/>
    <s v="N"/>
    <x v="59"/>
    <x v="3"/>
    <x v="432"/>
    <m/>
    <x v="39"/>
    <m/>
    <x v="3"/>
    <x v="0"/>
    <x v="582"/>
    <d v="2013-04-20T00:00:00"/>
    <x v="5"/>
    <x v="1"/>
    <s v="Competição Regional - Sessão 5"/>
    <m/>
    <x v="448"/>
    <x v="0"/>
    <m/>
    <x v="1"/>
    <x v="2"/>
    <x v="63"/>
    <x v="3"/>
    <x v="546"/>
    <x v="1"/>
    <x v="582"/>
    <x v="4579"/>
  </r>
  <r>
    <x v="2"/>
    <n v="101"/>
    <x v="63"/>
    <x v="1"/>
    <s v="CM"/>
    <s v="N"/>
    <x v="59"/>
    <x v="3"/>
    <x v="882"/>
    <m/>
    <x v="14"/>
    <m/>
    <x v="3"/>
    <x v="0"/>
    <x v="544"/>
    <d v="2013-11-03T00:00:00"/>
    <x v="13"/>
    <x v="0"/>
    <m/>
    <m/>
    <x v="0"/>
    <x v="3"/>
    <m/>
    <x v="0"/>
    <x v="2"/>
    <x v="63"/>
    <x v="3"/>
    <x v="0"/>
    <x v="1"/>
    <x v="544"/>
    <x v="4580"/>
  </r>
  <r>
    <x v="2"/>
    <n v="102"/>
    <x v="64"/>
    <x v="1"/>
    <s v="LM"/>
    <s v="N"/>
    <x v="60"/>
    <x v="3"/>
    <x v="854"/>
    <m/>
    <x v="24"/>
    <m/>
    <x v="3"/>
    <x v="0"/>
    <x v="550"/>
    <d v="2013-03-27T00:00:00"/>
    <x v="2"/>
    <x v="0"/>
    <m/>
    <m/>
    <x v="0"/>
    <x v="1"/>
    <m/>
    <x v="0"/>
    <x v="1"/>
    <x v="64"/>
    <x v="3"/>
    <x v="0"/>
    <x v="1"/>
    <x v="550"/>
    <x v="4581"/>
  </r>
  <r>
    <x v="2"/>
    <n v="102"/>
    <x v="64"/>
    <x v="1"/>
    <s v="LM"/>
    <s v="N"/>
    <x v="60"/>
    <x v="3"/>
    <x v="843"/>
    <m/>
    <x v="253"/>
    <m/>
    <x v="0"/>
    <x v="0"/>
    <x v="532"/>
    <d v="2013-05-26T00:00:00"/>
    <x v="6"/>
    <x v="0"/>
    <m/>
    <m/>
    <x v="0"/>
    <x v="1"/>
    <m/>
    <x v="0"/>
    <x v="1"/>
    <x v="64"/>
    <x v="0"/>
    <x v="0"/>
    <x v="0"/>
    <x v="532"/>
    <x v="4582"/>
  </r>
  <r>
    <x v="2"/>
    <n v="102"/>
    <x v="64"/>
    <x v="1"/>
    <s v="LM"/>
    <s v="N"/>
    <x v="60"/>
    <x v="3"/>
    <x v="844"/>
    <m/>
    <x v="0"/>
    <m/>
    <x v="0"/>
    <x v="0"/>
    <x v="533"/>
    <d v="2013-06-06T00:00:00"/>
    <x v="22"/>
    <x v="0"/>
    <m/>
    <m/>
    <x v="0"/>
    <x v="1"/>
    <m/>
    <x v="0"/>
    <x v="1"/>
    <x v="64"/>
    <x v="0"/>
    <x v="0"/>
    <x v="0"/>
    <x v="533"/>
    <x v="4583"/>
  </r>
  <r>
    <x v="2"/>
    <n v="102"/>
    <x v="64"/>
    <x v="1"/>
    <s v="LM"/>
    <s v="N"/>
    <x v="60"/>
    <x v="3"/>
    <x v="844"/>
    <m/>
    <x v="0"/>
    <m/>
    <x v="0"/>
    <x v="0"/>
    <x v="533"/>
    <d v="2013-06-06T00:00:00"/>
    <x v="22"/>
    <x v="0"/>
    <m/>
    <m/>
    <x v="0"/>
    <x v="1"/>
    <m/>
    <x v="0"/>
    <x v="1"/>
    <x v="64"/>
    <x v="0"/>
    <x v="0"/>
    <x v="0"/>
    <x v="533"/>
    <x v="4584"/>
  </r>
  <r>
    <x v="2"/>
    <n v="2012"/>
    <x v="1654"/>
    <x v="0"/>
    <s v="CM"/>
    <s v="N"/>
    <x v="14"/>
    <x v="41"/>
    <x v="146"/>
    <m/>
    <x v="24"/>
    <m/>
    <x v="3"/>
    <x v="0"/>
    <x v="537"/>
    <d v="2013-04-28T00:00:00"/>
    <x v="5"/>
    <x v="0"/>
    <m/>
    <s v="Sessões Especiais - Ficção"/>
    <x v="0"/>
    <x v="0"/>
    <m/>
    <x v="0"/>
    <x v="0"/>
    <x v="1668"/>
    <x v="3"/>
    <x v="0"/>
    <x v="1"/>
    <x v="537"/>
    <x v="4585"/>
  </r>
  <r>
    <x v="2"/>
    <n v="2012"/>
    <x v="1654"/>
    <x v="0"/>
    <s v="CM"/>
    <s v="N"/>
    <x v="14"/>
    <x v="41"/>
    <x v="68"/>
    <m/>
    <x v="53"/>
    <m/>
    <x v="3"/>
    <x v="0"/>
    <x v="573"/>
    <d v="2013-07-14T00:00:00"/>
    <x v="8"/>
    <x v="0"/>
    <m/>
    <s v="Panorama Nacional"/>
    <x v="0"/>
    <x v="0"/>
    <m/>
    <x v="0"/>
    <x v="0"/>
    <x v="1668"/>
    <x v="3"/>
    <x v="0"/>
    <x v="1"/>
    <x v="573"/>
    <x v="4586"/>
  </r>
  <r>
    <x v="2"/>
    <n v="2012"/>
    <x v="1654"/>
    <x v="0"/>
    <s v="CM"/>
    <s v="N"/>
    <x v="14"/>
    <x v="41"/>
    <x v="870"/>
    <m/>
    <x v="59"/>
    <m/>
    <x v="3"/>
    <x v="0"/>
    <x v="568"/>
    <d v="2013-10-13T00:00:00"/>
    <x v="14"/>
    <x v="1"/>
    <s v="Competição Nacional"/>
    <m/>
    <x v="0"/>
    <x v="0"/>
    <m/>
    <x v="0"/>
    <x v="0"/>
    <x v="1668"/>
    <x v="3"/>
    <x v="0"/>
    <x v="1"/>
    <x v="568"/>
    <x v="4587"/>
  </r>
  <r>
    <x v="2"/>
    <n v="2083"/>
    <x v="1655"/>
    <x v="0"/>
    <s v="LM"/>
    <s v="N"/>
    <x v="1084"/>
    <x v="52"/>
    <x v="107"/>
    <m/>
    <x v="83"/>
    <m/>
    <x v="3"/>
    <x v="0"/>
    <x v="583"/>
    <d v="2013-11-11T00:00:00"/>
    <x v="13"/>
    <x v="1"/>
    <m/>
    <m/>
    <x v="449"/>
    <x v="0"/>
    <m/>
    <x v="1"/>
    <x v="5"/>
    <x v="1669"/>
    <x v="3"/>
    <x v="547"/>
    <x v="1"/>
    <x v="583"/>
    <x v="4588"/>
  </r>
  <r>
    <x v="2"/>
    <n v="104"/>
    <x v="66"/>
    <x v="0"/>
    <s v="CM"/>
    <s v="S"/>
    <x v="62"/>
    <x v="5"/>
    <x v="34"/>
    <m/>
    <x v="32"/>
    <m/>
    <x v="3"/>
    <x v="0"/>
    <x v="525"/>
    <d v="2013-05-12T00:00:00"/>
    <x v="6"/>
    <x v="1"/>
    <s v="Ficção"/>
    <m/>
    <x v="0"/>
    <x v="0"/>
    <m/>
    <x v="0"/>
    <x v="0"/>
    <x v="66"/>
    <x v="3"/>
    <x v="0"/>
    <x v="1"/>
    <x v="525"/>
    <x v="4589"/>
  </r>
  <r>
    <x v="2"/>
    <n v="104"/>
    <x v="66"/>
    <x v="0"/>
    <s v="CM"/>
    <s v="S"/>
    <x v="62"/>
    <x v="5"/>
    <x v="316"/>
    <m/>
    <x v="11"/>
    <m/>
    <x v="3"/>
    <x v="0"/>
    <x v="500"/>
    <d v="2013-08-31T00:00:00"/>
    <x v="16"/>
    <x v="1"/>
    <s v="Ficção"/>
    <m/>
    <x v="0"/>
    <x v="0"/>
    <m/>
    <x v="0"/>
    <x v="0"/>
    <x v="66"/>
    <x v="3"/>
    <x v="0"/>
    <x v="1"/>
    <x v="500"/>
    <x v="4590"/>
  </r>
  <r>
    <x v="2"/>
    <n v="104"/>
    <x v="66"/>
    <x v="0"/>
    <s v="CM"/>
    <s v="S"/>
    <x v="62"/>
    <x v="5"/>
    <x v="830"/>
    <m/>
    <x v="412"/>
    <m/>
    <x v="0"/>
    <x v="0"/>
    <x v="509"/>
    <d v="2013-11-30T00:00:00"/>
    <x v="13"/>
    <x v="1"/>
    <s v="Mostra Universitária"/>
    <m/>
    <x v="0"/>
    <x v="0"/>
    <m/>
    <x v="0"/>
    <x v="0"/>
    <x v="66"/>
    <x v="0"/>
    <x v="0"/>
    <x v="0"/>
    <x v="509"/>
    <x v="4591"/>
  </r>
  <r>
    <x v="2"/>
    <n v="1807"/>
    <x v="1656"/>
    <x v="0"/>
    <s v="CM"/>
    <s v="S"/>
    <x v="1085"/>
    <x v="9"/>
    <x v="843"/>
    <m/>
    <x v="253"/>
    <m/>
    <x v="0"/>
    <x v="0"/>
    <x v="532"/>
    <d v="2013-05-26T00:00:00"/>
    <x v="6"/>
    <x v="0"/>
    <m/>
    <m/>
    <x v="0"/>
    <x v="1"/>
    <m/>
    <x v="0"/>
    <x v="0"/>
    <x v="1670"/>
    <x v="0"/>
    <x v="0"/>
    <x v="0"/>
    <x v="532"/>
    <x v="4592"/>
  </r>
  <r>
    <x v="2"/>
    <n v="1807"/>
    <x v="1656"/>
    <x v="0"/>
    <s v="CM"/>
    <s v="S"/>
    <x v="1085"/>
    <x v="9"/>
    <x v="844"/>
    <m/>
    <x v="0"/>
    <m/>
    <x v="0"/>
    <x v="0"/>
    <x v="533"/>
    <d v="2013-06-06T00:00:00"/>
    <x v="22"/>
    <x v="0"/>
    <m/>
    <m/>
    <x v="0"/>
    <x v="1"/>
    <m/>
    <x v="0"/>
    <x v="0"/>
    <x v="1670"/>
    <x v="0"/>
    <x v="0"/>
    <x v="0"/>
    <x v="533"/>
    <x v="4593"/>
  </r>
  <r>
    <x v="2"/>
    <n v="1283"/>
    <x v="949"/>
    <x v="3"/>
    <s v="CM"/>
    <s v="N"/>
    <x v="642"/>
    <x v="41"/>
    <x v="883"/>
    <m/>
    <x v="23"/>
    <m/>
    <x v="3"/>
    <x v="0"/>
    <x v="552"/>
    <m/>
    <x v="1"/>
    <x v="1"/>
    <m/>
    <m/>
    <x v="450"/>
    <x v="1"/>
    <m/>
    <x v="1"/>
    <x v="6"/>
    <x v="953"/>
    <x v="3"/>
    <x v="548"/>
    <x v="1"/>
    <x v="552"/>
    <x v="4594"/>
  </r>
  <r>
    <x v="2"/>
    <n v="1718"/>
    <x v="1657"/>
    <x v="0"/>
    <s v="CM"/>
    <s v="N"/>
    <x v="1086"/>
    <x v="2"/>
    <x v="62"/>
    <m/>
    <x v="23"/>
    <m/>
    <x v="3"/>
    <x v="0"/>
    <x v="503"/>
    <d v="2013-03-10T00:00:00"/>
    <x v="19"/>
    <x v="1"/>
    <s v="Prémio de Cinema Português - Escolas de Cinema"/>
    <m/>
    <x v="0"/>
    <x v="0"/>
    <s v="Universidade do Minho"/>
    <x v="0"/>
    <x v="0"/>
    <x v="1671"/>
    <x v="3"/>
    <x v="0"/>
    <x v="1"/>
    <x v="503"/>
    <x v="4595"/>
  </r>
  <r>
    <x v="2"/>
    <n v="1407"/>
    <x v="952"/>
    <x v="1"/>
    <s v="CM"/>
    <s v=""/>
    <x v="645"/>
    <x v="41"/>
    <x v="309"/>
    <m/>
    <x v="174"/>
    <m/>
    <x v="1"/>
    <x v="0"/>
    <x v="545"/>
    <d v="2013-11-24T00:00:00"/>
    <x v="13"/>
    <x v="0"/>
    <m/>
    <s v="L'Alternativa Paralelas: Panorama"/>
    <x v="0"/>
    <x v="0"/>
    <m/>
    <x v="0"/>
    <x v="2"/>
    <x v="956"/>
    <x v="1"/>
    <x v="0"/>
    <x v="0"/>
    <x v="545"/>
    <x v="4596"/>
  </r>
  <r>
    <x v="2"/>
    <n v="115"/>
    <x v="73"/>
    <x v="2"/>
    <s v="CM"/>
    <s v="S"/>
    <x v="68"/>
    <x v="5"/>
    <x v="316"/>
    <m/>
    <x v="11"/>
    <m/>
    <x v="3"/>
    <x v="0"/>
    <x v="500"/>
    <d v="2013-08-31T00:00:00"/>
    <x v="16"/>
    <x v="1"/>
    <s v="Animação"/>
    <m/>
    <x v="451"/>
    <x v="0"/>
    <m/>
    <x v="1"/>
    <x v="4"/>
    <x v="73"/>
    <x v="3"/>
    <x v="549"/>
    <x v="1"/>
    <x v="500"/>
    <x v="4597"/>
  </r>
  <r>
    <x v="2"/>
    <n v="115"/>
    <x v="73"/>
    <x v="2"/>
    <s v="CM"/>
    <s v="S"/>
    <x v="68"/>
    <x v="5"/>
    <x v="855"/>
    <m/>
    <x v="18"/>
    <m/>
    <x v="3"/>
    <x v="0"/>
    <x v="551"/>
    <d v="2013-12-10T00:00:00"/>
    <x v="32"/>
    <x v="0"/>
    <m/>
    <m/>
    <x v="0"/>
    <x v="1"/>
    <m/>
    <x v="0"/>
    <x v="4"/>
    <x v="73"/>
    <x v="3"/>
    <x v="0"/>
    <x v="1"/>
    <x v="551"/>
    <x v="4598"/>
  </r>
  <r>
    <x v="2"/>
    <n v="115"/>
    <x v="73"/>
    <x v="2"/>
    <s v="CM"/>
    <s v="S"/>
    <x v="68"/>
    <x v="5"/>
    <x v="873"/>
    <m/>
    <x v="297"/>
    <m/>
    <x v="3"/>
    <x v="0"/>
    <x v="509"/>
    <d v="2013-11-27T00:00:00"/>
    <x v="13"/>
    <x v="0"/>
    <m/>
    <s v="Homenagem à Ria de Aveiro"/>
    <x v="0"/>
    <x v="0"/>
    <m/>
    <x v="0"/>
    <x v="4"/>
    <x v="73"/>
    <x v="3"/>
    <x v="0"/>
    <x v="1"/>
    <x v="509"/>
    <x v="4599"/>
  </r>
  <r>
    <x v="2"/>
    <n v="1451"/>
    <x v="956"/>
    <x v="1"/>
    <s v="CM"/>
    <s v="N"/>
    <x v="114"/>
    <x v="41"/>
    <x v="519"/>
    <m/>
    <x v="24"/>
    <m/>
    <x v="3"/>
    <x v="0"/>
    <x v="504"/>
    <d v="2013-05-11T00:00:00"/>
    <x v="6"/>
    <x v="0"/>
    <m/>
    <m/>
    <x v="0"/>
    <x v="1"/>
    <m/>
    <x v="0"/>
    <x v="2"/>
    <x v="960"/>
    <x v="3"/>
    <x v="0"/>
    <x v="1"/>
    <x v="504"/>
    <x v="4600"/>
  </r>
  <r>
    <x v="2"/>
    <n v="1451"/>
    <x v="956"/>
    <x v="1"/>
    <s v="CM"/>
    <s v="N"/>
    <x v="114"/>
    <x v="41"/>
    <x v="371"/>
    <m/>
    <x v="0"/>
    <m/>
    <x v="0"/>
    <x v="0"/>
    <x v="575"/>
    <d v="2013-07-28T00:00:00"/>
    <x v="8"/>
    <x v="0"/>
    <m/>
    <s v="Foco Portugal"/>
    <x v="0"/>
    <x v="0"/>
    <m/>
    <x v="0"/>
    <x v="2"/>
    <x v="960"/>
    <x v="0"/>
    <x v="0"/>
    <x v="0"/>
    <x v="575"/>
    <x v="4601"/>
  </r>
  <r>
    <x v="2"/>
    <n v="1451"/>
    <x v="956"/>
    <x v="1"/>
    <s v="CM"/>
    <s v="N"/>
    <x v="114"/>
    <x v="41"/>
    <x v="88"/>
    <m/>
    <x v="67"/>
    <m/>
    <x v="3"/>
    <x v="0"/>
    <x v="528"/>
    <d v="2013-10-26T00:00:00"/>
    <x v="14"/>
    <x v="1"/>
    <s v="Lusofonia: Curtas-Metragens"/>
    <m/>
    <x v="0"/>
    <x v="0"/>
    <m/>
    <x v="0"/>
    <x v="2"/>
    <x v="960"/>
    <x v="3"/>
    <x v="0"/>
    <x v="1"/>
    <x v="528"/>
    <x v="4602"/>
  </r>
  <r>
    <x v="2"/>
    <n v="1916"/>
    <x v="1658"/>
    <x v="0"/>
    <s v="LM"/>
    <s v="N"/>
    <x v="381"/>
    <x v="23"/>
    <x v="846"/>
    <m/>
    <x v="417"/>
    <m/>
    <x v="11"/>
    <x v="0"/>
    <x v="535"/>
    <d v="2013-08-03T00:00:00"/>
    <x v="25"/>
    <x v="0"/>
    <m/>
    <s v="Focus Portugal: Fado"/>
    <x v="0"/>
    <x v="0"/>
    <m/>
    <x v="0"/>
    <x v="5"/>
    <x v="1672"/>
    <x v="11"/>
    <x v="0"/>
    <x v="0"/>
    <x v="535"/>
    <x v="4603"/>
  </r>
  <r>
    <x v="2"/>
    <n v="119"/>
    <x v="77"/>
    <x v="3"/>
    <s v="CM"/>
    <s v="N"/>
    <x v="72"/>
    <x v="5"/>
    <x v="825"/>
    <m/>
    <x v="409"/>
    <m/>
    <x v="3"/>
    <x v="0"/>
    <x v="499"/>
    <m/>
    <x v="7"/>
    <x v="1"/>
    <m/>
    <m/>
    <x v="0"/>
    <x v="0"/>
    <m/>
    <x v="0"/>
    <x v="6"/>
    <x v="77"/>
    <x v="3"/>
    <x v="0"/>
    <x v="1"/>
    <x v="499"/>
    <x v="4604"/>
  </r>
  <r>
    <x v="2"/>
    <n v="1947"/>
    <x v="1659"/>
    <x v="1"/>
    <s v="CM"/>
    <s v="N"/>
    <x v="1087"/>
    <x v="52"/>
    <x v="316"/>
    <m/>
    <x v="11"/>
    <m/>
    <x v="3"/>
    <x v="0"/>
    <x v="500"/>
    <d v="2013-08-31T00:00:00"/>
    <x v="16"/>
    <x v="1"/>
    <s v="Documentário"/>
    <m/>
    <x v="0"/>
    <x v="0"/>
    <m/>
    <x v="0"/>
    <x v="2"/>
    <x v="1673"/>
    <x v="3"/>
    <x v="0"/>
    <x v="1"/>
    <x v="500"/>
    <x v="4605"/>
  </r>
  <r>
    <x v="2"/>
    <n v="121"/>
    <x v="79"/>
    <x v="2"/>
    <s v="CM"/>
    <s v="S"/>
    <x v="73"/>
    <x v="13"/>
    <x v="884"/>
    <m/>
    <x v="24"/>
    <m/>
    <x v="3"/>
    <x v="0"/>
    <x v="584"/>
    <m/>
    <x v="15"/>
    <x v="0"/>
    <m/>
    <s v="Curta Convidada"/>
    <x v="0"/>
    <x v="1"/>
    <m/>
    <x v="0"/>
    <x v="4"/>
    <x v="79"/>
    <x v="3"/>
    <x v="0"/>
    <x v="1"/>
    <x v="584"/>
    <x v="4606"/>
  </r>
  <r>
    <x v="2"/>
    <n v="121"/>
    <x v="79"/>
    <x v="2"/>
    <s v="CM"/>
    <s v="S"/>
    <x v="73"/>
    <x v="13"/>
    <x v="403"/>
    <m/>
    <x v="263"/>
    <m/>
    <x v="2"/>
    <x v="0"/>
    <x v="585"/>
    <d v="2013-04-07T00:00:00"/>
    <x v="5"/>
    <x v="0"/>
    <m/>
    <s v="Retrospectives et Thématiques: Cinéma d'Animation Européen"/>
    <x v="0"/>
    <x v="0"/>
    <m/>
    <x v="0"/>
    <x v="4"/>
    <x v="79"/>
    <x v="2"/>
    <x v="0"/>
    <x v="0"/>
    <x v="585"/>
    <x v="4607"/>
  </r>
  <r>
    <x v="2"/>
    <n v="121"/>
    <x v="79"/>
    <x v="2"/>
    <s v="CM"/>
    <s v="S"/>
    <x v="73"/>
    <x v="13"/>
    <x v="58"/>
    <m/>
    <x v="47"/>
    <m/>
    <x v="3"/>
    <x v="0"/>
    <x v="542"/>
    <d v="2013-09-08T00:00:00"/>
    <x v="9"/>
    <x v="0"/>
    <m/>
    <s v="Casa da Animação"/>
    <x v="0"/>
    <x v="1"/>
    <m/>
    <x v="0"/>
    <x v="4"/>
    <x v="79"/>
    <x v="3"/>
    <x v="0"/>
    <x v="1"/>
    <x v="542"/>
    <x v="4608"/>
  </r>
  <r>
    <x v="2"/>
    <n v="2166"/>
    <x v="1660"/>
    <x v="1"/>
    <s v="CM"/>
    <s v=""/>
    <x v="1088"/>
    <x v="52"/>
    <x v="70"/>
    <m/>
    <x v="38"/>
    <m/>
    <x v="3"/>
    <x v="0"/>
    <x v="510"/>
    <d v="2013-09-15T00:00:00"/>
    <x v="9"/>
    <x v="1"/>
    <s v="Sessão Competitiva 2"/>
    <m/>
    <x v="0"/>
    <x v="0"/>
    <m/>
    <x v="0"/>
    <x v="2"/>
    <x v="1674"/>
    <x v="3"/>
    <x v="0"/>
    <x v="1"/>
    <x v="510"/>
    <x v="4609"/>
  </r>
  <r>
    <x v="2"/>
    <n v="2077"/>
    <x v="1661"/>
    <x v="1"/>
    <s v="LM"/>
    <s v="N"/>
    <x v="894"/>
    <x v="52"/>
    <x v="25"/>
    <m/>
    <x v="24"/>
    <m/>
    <x v="3"/>
    <x v="0"/>
    <x v="553"/>
    <d v="2013-11-03T00:00:00"/>
    <x v="0"/>
    <x v="1"/>
    <s v="Competição Portuguesa - Longas"/>
    <m/>
    <x v="47"/>
    <x v="0"/>
    <m/>
    <x v="1"/>
    <x v="1"/>
    <x v="1675"/>
    <x v="3"/>
    <x v="550"/>
    <x v="1"/>
    <x v="553"/>
    <x v="4610"/>
  </r>
  <r>
    <x v="2"/>
    <n v="1968"/>
    <x v="1662"/>
    <x v="1"/>
    <s v="CM"/>
    <s v="N"/>
    <x v="657"/>
    <x v="52"/>
    <x v="316"/>
    <m/>
    <x v="11"/>
    <m/>
    <x v="3"/>
    <x v="0"/>
    <x v="500"/>
    <d v="2013-08-31T00:00:00"/>
    <x v="16"/>
    <x v="1"/>
    <s v="Documentário"/>
    <m/>
    <x v="0"/>
    <x v="0"/>
    <m/>
    <x v="0"/>
    <x v="2"/>
    <x v="1676"/>
    <x v="3"/>
    <x v="0"/>
    <x v="1"/>
    <x v="500"/>
    <x v="4611"/>
  </r>
  <r>
    <x v="2"/>
    <n v="1968"/>
    <x v="1662"/>
    <x v="1"/>
    <s v="CM"/>
    <s v="N"/>
    <x v="657"/>
    <x v="52"/>
    <x v="445"/>
    <m/>
    <x v="284"/>
    <m/>
    <x v="3"/>
    <x v="0"/>
    <x v="541"/>
    <d v="2013-09-07T00:00:00"/>
    <x v="9"/>
    <x v="0"/>
    <m/>
    <s v="Sessão Especial da Tarde - &quot;Documentários&quot;"/>
    <x v="0"/>
    <x v="0"/>
    <m/>
    <x v="0"/>
    <x v="2"/>
    <x v="1676"/>
    <x v="3"/>
    <x v="0"/>
    <x v="1"/>
    <x v="541"/>
    <x v="4612"/>
  </r>
  <r>
    <x v="2"/>
    <n v="1586"/>
    <x v="960"/>
    <x v="1"/>
    <s v="CM"/>
    <s v="N"/>
    <x v="650"/>
    <x v="41"/>
    <x v="62"/>
    <m/>
    <x v="23"/>
    <m/>
    <x v="3"/>
    <x v="0"/>
    <x v="503"/>
    <d v="2013-03-10T00:00:00"/>
    <x v="19"/>
    <x v="1"/>
    <s v="Prémio de Cinema Português - Escolas de Cinema"/>
    <m/>
    <x v="0"/>
    <x v="0"/>
    <s v="RESTART "/>
    <x v="0"/>
    <x v="2"/>
    <x v="964"/>
    <x v="3"/>
    <x v="0"/>
    <x v="1"/>
    <x v="503"/>
    <x v="4613"/>
  </r>
  <r>
    <x v="2"/>
    <n v="1586"/>
    <x v="960"/>
    <x v="1"/>
    <s v="CM"/>
    <s v="N"/>
    <x v="650"/>
    <x v="41"/>
    <x v="68"/>
    <m/>
    <x v="53"/>
    <m/>
    <x v="3"/>
    <x v="0"/>
    <x v="573"/>
    <d v="2013-07-14T00:00:00"/>
    <x v="8"/>
    <x v="1"/>
    <s v="Competição Take One!"/>
    <m/>
    <x v="0"/>
    <x v="0"/>
    <m/>
    <x v="0"/>
    <x v="2"/>
    <x v="964"/>
    <x v="3"/>
    <x v="0"/>
    <x v="1"/>
    <x v="573"/>
    <x v="4614"/>
  </r>
  <r>
    <x v="2"/>
    <n v="127"/>
    <x v="961"/>
    <x v="1"/>
    <s v="LM"/>
    <s v="S"/>
    <x v="106"/>
    <x v="3"/>
    <x v="885"/>
    <m/>
    <x v="419"/>
    <m/>
    <x v="34"/>
    <x v="0"/>
    <x v="586"/>
    <d v="2013-01-27T00:00:00"/>
    <x v="15"/>
    <x v="0"/>
    <m/>
    <s v="Tous les garçons s'appellent João"/>
    <x v="0"/>
    <x v="0"/>
    <m/>
    <x v="0"/>
    <x v="1"/>
    <x v="965"/>
    <x v="34"/>
    <x v="0"/>
    <x v="0"/>
    <x v="586"/>
    <x v="4615"/>
  </r>
  <r>
    <x v="2"/>
    <n v="127"/>
    <x v="961"/>
    <x v="1"/>
    <s v="LM"/>
    <s v="S"/>
    <x v="106"/>
    <x v="3"/>
    <x v="865"/>
    <m/>
    <x v="419"/>
    <m/>
    <x v="34"/>
    <x v="0"/>
    <x v="563"/>
    <d v="2013-02-28T00:00:00"/>
    <x v="18"/>
    <x v="0"/>
    <m/>
    <m/>
    <x v="0"/>
    <x v="1"/>
    <s v="Cinemathèque Suisse"/>
    <x v="0"/>
    <x v="1"/>
    <x v="965"/>
    <x v="34"/>
    <x v="0"/>
    <x v="0"/>
    <x v="563"/>
    <x v="4616"/>
  </r>
  <r>
    <x v="2"/>
    <n v="127"/>
    <x v="961"/>
    <x v="1"/>
    <s v="LM"/>
    <s v="S"/>
    <x v="106"/>
    <x v="3"/>
    <x v="355"/>
    <m/>
    <x v="238"/>
    <m/>
    <x v="63"/>
    <x v="0"/>
    <x v="522"/>
    <d v="2013-02-04T00:00:00"/>
    <x v="18"/>
    <x v="0"/>
    <m/>
    <s v="Visionärer"/>
    <x v="0"/>
    <x v="0"/>
    <m/>
    <x v="0"/>
    <x v="1"/>
    <x v="965"/>
    <x v="63"/>
    <x v="0"/>
    <x v="0"/>
    <x v="522"/>
    <x v="4617"/>
  </r>
  <r>
    <x v="2"/>
    <n v="127"/>
    <x v="961"/>
    <x v="1"/>
    <s v="LM"/>
    <s v="S"/>
    <x v="106"/>
    <x v="3"/>
    <x v="886"/>
    <m/>
    <x v="215"/>
    <m/>
    <x v="60"/>
    <x v="0"/>
    <x v="587"/>
    <d v="2013-03-03T00:00:00"/>
    <x v="19"/>
    <x v="0"/>
    <m/>
    <s v="Trazos"/>
    <x v="0"/>
    <x v="0"/>
    <m/>
    <x v="0"/>
    <x v="1"/>
    <x v="965"/>
    <x v="60"/>
    <x v="0"/>
    <x v="0"/>
    <x v="587"/>
    <x v="4618"/>
  </r>
  <r>
    <x v="2"/>
    <n v="127"/>
    <x v="961"/>
    <x v="1"/>
    <s v="LM"/>
    <s v="S"/>
    <x v="106"/>
    <x v="3"/>
    <x v="887"/>
    <m/>
    <x v="424"/>
    <m/>
    <x v="23"/>
    <x v="0"/>
    <x v="588"/>
    <d v="2013-04-02T00:00:00"/>
    <x v="3"/>
    <x v="0"/>
    <m/>
    <s v="Auteurs"/>
    <x v="0"/>
    <x v="0"/>
    <m/>
    <x v="0"/>
    <x v="1"/>
    <x v="965"/>
    <x v="23"/>
    <x v="0"/>
    <x v="0"/>
    <x v="588"/>
    <x v="4619"/>
  </r>
  <r>
    <x v="2"/>
    <n v="127"/>
    <x v="961"/>
    <x v="1"/>
    <s v="LM"/>
    <s v="S"/>
    <x v="106"/>
    <x v="3"/>
    <x v="269"/>
    <m/>
    <x v="188"/>
    <m/>
    <x v="55"/>
    <x v="0"/>
    <x v="561"/>
    <d v="2013-04-06T00:00:00"/>
    <x v="3"/>
    <x v="0"/>
    <m/>
    <s v="U R Gay"/>
    <x v="0"/>
    <x v="0"/>
    <m/>
    <x v="0"/>
    <x v="1"/>
    <x v="965"/>
    <x v="55"/>
    <x v="0"/>
    <x v="0"/>
    <x v="561"/>
    <x v="4620"/>
  </r>
  <r>
    <x v="2"/>
    <n v="127"/>
    <x v="961"/>
    <x v="1"/>
    <s v="LM"/>
    <s v="S"/>
    <x v="106"/>
    <x v="3"/>
    <x v="888"/>
    <m/>
    <x v="103"/>
    <m/>
    <x v="31"/>
    <x v="0"/>
    <x v="589"/>
    <d v="2013-04-14T00:00:00"/>
    <x v="3"/>
    <x v="0"/>
    <m/>
    <s v="Mined Zone"/>
    <x v="0"/>
    <x v="0"/>
    <m/>
    <x v="0"/>
    <x v="1"/>
    <x v="965"/>
    <x v="31"/>
    <x v="0"/>
    <x v="0"/>
    <x v="589"/>
    <x v="4621"/>
  </r>
  <r>
    <x v="2"/>
    <n v="127"/>
    <x v="961"/>
    <x v="1"/>
    <s v="LM"/>
    <s v="S"/>
    <x v="106"/>
    <x v="3"/>
    <x v="522"/>
    <m/>
    <x v="165"/>
    <m/>
    <x v="4"/>
    <x v="0"/>
    <x v="590"/>
    <d v="2013-04-21T00:00:00"/>
    <x v="5"/>
    <x v="0"/>
    <m/>
    <s v="Vanguardia y Género"/>
    <x v="0"/>
    <x v="0"/>
    <m/>
    <x v="0"/>
    <x v="1"/>
    <x v="965"/>
    <x v="4"/>
    <x v="0"/>
    <x v="0"/>
    <x v="590"/>
    <x v="4622"/>
  </r>
  <r>
    <x v="2"/>
    <n v="127"/>
    <x v="961"/>
    <x v="1"/>
    <s v="LM"/>
    <s v="S"/>
    <x v="106"/>
    <x v="3"/>
    <x v="432"/>
    <m/>
    <x v="39"/>
    <m/>
    <x v="3"/>
    <x v="0"/>
    <x v="582"/>
    <d v="2013-04-20T00:00:00"/>
    <x v="5"/>
    <x v="1"/>
    <s v="Competição Nacional - Sessão 4"/>
    <m/>
    <x v="0"/>
    <x v="0"/>
    <m/>
    <x v="0"/>
    <x v="1"/>
    <x v="965"/>
    <x v="3"/>
    <x v="0"/>
    <x v="1"/>
    <x v="582"/>
    <x v="4623"/>
  </r>
  <r>
    <x v="2"/>
    <n v="127"/>
    <x v="961"/>
    <x v="1"/>
    <s v="LM"/>
    <s v="S"/>
    <x v="106"/>
    <x v="3"/>
    <x v="889"/>
    <m/>
    <x v="22"/>
    <m/>
    <x v="3"/>
    <x v="0"/>
    <x v="591"/>
    <d v="2013-05-11T00:00:00"/>
    <x v="6"/>
    <x v="0"/>
    <m/>
    <m/>
    <x v="0"/>
    <x v="1"/>
    <m/>
    <x v="0"/>
    <x v="1"/>
    <x v="965"/>
    <x v="3"/>
    <x v="0"/>
    <x v="1"/>
    <x v="591"/>
    <x v="4624"/>
  </r>
  <r>
    <x v="2"/>
    <n v="127"/>
    <x v="961"/>
    <x v="1"/>
    <s v="LM"/>
    <s v="S"/>
    <x v="106"/>
    <x v="3"/>
    <x v="498"/>
    <m/>
    <x v="303"/>
    <m/>
    <x v="17"/>
    <x v="0"/>
    <x v="592"/>
    <d v="2013-06-30T00:00:00"/>
    <x v="7"/>
    <x v="0"/>
    <m/>
    <s v="Director's Showcase"/>
    <x v="0"/>
    <x v="0"/>
    <m/>
    <x v="0"/>
    <x v="1"/>
    <x v="965"/>
    <x v="17"/>
    <x v="0"/>
    <x v="0"/>
    <x v="592"/>
    <x v="4625"/>
  </r>
  <r>
    <x v="2"/>
    <n v="127"/>
    <x v="961"/>
    <x v="1"/>
    <s v="LM"/>
    <s v="S"/>
    <x v="106"/>
    <x v="3"/>
    <x v="499"/>
    <m/>
    <x v="158"/>
    <m/>
    <x v="5"/>
    <x v="0"/>
    <x v="593"/>
    <d v="2013-07-06T00:00:00"/>
    <x v="17"/>
    <x v="0"/>
    <m/>
    <s v="International Independents"/>
    <x v="0"/>
    <x v="0"/>
    <m/>
    <x v="0"/>
    <x v="1"/>
    <x v="965"/>
    <x v="5"/>
    <x v="0"/>
    <x v="0"/>
    <x v="593"/>
    <x v="4626"/>
  </r>
  <r>
    <x v="2"/>
    <n v="127"/>
    <x v="961"/>
    <x v="1"/>
    <s v="LM"/>
    <s v="S"/>
    <x v="106"/>
    <x v="3"/>
    <x v="871"/>
    <m/>
    <x v="391"/>
    <m/>
    <x v="1"/>
    <x v="0"/>
    <x v="498"/>
    <d v="2013-11-19T00:00:00"/>
    <x v="13"/>
    <x v="0"/>
    <m/>
    <s v="Sección Oficial"/>
    <x v="0"/>
    <x v="1"/>
    <m/>
    <x v="0"/>
    <x v="1"/>
    <x v="965"/>
    <x v="1"/>
    <x v="0"/>
    <x v="0"/>
    <x v="498"/>
    <x v="4627"/>
  </r>
  <r>
    <x v="2"/>
    <n v="127"/>
    <x v="961"/>
    <x v="1"/>
    <s v="LM"/>
    <s v="S"/>
    <x v="106"/>
    <x v="3"/>
    <x v="824"/>
    <m/>
    <x v="408"/>
    <m/>
    <x v="9"/>
    <x v="0"/>
    <x v="498"/>
    <d v="2013-11-17T00:00:00"/>
    <x v="13"/>
    <x v="0"/>
    <m/>
    <m/>
    <x v="0"/>
    <x v="1"/>
    <s v="No BAM/PFA"/>
    <x v="0"/>
    <x v="1"/>
    <x v="965"/>
    <x v="9"/>
    <x v="0"/>
    <x v="0"/>
    <x v="498"/>
    <x v="4628"/>
  </r>
  <r>
    <x v="2"/>
    <n v="127"/>
    <x v="961"/>
    <x v="1"/>
    <s v="LM"/>
    <s v="S"/>
    <x v="106"/>
    <x v="3"/>
    <x v="890"/>
    <m/>
    <x v="319"/>
    <m/>
    <x v="1"/>
    <x v="0"/>
    <x v="594"/>
    <d v="2013-12-13T00:00:00"/>
    <x v="11"/>
    <x v="0"/>
    <m/>
    <m/>
    <x v="0"/>
    <x v="1"/>
    <s v="No CGAI"/>
    <x v="0"/>
    <x v="1"/>
    <x v="965"/>
    <x v="1"/>
    <x v="0"/>
    <x v="0"/>
    <x v="594"/>
    <x v="4629"/>
  </r>
  <r>
    <x v="2"/>
    <n v="127"/>
    <x v="961"/>
    <x v="1"/>
    <s v="LM"/>
    <s v="S"/>
    <x v="106"/>
    <x v="3"/>
    <x v="830"/>
    <m/>
    <x v="412"/>
    <m/>
    <x v="0"/>
    <x v="0"/>
    <x v="509"/>
    <d v="2013-11-30T00:00:00"/>
    <x v="13"/>
    <x v="0"/>
    <m/>
    <s v="Mostra Cinema às Cinco"/>
    <x v="0"/>
    <x v="0"/>
    <m/>
    <x v="0"/>
    <x v="1"/>
    <x v="965"/>
    <x v="0"/>
    <x v="0"/>
    <x v="0"/>
    <x v="509"/>
    <x v="4630"/>
  </r>
  <r>
    <x v="2"/>
    <n v="127"/>
    <x v="961"/>
    <x v="1"/>
    <s v="LM"/>
    <s v="S"/>
    <x v="106"/>
    <x v="3"/>
    <x v="851"/>
    <m/>
    <x v="58"/>
    <m/>
    <x v="17"/>
    <x v="0"/>
    <x v="546"/>
    <d v="2013-12-05T00:00:00"/>
    <x v="11"/>
    <x v="0"/>
    <m/>
    <m/>
    <x v="0"/>
    <x v="0"/>
    <m/>
    <x v="0"/>
    <x v="1"/>
    <x v="965"/>
    <x v="17"/>
    <x v="0"/>
    <x v="0"/>
    <x v="546"/>
    <x v="4631"/>
  </r>
  <r>
    <x v="2"/>
    <n v="1665"/>
    <x v="86"/>
    <x v="2"/>
    <s v="CM"/>
    <s v="N"/>
    <x v="1089"/>
    <x v="41"/>
    <x v="891"/>
    <m/>
    <x v="24"/>
    <m/>
    <x v="3"/>
    <x v="0"/>
    <x v="595"/>
    <m/>
    <x v="1"/>
    <x v="0"/>
    <m/>
    <s v="Curta Convidada, Cultura Visual, Animação Digital, Universidade Lusófona"/>
    <x v="0"/>
    <x v="1"/>
    <m/>
    <x v="0"/>
    <x v="4"/>
    <x v="1677"/>
    <x v="3"/>
    <x v="0"/>
    <x v="1"/>
    <x v="595"/>
    <x v="4632"/>
  </r>
  <r>
    <x v="2"/>
    <n v="2186"/>
    <x v="1663"/>
    <x v="1"/>
    <s v="CM"/>
    <s v="N"/>
    <x v="1090"/>
    <x v="52"/>
    <x v="892"/>
    <m/>
    <x v="213"/>
    <m/>
    <x v="8"/>
    <x v="0"/>
    <x v="513"/>
    <m/>
    <x v="13"/>
    <x v="0"/>
    <m/>
    <m/>
    <x v="0"/>
    <x v="1"/>
    <s v="Extended Doc Session"/>
    <x v="0"/>
    <x v="2"/>
    <x v="1678"/>
    <x v="8"/>
    <x v="0"/>
    <x v="0"/>
    <x v="513"/>
    <x v="4633"/>
  </r>
  <r>
    <x v="2"/>
    <n v="2039"/>
    <x v="1664"/>
    <x v="0"/>
    <s v="LM"/>
    <s v="N"/>
    <x v="1035"/>
    <x v="52"/>
    <x v="471"/>
    <m/>
    <x v="75"/>
    <m/>
    <x v="15"/>
    <x v="0"/>
    <x v="519"/>
    <d v="2013-11-17T00:00:00"/>
    <x v="13"/>
    <x v="1"/>
    <s v="Concorso"/>
    <m/>
    <x v="0"/>
    <x v="0"/>
    <m/>
    <x v="0"/>
    <x v="5"/>
    <x v="1679"/>
    <x v="15"/>
    <x v="0"/>
    <x v="0"/>
    <x v="519"/>
    <x v="4634"/>
  </r>
  <r>
    <x v="2"/>
    <n v="131"/>
    <x v="87"/>
    <x v="0"/>
    <s v="LM"/>
    <s v="S"/>
    <x v="79"/>
    <x v="3"/>
    <x v="893"/>
    <m/>
    <x v="24"/>
    <m/>
    <x v="3"/>
    <x v="0"/>
    <x v="503"/>
    <m/>
    <x v="1"/>
    <x v="0"/>
    <m/>
    <m/>
    <x v="452"/>
    <x v="2"/>
    <m/>
    <x v="1"/>
    <x v="5"/>
    <x v="87"/>
    <x v="3"/>
    <x v="551"/>
    <x v="1"/>
    <x v="503"/>
    <x v="4635"/>
  </r>
  <r>
    <x v="2"/>
    <n v="131"/>
    <x v="87"/>
    <x v="0"/>
    <s v="LM"/>
    <s v="S"/>
    <x v="79"/>
    <x v="3"/>
    <x v="894"/>
    <m/>
    <x v="340"/>
    <m/>
    <x v="3"/>
    <x v="0"/>
    <x v="596"/>
    <d v="2013-03-24T00:00:00"/>
    <x v="2"/>
    <x v="0"/>
    <m/>
    <m/>
    <x v="0"/>
    <x v="1"/>
    <m/>
    <x v="0"/>
    <x v="5"/>
    <x v="87"/>
    <x v="3"/>
    <x v="0"/>
    <x v="1"/>
    <x v="596"/>
    <x v="4636"/>
  </r>
  <r>
    <x v="2"/>
    <n v="131"/>
    <x v="87"/>
    <x v="0"/>
    <s v="LM"/>
    <s v="S"/>
    <x v="79"/>
    <x v="3"/>
    <x v="843"/>
    <m/>
    <x v="253"/>
    <m/>
    <x v="0"/>
    <x v="0"/>
    <x v="532"/>
    <d v="2013-05-26T00:00:00"/>
    <x v="6"/>
    <x v="0"/>
    <m/>
    <m/>
    <x v="0"/>
    <x v="1"/>
    <m/>
    <x v="0"/>
    <x v="5"/>
    <x v="87"/>
    <x v="0"/>
    <x v="0"/>
    <x v="0"/>
    <x v="532"/>
    <x v="4637"/>
  </r>
  <r>
    <x v="2"/>
    <n v="131"/>
    <x v="87"/>
    <x v="0"/>
    <s v="LM"/>
    <s v="S"/>
    <x v="79"/>
    <x v="3"/>
    <x v="844"/>
    <m/>
    <x v="0"/>
    <m/>
    <x v="0"/>
    <x v="0"/>
    <x v="533"/>
    <d v="2013-06-06T00:00:00"/>
    <x v="22"/>
    <x v="0"/>
    <m/>
    <m/>
    <x v="0"/>
    <x v="1"/>
    <m/>
    <x v="0"/>
    <x v="5"/>
    <x v="87"/>
    <x v="0"/>
    <x v="0"/>
    <x v="0"/>
    <x v="533"/>
    <x v="4638"/>
  </r>
  <r>
    <x v="2"/>
    <n v="131"/>
    <x v="87"/>
    <x v="0"/>
    <s v="LM"/>
    <s v="S"/>
    <x v="79"/>
    <x v="3"/>
    <x v="895"/>
    <m/>
    <x v="425"/>
    <m/>
    <x v="0"/>
    <x v="0"/>
    <x v="597"/>
    <d v="2013-09-14T00:00:00"/>
    <x v="9"/>
    <x v="0"/>
    <m/>
    <s v="Mostra Portugal Contemporânei"/>
    <x v="0"/>
    <x v="0"/>
    <m/>
    <x v="0"/>
    <x v="5"/>
    <x v="87"/>
    <x v="0"/>
    <x v="0"/>
    <x v="0"/>
    <x v="597"/>
    <x v="4639"/>
  </r>
  <r>
    <x v="2"/>
    <n v="131"/>
    <x v="87"/>
    <x v="0"/>
    <s v="LM"/>
    <s v="S"/>
    <x v="79"/>
    <x v="3"/>
    <x v="492"/>
    <m/>
    <x v="128"/>
    <m/>
    <x v="1"/>
    <x v="0"/>
    <x v="519"/>
    <d v="2013-11-16T00:00:00"/>
    <x v="13"/>
    <x v="0"/>
    <m/>
    <s v="Focus Europa: Portugal"/>
    <x v="0"/>
    <x v="0"/>
    <m/>
    <x v="0"/>
    <x v="5"/>
    <x v="87"/>
    <x v="1"/>
    <x v="0"/>
    <x v="0"/>
    <x v="519"/>
    <x v="4640"/>
  </r>
  <r>
    <x v="2"/>
    <n v="131"/>
    <x v="87"/>
    <x v="0"/>
    <s v="LM"/>
    <s v="S"/>
    <x v="79"/>
    <x v="3"/>
    <x v="890"/>
    <m/>
    <x v="319"/>
    <m/>
    <x v="1"/>
    <x v="0"/>
    <x v="594"/>
    <d v="2013-12-13T00:00:00"/>
    <x v="11"/>
    <x v="0"/>
    <m/>
    <m/>
    <x v="0"/>
    <x v="1"/>
    <s v="No CGAI"/>
    <x v="0"/>
    <x v="5"/>
    <x v="87"/>
    <x v="1"/>
    <x v="0"/>
    <x v="0"/>
    <x v="594"/>
    <x v="4641"/>
  </r>
  <r>
    <x v="2"/>
    <n v="1300"/>
    <x v="963"/>
    <x v="0"/>
    <s v="CM"/>
    <s v="N"/>
    <x v="651"/>
    <x v="2"/>
    <x v="316"/>
    <m/>
    <x v="11"/>
    <m/>
    <x v="3"/>
    <x v="0"/>
    <x v="500"/>
    <d v="2013-08-31T00:00:00"/>
    <x v="16"/>
    <x v="1"/>
    <s v="Ficção"/>
    <m/>
    <x v="0"/>
    <x v="0"/>
    <m/>
    <x v="0"/>
    <x v="0"/>
    <x v="967"/>
    <x v="3"/>
    <x v="0"/>
    <x v="1"/>
    <x v="500"/>
    <x v="4642"/>
  </r>
  <r>
    <x v="2"/>
    <n v="132"/>
    <x v="964"/>
    <x v="1"/>
    <s v="CM"/>
    <s v="S"/>
    <x v="256"/>
    <x v="1"/>
    <x v="826"/>
    <m/>
    <x v="24"/>
    <m/>
    <x v="3"/>
    <x v="0"/>
    <x v="505"/>
    <d v="2013-09-29T00:00:00"/>
    <x v="9"/>
    <x v="1"/>
    <m/>
    <m/>
    <x v="0"/>
    <x v="0"/>
    <m/>
    <x v="0"/>
    <x v="2"/>
    <x v="968"/>
    <x v="3"/>
    <x v="0"/>
    <x v="1"/>
    <x v="505"/>
    <x v="4643"/>
  </r>
  <r>
    <x v="2"/>
    <n v="134"/>
    <x v="88"/>
    <x v="0"/>
    <s v="LM"/>
    <s v="S"/>
    <x v="80"/>
    <x v="4"/>
    <x v="896"/>
    <m/>
    <x v="20"/>
    <m/>
    <x v="5"/>
    <x v="0"/>
    <x v="540"/>
    <d v="2013-08-30T00:00:00"/>
    <x v="16"/>
    <x v="0"/>
    <m/>
    <m/>
    <x v="0"/>
    <x v="1"/>
    <s v="Kino Arsenal"/>
    <x v="0"/>
    <x v="5"/>
    <x v="88"/>
    <x v="5"/>
    <x v="0"/>
    <x v="0"/>
    <x v="540"/>
    <x v="4644"/>
  </r>
  <r>
    <x v="2"/>
    <n v="134"/>
    <x v="88"/>
    <x v="0"/>
    <s v="LM"/>
    <s v="S"/>
    <x v="80"/>
    <x v="4"/>
    <x v="492"/>
    <m/>
    <x v="128"/>
    <m/>
    <x v="1"/>
    <x v="0"/>
    <x v="519"/>
    <d v="2013-11-16T00:00:00"/>
    <x v="13"/>
    <x v="0"/>
    <m/>
    <s v="Focus Europa: Portugal"/>
    <x v="0"/>
    <x v="0"/>
    <m/>
    <x v="0"/>
    <x v="5"/>
    <x v="88"/>
    <x v="1"/>
    <x v="0"/>
    <x v="0"/>
    <x v="519"/>
    <x v="4645"/>
  </r>
  <r>
    <x v="2"/>
    <n v="134"/>
    <x v="88"/>
    <x v="0"/>
    <s v="LM"/>
    <s v="S"/>
    <x v="80"/>
    <x v="4"/>
    <x v="890"/>
    <m/>
    <x v="319"/>
    <m/>
    <x v="1"/>
    <x v="0"/>
    <x v="594"/>
    <d v="2013-12-13T00:00:00"/>
    <x v="11"/>
    <x v="0"/>
    <m/>
    <m/>
    <x v="0"/>
    <x v="1"/>
    <s v="No CGAI"/>
    <x v="0"/>
    <x v="5"/>
    <x v="88"/>
    <x v="1"/>
    <x v="0"/>
    <x v="0"/>
    <x v="594"/>
    <x v="4646"/>
  </r>
  <r>
    <x v="2"/>
    <n v="1281"/>
    <x v="967"/>
    <x v="1"/>
    <s v="CM"/>
    <s v=""/>
    <x v="654"/>
    <x v="2"/>
    <x v="62"/>
    <m/>
    <x v="23"/>
    <m/>
    <x v="3"/>
    <x v="0"/>
    <x v="503"/>
    <d v="2013-03-10T00:00:00"/>
    <x v="19"/>
    <x v="0"/>
    <m/>
    <s v="FANTAS em curtas: Cineclube de Avanca"/>
    <x v="0"/>
    <x v="0"/>
    <m/>
    <x v="0"/>
    <x v="2"/>
    <x v="971"/>
    <x v="3"/>
    <x v="0"/>
    <x v="1"/>
    <x v="503"/>
    <x v="4647"/>
  </r>
  <r>
    <x v="2"/>
    <n v="1281"/>
    <x v="967"/>
    <x v="1"/>
    <s v="CM"/>
    <s v=""/>
    <x v="654"/>
    <x v="2"/>
    <x v="829"/>
    <m/>
    <x v="411"/>
    <m/>
    <x v="0"/>
    <x v="0"/>
    <x v="508"/>
    <d v="2013-06-08T00:00:00"/>
    <x v="7"/>
    <x v="1"/>
    <s v="Competição Mostra Estrangeira"/>
    <m/>
    <x v="0"/>
    <x v="0"/>
    <m/>
    <x v="0"/>
    <x v="2"/>
    <x v="971"/>
    <x v="0"/>
    <x v="0"/>
    <x v="0"/>
    <x v="508"/>
    <x v="4648"/>
  </r>
  <r>
    <x v="2"/>
    <n v="1304"/>
    <x v="969"/>
    <x v="0"/>
    <s v="CM"/>
    <s v="N"/>
    <x v="655"/>
    <x v="41"/>
    <x v="831"/>
    <m/>
    <x v="348"/>
    <m/>
    <x v="3"/>
    <x v="0"/>
    <x v="511"/>
    <m/>
    <x v="2"/>
    <x v="1"/>
    <s v="Curta-metragem de ficção"/>
    <m/>
    <x v="0"/>
    <x v="0"/>
    <m/>
    <x v="0"/>
    <x v="0"/>
    <x v="973"/>
    <x v="3"/>
    <x v="0"/>
    <x v="1"/>
    <x v="511"/>
    <x v="4649"/>
  </r>
  <r>
    <x v="2"/>
    <n v="1304"/>
    <x v="969"/>
    <x v="0"/>
    <s v="CM"/>
    <s v="N"/>
    <x v="655"/>
    <x v="41"/>
    <x v="897"/>
    <m/>
    <x v="58"/>
    <m/>
    <x v="17"/>
    <x v="0"/>
    <x v="598"/>
    <d v="2013-09-15T00:00:00"/>
    <x v="20"/>
    <x v="0"/>
    <m/>
    <s v="Drama"/>
    <x v="0"/>
    <x v="0"/>
    <m/>
    <x v="0"/>
    <x v="0"/>
    <x v="973"/>
    <x v="17"/>
    <x v="0"/>
    <x v="0"/>
    <x v="598"/>
    <x v="4650"/>
  </r>
  <r>
    <x v="2"/>
    <n v="1949"/>
    <x v="1665"/>
    <x v="1"/>
    <s v="CM"/>
    <s v="N"/>
    <x v="1091"/>
    <x v="52"/>
    <x v="316"/>
    <m/>
    <x v="11"/>
    <m/>
    <x v="3"/>
    <x v="0"/>
    <x v="500"/>
    <d v="2013-08-31T00:00:00"/>
    <x v="16"/>
    <x v="1"/>
    <s v="Documentário"/>
    <m/>
    <x v="0"/>
    <x v="0"/>
    <m/>
    <x v="0"/>
    <x v="2"/>
    <x v="1680"/>
    <x v="3"/>
    <x v="0"/>
    <x v="1"/>
    <x v="500"/>
    <x v="4651"/>
  </r>
  <r>
    <x v="2"/>
    <n v="137"/>
    <x v="90"/>
    <x v="0"/>
    <s v="LM"/>
    <s v="N"/>
    <x v="20"/>
    <x v="14"/>
    <x v="519"/>
    <m/>
    <x v="24"/>
    <m/>
    <x v="3"/>
    <x v="0"/>
    <x v="504"/>
    <d v="2013-05-11T00:00:00"/>
    <x v="6"/>
    <x v="0"/>
    <m/>
    <s v="Sessão I: ATO PRIMEIRO"/>
    <x v="0"/>
    <x v="1"/>
    <m/>
    <x v="0"/>
    <x v="5"/>
    <x v="90"/>
    <x v="3"/>
    <x v="0"/>
    <x v="1"/>
    <x v="504"/>
    <x v="4652"/>
  </r>
  <r>
    <x v="2"/>
    <n v="137"/>
    <x v="90"/>
    <x v="0"/>
    <s v="LM"/>
    <s v="N"/>
    <x v="20"/>
    <x v="14"/>
    <x v="129"/>
    <m/>
    <x v="12"/>
    <m/>
    <x v="2"/>
    <x v="0"/>
    <x v="539"/>
    <d v="2013-07-08T00:00:00"/>
    <x v="8"/>
    <x v="0"/>
    <m/>
    <s v="Écrans Paralléles: Théorème"/>
    <x v="0"/>
    <x v="0"/>
    <m/>
    <x v="0"/>
    <x v="5"/>
    <x v="90"/>
    <x v="2"/>
    <x v="0"/>
    <x v="0"/>
    <x v="539"/>
    <x v="4653"/>
  </r>
  <r>
    <x v="2"/>
    <n v="137"/>
    <x v="90"/>
    <x v="0"/>
    <s v="LM"/>
    <s v="N"/>
    <x v="20"/>
    <x v="14"/>
    <x v="846"/>
    <m/>
    <x v="417"/>
    <m/>
    <x v="11"/>
    <x v="0"/>
    <x v="535"/>
    <d v="2013-08-03T00:00:00"/>
    <x v="25"/>
    <x v="0"/>
    <m/>
    <s v="Focus Portugal: Manoel de Oliveira"/>
    <x v="0"/>
    <x v="0"/>
    <m/>
    <x v="0"/>
    <x v="5"/>
    <x v="90"/>
    <x v="11"/>
    <x v="0"/>
    <x v="0"/>
    <x v="535"/>
    <x v="4654"/>
  </r>
  <r>
    <x v="2"/>
    <n v="1900"/>
    <x v="1666"/>
    <x v="0"/>
    <s v="CM"/>
    <s v="N"/>
    <x v="384"/>
    <x v="41"/>
    <x v="146"/>
    <m/>
    <x v="24"/>
    <m/>
    <x v="3"/>
    <x v="0"/>
    <x v="537"/>
    <d v="2013-04-28T00:00:00"/>
    <x v="5"/>
    <x v="1"/>
    <s v="Novíssimos - Animação"/>
    <m/>
    <x v="0"/>
    <x v="0"/>
    <m/>
    <x v="0"/>
    <x v="0"/>
    <x v="1681"/>
    <x v="3"/>
    <x v="0"/>
    <x v="1"/>
    <x v="537"/>
    <x v="4655"/>
  </r>
  <r>
    <x v="2"/>
    <n v="1900"/>
    <x v="1666"/>
    <x v="0"/>
    <s v="CM"/>
    <s v="N"/>
    <x v="384"/>
    <x v="41"/>
    <x v="68"/>
    <m/>
    <x v="53"/>
    <m/>
    <x v="3"/>
    <x v="0"/>
    <x v="573"/>
    <d v="2013-07-14T00:00:00"/>
    <x v="8"/>
    <x v="1"/>
    <s v="Competição Take One!"/>
    <m/>
    <x v="0"/>
    <x v="0"/>
    <m/>
    <x v="0"/>
    <x v="0"/>
    <x v="1681"/>
    <x v="3"/>
    <x v="0"/>
    <x v="1"/>
    <x v="573"/>
    <x v="4656"/>
  </r>
  <r>
    <x v="2"/>
    <n v="1614"/>
    <x v="1667"/>
    <x v="2"/>
    <s v="CM"/>
    <s v="N"/>
    <x v="1092"/>
    <x v="41"/>
    <x v="898"/>
    <m/>
    <x v="23"/>
    <m/>
    <x v="3"/>
    <x v="0"/>
    <x v="599"/>
    <m/>
    <x v="15"/>
    <x v="1"/>
    <m/>
    <m/>
    <x v="0"/>
    <x v="1"/>
    <m/>
    <x v="0"/>
    <x v="4"/>
    <x v="1682"/>
    <x v="3"/>
    <x v="0"/>
    <x v="1"/>
    <x v="599"/>
    <x v="4657"/>
  </r>
  <r>
    <x v="2"/>
    <n v="1614"/>
    <x v="1667"/>
    <x v="2"/>
    <s v="CM"/>
    <s v="N"/>
    <x v="1092"/>
    <x v="41"/>
    <x v="899"/>
    <m/>
    <x v="24"/>
    <m/>
    <x v="3"/>
    <x v="0"/>
    <x v="600"/>
    <m/>
    <x v="1"/>
    <x v="1"/>
    <m/>
    <m/>
    <x v="450"/>
    <x v="1"/>
    <m/>
    <x v="1"/>
    <x v="4"/>
    <x v="1682"/>
    <x v="3"/>
    <x v="548"/>
    <x v="1"/>
    <x v="600"/>
    <x v="4658"/>
  </r>
  <r>
    <x v="2"/>
    <n v="1614"/>
    <x v="1667"/>
    <x v="2"/>
    <s v="CM"/>
    <s v="N"/>
    <x v="1092"/>
    <x v="41"/>
    <x v="146"/>
    <m/>
    <x v="24"/>
    <m/>
    <x v="3"/>
    <x v="0"/>
    <x v="537"/>
    <d v="2013-04-28T00:00:00"/>
    <x v="5"/>
    <x v="1"/>
    <s v="Novíssimos - Animação"/>
    <m/>
    <x v="0"/>
    <x v="0"/>
    <m/>
    <x v="0"/>
    <x v="4"/>
    <x v="1682"/>
    <x v="3"/>
    <x v="0"/>
    <x v="1"/>
    <x v="537"/>
    <x v="4659"/>
  </r>
  <r>
    <x v="2"/>
    <n v="1614"/>
    <x v="1667"/>
    <x v="2"/>
    <s v="CM"/>
    <s v="N"/>
    <x v="1092"/>
    <x v="41"/>
    <x v="900"/>
    <m/>
    <x v="15"/>
    <m/>
    <x v="3"/>
    <x v="0"/>
    <x v="601"/>
    <m/>
    <x v="8"/>
    <x v="1"/>
    <m/>
    <m/>
    <x v="0"/>
    <x v="1"/>
    <m/>
    <x v="0"/>
    <x v="4"/>
    <x v="1682"/>
    <x v="3"/>
    <x v="0"/>
    <x v="1"/>
    <x v="601"/>
    <x v="4660"/>
  </r>
  <r>
    <x v="2"/>
    <n v="1614"/>
    <x v="1667"/>
    <x v="2"/>
    <s v="CM"/>
    <s v="N"/>
    <x v="1092"/>
    <x v="41"/>
    <x v="767"/>
    <m/>
    <x v="65"/>
    <m/>
    <x v="9"/>
    <x v="0"/>
    <x v="542"/>
    <d v="2013-09-08T00:00:00"/>
    <x v="9"/>
    <x v="0"/>
    <m/>
    <m/>
    <x v="0"/>
    <x v="0"/>
    <m/>
    <x v="0"/>
    <x v="4"/>
    <x v="1682"/>
    <x v="9"/>
    <x v="0"/>
    <x v="0"/>
    <x v="542"/>
    <x v="4661"/>
  </r>
  <r>
    <x v="2"/>
    <n v="1614"/>
    <x v="1667"/>
    <x v="2"/>
    <s v="CM"/>
    <s v="N"/>
    <x v="1092"/>
    <x v="41"/>
    <x v="901"/>
    <m/>
    <x v="23"/>
    <m/>
    <x v="3"/>
    <x v="0"/>
    <x v="498"/>
    <m/>
    <x v="13"/>
    <x v="1"/>
    <m/>
    <m/>
    <x v="0"/>
    <x v="1"/>
    <m/>
    <x v="0"/>
    <x v="4"/>
    <x v="1682"/>
    <x v="3"/>
    <x v="0"/>
    <x v="1"/>
    <x v="498"/>
    <x v="4662"/>
  </r>
  <r>
    <x v="2"/>
    <n v="139"/>
    <x v="972"/>
    <x v="3"/>
    <s v="CM"/>
    <s v="N"/>
    <x v="151"/>
    <x v="41"/>
    <x v="90"/>
    <m/>
    <x v="69"/>
    <m/>
    <x v="8"/>
    <x v="0"/>
    <x v="602"/>
    <d v="2013-02-03T00:00:00"/>
    <x v="18"/>
    <x v="0"/>
    <m/>
    <s v="Spectrum Shorts - DINAMO P&amp;I Screenings 2"/>
    <x v="0"/>
    <x v="0"/>
    <m/>
    <x v="0"/>
    <x v="6"/>
    <x v="976"/>
    <x v="8"/>
    <x v="0"/>
    <x v="0"/>
    <x v="602"/>
    <x v="4663"/>
  </r>
  <r>
    <x v="2"/>
    <n v="139"/>
    <x v="972"/>
    <x v="3"/>
    <s v="CM"/>
    <s v="N"/>
    <x v="151"/>
    <x v="41"/>
    <x v="432"/>
    <m/>
    <x v="39"/>
    <m/>
    <x v="3"/>
    <x v="0"/>
    <x v="582"/>
    <d v="2013-04-20T00:00:00"/>
    <x v="5"/>
    <x v="1"/>
    <s v="Competição Regional - Sessão 5"/>
    <m/>
    <x v="453"/>
    <x v="0"/>
    <m/>
    <x v="1"/>
    <x v="6"/>
    <x v="976"/>
    <x v="3"/>
    <x v="552"/>
    <x v="1"/>
    <x v="582"/>
    <x v="4664"/>
  </r>
  <r>
    <x v="2"/>
    <n v="139"/>
    <x v="972"/>
    <x v="3"/>
    <s v="CM"/>
    <s v="N"/>
    <x v="151"/>
    <x v="41"/>
    <x v="902"/>
    <m/>
    <x v="426"/>
    <m/>
    <x v="5"/>
    <x v="0"/>
    <x v="603"/>
    <d v="2013-04-28T00:00:00"/>
    <x v="5"/>
    <x v="0"/>
    <m/>
    <s v="Count to Zeo"/>
    <x v="0"/>
    <x v="0"/>
    <m/>
    <x v="0"/>
    <x v="6"/>
    <x v="976"/>
    <x v="5"/>
    <x v="0"/>
    <x v="0"/>
    <x v="603"/>
    <x v="4665"/>
  </r>
  <r>
    <x v="2"/>
    <n v="1984"/>
    <x v="1668"/>
    <x v="1"/>
    <s v="CM"/>
    <s v="N"/>
    <x v="1093"/>
    <x v="52"/>
    <x v="58"/>
    <m/>
    <x v="47"/>
    <m/>
    <x v="3"/>
    <x v="0"/>
    <x v="542"/>
    <d v="2013-09-08T00:00:00"/>
    <x v="9"/>
    <x v="0"/>
    <m/>
    <m/>
    <x v="0"/>
    <x v="1"/>
    <m/>
    <x v="0"/>
    <x v="2"/>
    <x v="1683"/>
    <x v="3"/>
    <x v="0"/>
    <x v="1"/>
    <x v="542"/>
    <x v="4666"/>
  </r>
  <r>
    <x v="2"/>
    <n v="1984"/>
    <x v="1668"/>
    <x v="1"/>
    <s v="CM"/>
    <s v="N"/>
    <x v="1093"/>
    <x v="52"/>
    <x v="903"/>
    <m/>
    <x v="26"/>
    <m/>
    <x v="6"/>
    <x v="0"/>
    <x v="604"/>
    <d v="2013-09-22T00:00:00"/>
    <x v="9"/>
    <x v="1"/>
    <s v="Short Film Award Category"/>
    <m/>
    <x v="0"/>
    <x v="0"/>
    <m/>
    <x v="0"/>
    <x v="2"/>
    <x v="1683"/>
    <x v="6"/>
    <x v="0"/>
    <x v="0"/>
    <x v="604"/>
    <x v="4667"/>
  </r>
  <r>
    <x v="2"/>
    <n v="144"/>
    <x v="95"/>
    <x v="0"/>
    <s v="LM"/>
    <s v="S"/>
    <x v="40"/>
    <x v="0"/>
    <x v="158"/>
    <m/>
    <x v="121"/>
    <m/>
    <x v="3"/>
    <x v="0"/>
    <x v="568"/>
    <d v="2013-10-13T00:00:00"/>
    <x v="14"/>
    <x v="0"/>
    <m/>
    <s v="Focus: Teresa Villaverde"/>
    <x v="0"/>
    <x v="0"/>
    <m/>
    <x v="0"/>
    <x v="5"/>
    <x v="95"/>
    <x v="3"/>
    <x v="0"/>
    <x v="1"/>
    <x v="568"/>
    <x v="4668"/>
  </r>
  <r>
    <x v="2"/>
    <n v="145"/>
    <x v="96"/>
    <x v="1"/>
    <s v="CM"/>
    <s v="N"/>
    <x v="85"/>
    <x v="2"/>
    <x v="831"/>
    <m/>
    <x v="348"/>
    <m/>
    <x v="3"/>
    <x v="0"/>
    <x v="511"/>
    <m/>
    <x v="2"/>
    <x v="1"/>
    <s v="Curta-metragem documental"/>
    <m/>
    <x v="454"/>
    <x v="0"/>
    <m/>
    <x v="1"/>
    <x v="2"/>
    <x v="96"/>
    <x v="3"/>
    <x v="553"/>
    <x v="1"/>
    <x v="511"/>
    <x v="4669"/>
  </r>
  <r>
    <x v="2"/>
    <n v="2092"/>
    <x v="1669"/>
    <x v="1"/>
    <s v="CM"/>
    <s v="N"/>
    <x v="1094"/>
    <x v="41"/>
    <x v="904"/>
    <m/>
    <x v="99"/>
    <m/>
    <x v="3"/>
    <x v="0"/>
    <x v="605"/>
    <d v="2013-07-05T00:00:00"/>
    <x v="8"/>
    <x v="0"/>
    <m/>
    <m/>
    <x v="0"/>
    <x v="1"/>
    <m/>
    <x v="0"/>
    <x v="2"/>
    <x v="1684"/>
    <x v="3"/>
    <x v="0"/>
    <x v="1"/>
    <x v="605"/>
    <x v="4670"/>
  </r>
  <r>
    <x v="2"/>
    <n v="2092"/>
    <x v="1669"/>
    <x v="1"/>
    <s v="CM"/>
    <s v="N"/>
    <x v="1094"/>
    <x v="41"/>
    <x v="905"/>
    <m/>
    <x v="61"/>
    <m/>
    <x v="2"/>
    <x v="0"/>
    <x v="509"/>
    <d v="2013-12-01T00:00:00"/>
    <x v="11"/>
    <x v="0"/>
    <m/>
    <s v="Ida e Volta: Hommage au Portugal"/>
    <x v="0"/>
    <x v="0"/>
    <m/>
    <x v="0"/>
    <x v="2"/>
    <x v="1684"/>
    <x v="2"/>
    <x v="0"/>
    <x v="0"/>
    <x v="509"/>
    <x v="4671"/>
  </r>
  <r>
    <x v="2"/>
    <n v="1832"/>
    <x v="1670"/>
    <x v="1"/>
    <s v="LM"/>
    <s v="N"/>
    <x v="381"/>
    <x v="17"/>
    <x v="906"/>
    <m/>
    <x v="348"/>
    <m/>
    <x v="3"/>
    <x v="0"/>
    <x v="592"/>
    <d v="2013-06-23T00:00:00"/>
    <x v="7"/>
    <x v="0"/>
    <m/>
    <m/>
    <x v="0"/>
    <x v="0"/>
    <m/>
    <x v="0"/>
    <x v="1"/>
    <x v="1685"/>
    <x v="3"/>
    <x v="0"/>
    <x v="1"/>
    <x v="592"/>
    <x v="4672"/>
  </r>
  <r>
    <x v="2"/>
    <n v="1751"/>
    <x v="1671"/>
    <x v="0"/>
    <s v="CM"/>
    <s v="N"/>
    <x v="599"/>
    <x v="52"/>
    <x v="432"/>
    <m/>
    <x v="39"/>
    <m/>
    <x v="3"/>
    <x v="0"/>
    <x v="582"/>
    <d v="2013-04-20T00:00:00"/>
    <x v="5"/>
    <x v="1"/>
    <s v="Competição Regional - Sessão 5"/>
    <m/>
    <x v="455"/>
    <x v="0"/>
    <m/>
    <x v="1"/>
    <x v="0"/>
    <x v="1686"/>
    <x v="3"/>
    <x v="554"/>
    <x v="1"/>
    <x v="582"/>
    <x v="4673"/>
  </r>
  <r>
    <x v="2"/>
    <n v="1751"/>
    <x v="1671"/>
    <x v="0"/>
    <s v="CM"/>
    <s v="N"/>
    <x v="599"/>
    <x v="52"/>
    <x v="827"/>
    <m/>
    <x v="24"/>
    <m/>
    <x v="3"/>
    <x v="0"/>
    <x v="555"/>
    <m/>
    <x v="16"/>
    <x v="1"/>
    <m/>
    <m/>
    <x v="0"/>
    <x v="0"/>
    <m/>
    <x v="0"/>
    <x v="0"/>
    <x v="1686"/>
    <x v="3"/>
    <x v="0"/>
    <x v="1"/>
    <x v="555"/>
    <x v="4674"/>
  </r>
  <r>
    <x v="2"/>
    <n v="2124"/>
    <x v="1672"/>
    <x v="1"/>
    <s v="CM"/>
    <s v="N"/>
    <x v="1095"/>
    <x v="52"/>
    <x v="907"/>
    <m/>
    <x v="24"/>
    <m/>
    <x v="3"/>
    <x v="0"/>
    <x v="606"/>
    <d v="2013-12-15T00:00:00"/>
    <x v="12"/>
    <x v="1"/>
    <s v="Categoria Património Imaterial"/>
    <m/>
    <x v="7"/>
    <x v="2"/>
    <m/>
    <x v="1"/>
    <x v="2"/>
    <x v="1687"/>
    <x v="3"/>
    <x v="555"/>
    <x v="1"/>
    <x v="606"/>
    <x v="4675"/>
  </r>
  <r>
    <x v="2"/>
    <n v="1935"/>
    <x v="1673"/>
    <x v="1"/>
    <s v="CM"/>
    <s v=""/>
    <x v="1096"/>
    <x v="52"/>
    <x v="192"/>
    <m/>
    <x v="140"/>
    <m/>
    <x v="3"/>
    <x v="0"/>
    <x v="334"/>
    <d v="2013-07-28T00:00:00"/>
    <x v="8"/>
    <x v="1"/>
    <s v="Competição Prémio Televisão"/>
    <m/>
    <x v="0"/>
    <x v="0"/>
    <m/>
    <x v="0"/>
    <x v="2"/>
    <x v="1688"/>
    <x v="3"/>
    <x v="0"/>
    <x v="1"/>
    <x v="334"/>
    <x v="4676"/>
  </r>
  <r>
    <x v="2"/>
    <n v="1935"/>
    <x v="1673"/>
    <x v="1"/>
    <s v="CM"/>
    <s v=""/>
    <x v="1096"/>
    <x v="52"/>
    <x v="316"/>
    <m/>
    <x v="11"/>
    <m/>
    <x v="3"/>
    <x v="0"/>
    <x v="500"/>
    <d v="2013-08-31T00:00:00"/>
    <x v="16"/>
    <x v="1"/>
    <s v="Documentário"/>
    <m/>
    <x v="456"/>
    <x v="0"/>
    <m/>
    <x v="1"/>
    <x v="2"/>
    <x v="1688"/>
    <x v="3"/>
    <x v="556"/>
    <x v="1"/>
    <x v="500"/>
    <x v="4677"/>
  </r>
  <r>
    <x v="2"/>
    <n v="1935"/>
    <x v="1673"/>
    <x v="1"/>
    <s v="CM"/>
    <s v=""/>
    <x v="1096"/>
    <x v="52"/>
    <x v="842"/>
    <m/>
    <x v="279"/>
    <m/>
    <x v="3"/>
    <x v="0"/>
    <x v="527"/>
    <d v="2013-09-29T00:00:00"/>
    <x v="9"/>
    <x v="1"/>
    <s v="3ª Manga . Documentários"/>
    <m/>
    <x v="0"/>
    <x v="0"/>
    <m/>
    <x v="0"/>
    <x v="2"/>
    <x v="1688"/>
    <x v="3"/>
    <x v="0"/>
    <x v="1"/>
    <x v="527"/>
    <x v="4678"/>
  </r>
  <r>
    <x v="2"/>
    <n v="1935"/>
    <x v="1673"/>
    <x v="1"/>
    <s v="CM"/>
    <s v=""/>
    <x v="1096"/>
    <x v="52"/>
    <x v="88"/>
    <m/>
    <x v="67"/>
    <m/>
    <x v="3"/>
    <x v="0"/>
    <x v="528"/>
    <d v="2013-10-26T00:00:00"/>
    <x v="14"/>
    <x v="1"/>
    <s v="Lusofonia: Curtas-Metragens"/>
    <m/>
    <x v="457"/>
    <x v="0"/>
    <m/>
    <x v="1"/>
    <x v="2"/>
    <x v="1688"/>
    <x v="3"/>
    <x v="557"/>
    <x v="1"/>
    <x v="528"/>
    <x v="4679"/>
  </r>
  <r>
    <x v="2"/>
    <n v="2125"/>
    <x v="1674"/>
    <x v="1"/>
    <s v="CM"/>
    <s v="N"/>
    <x v="1097"/>
    <x v="2"/>
    <x v="907"/>
    <m/>
    <x v="24"/>
    <m/>
    <x v="3"/>
    <x v="0"/>
    <x v="606"/>
    <d v="2013-12-15T00:00:00"/>
    <x v="12"/>
    <x v="1"/>
    <s v="Categoria Património Imaterial"/>
    <m/>
    <x v="0"/>
    <x v="2"/>
    <m/>
    <x v="0"/>
    <x v="2"/>
    <x v="1689"/>
    <x v="3"/>
    <x v="0"/>
    <x v="1"/>
    <x v="606"/>
    <x v="4680"/>
  </r>
  <r>
    <x v="2"/>
    <n v="2162"/>
    <x v="1675"/>
    <x v="1"/>
    <s v="CM"/>
    <s v="N"/>
    <x v="1098"/>
    <x v="52"/>
    <x v="908"/>
    <m/>
    <x v="294"/>
    <m/>
    <x v="10"/>
    <x v="0"/>
    <x v="607"/>
    <d v="2013-09-10T00:00:00"/>
    <x v="9"/>
    <x v="1"/>
    <s v="International Competition"/>
    <m/>
    <x v="0"/>
    <x v="0"/>
    <m/>
    <x v="0"/>
    <x v="2"/>
    <x v="1690"/>
    <x v="10"/>
    <x v="0"/>
    <x v="0"/>
    <x v="607"/>
    <x v="4681"/>
  </r>
  <r>
    <x v="2"/>
    <n v="2162"/>
    <x v="1675"/>
    <x v="1"/>
    <s v="CM"/>
    <s v="N"/>
    <x v="1098"/>
    <x v="52"/>
    <x v="909"/>
    <m/>
    <x v="246"/>
    <m/>
    <x v="24"/>
    <x v="0"/>
    <x v="498"/>
    <d v="2013-11-18T00:00:00"/>
    <x v="13"/>
    <x v="0"/>
    <m/>
    <s v="Kung Fu Shorts"/>
    <x v="0"/>
    <x v="0"/>
    <m/>
    <x v="0"/>
    <x v="2"/>
    <x v="1690"/>
    <x v="24"/>
    <x v="0"/>
    <x v="0"/>
    <x v="498"/>
    <x v="4682"/>
  </r>
  <r>
    <x v="2"/>
    <n v="2162"/>
    <x v="1675"/>
    <x v="1"/>
    <s v="CM"/>
    <s v="N"/>
    <x v="1098"/>
    <x v="52"/>
    <x v="910"/>
    <m/>
    <x v="427"/>
    <m/>
    <x v="48"/>
    <x v="0"/>
    <x v="520"/>
    <d v="2013-12-10T00:00:00"/>
    <x v="12"/>
    <x v="0"/>
    <m/>
    <s v="International Films: Documentaries"/>
    <x v="0"/>
    <x v="0"/>
    <m/>
    <x v="0"/>
    <x v="2"/>
    <x v="1690"/>
    <x v="48"/>
    <x v="0"/>
    <x v="0"/>
    <x v="520"/>
    <x v="4683"/>
  </r>
  <r>
    <x v="2"/>
    <n v="1815"/>
    <x v="1676"/>
    <x v="0"/>
    <s v="CM"/>
    <s v="N"/>
    <x v="1099"/>
    <x v="3"/>
    <x v="827"/>
    <m/>
    <x v="24"/>
    <m/>
    <x v="3"/>
    <x v="0"/>
    <x v="521"/>
    <m/>
    <x v="7"/>
    <x v="1"/>
    <m/>
    <m/>
    <x v="0"/>
    <x v="0"/>
    <m/>
    <x v="0"/>
    <x v="0"/>
    <x v="1691"/>
    <x v="3"/>
    <x v="0"/>
    <x v="1"/>
    <x v="521"/>
    <x v="4684"/>
  </r>
  <r>
    <x v="2"/>
    <n v="170"/>
    <x v="116"/>
    <x v="0"/>
    <s v="LM"/>
    <s v="S"/>
    <x v="103"/>
    <x v="2"/>
    <x v="843"/>
    <m/>
    <x v="253"/>
    <m/>
    <x v="0"/>
    <x v="0"/>
    <x v="532"/>
    <d v="2013-05-26T00:00:00"/>
    <x v="6"/>
    <x v="0"/>
    <m/>
    <m/>
    <x v="0"/>
    <x v="1"/>
    <m/>
    <x v="0"/>
    <x v="5"/>
    <x v="117"/>
    <x v="0"/>
    <x v="0"/>
    <x v="0"/>
    <x v="532"/>
    <x v="4685"/>
  </r>
  <r>
    <x v="2"/>
    <n v="170"/>
    <x v="116"/>
    <x v="0"/>
    <s v="LM"/>
    <s v="S"/>
    <x v="103"/>
    <x v="2"/>
    <x v="844"/>
    <m/>
    <x v="0"/>
    <m/>
    <x v="0"/>
    <x v="0"/>
    <x v="533"/>
    <d v="2013-06-06T00:00:00"/>
    <x v="22"/>
    <x v="0"/>
    <m/>
    <m/>
    <x v="0"/>
    <x v="1"/>
    <m/>
    <x v="0"/>
    <x v="5"/>
    <x v="117"/>
    <x v="0"/>
    <x v="0"/>
    <x v="0"/>
    <x v="533"/>
    <x v="4686"/>
  </r>
  <r>
    <x v="2"/>
    <n v="1901"/>
    <x v="1677"/>
    <x v="0"/>
    <s v="CM"/>
    <s v="N"/>
    <x v="736"/>
    <x v="52"/>
    <x v="146"/>
    <m/>
    <x v="24"/>
    <m/>
    <x v="3"/>
    <x v="0"/>
    <x v="537"/>
    <d v="2013-04-28T00:00:00"/>
    <x v="5"/>
    <x v="1"/>
    <s v="Novíssimos - Ficção"/>
    <m/>
    <x v="0"/>
    <x v="0"/>
    <m/>
    <x v="0"/>
    <x v="0"/>
    <x v="1692"/>
    <x v="3"/>
    <x v="0"/>
    <x v="1"/>
    <x v="537"/>
    <x v="4687"/>
  </r>
  <r>
    <x v="2"/>
    <n v="1994"/>
    <x v="1678"/>
    <x v="4"/>
    <s v="CM"/>
    <s v="N"/>
    <x v="401"/>
    <x v="52"/>
    <x v="209"/>
    <m/>
    <x v="72"/>
    <m/>
    <x v="15"/>
    <x v="0"/>
    <x v="500"/>
    <d v="2013-09-07T00:00:00"/>
    <x v="20"/>
    <x v="0"/>
    <m/>
    <s v="Venezia 70: Future Reloaded"/>
    <x v="0"/>
    <x v="0"/>
    <m/>
    <x v="0"/>
    <x v="8"/>
    <x v="1693"/>
    <x v="15"/>
    <x v="0"/>
    <x v="0"/>
    <x v="500"/>
    <x v="4688"/>
  </r>
  <r>
    <x v="2"/>
    <n v="1994"/>
    <x v="1678"/>
    <x v="4"/>
    <s v="CM"/>
    <s v="N"/>
    <x v="401"/>
    <x v="52"/>
    <x v="25"/>
    <m/>
    <x v="24"/>
    <m/>
    <x v="3"/>
    <x v="0"/>
    <x v="553"/>
    <d v="2013-11-03T00:00:00"/>
    <x v="0"/>
    <x v="0"/>
    <m/>
    <s v="Riscos"/>
    <x v="0"/>
    <x v="0"/>
    <m/>
    <x v="0"/>
    <x v="8"/>
    <x v="1693"/>
    <x v="3"/>
    <x v="0"/>
    <x v="1"/>
    <x v="553"/>
    <x v="4689"/>
  </r>
  <r>
    <x v="2"/>
    <n v="2170"/>
    <x v="1679"/>
    <x v="0"/>
    <s v="CM"/>
    <s v="N"/>
    <x v="1100"/>
    <x v="41"/>
    <x v="70"/>
    <m/>
    <x v="38"/>
    <m/>
    <x v="3"/>
    <x v="0"/>
    <x v="510"/>
    <d v="2013-09-15T00:00:00"/>
    <x v="9"/>
    <x v="1"/>
    <s v="Sessão Competitiva 2"/>
    <m/>
    <x v="91"/>
    <x v="0"/>
    <m/>
    <x v="1"/>
    <x v="0"/>
    <x v="1694"/>
    <x v="3"/>
    <x v="558"/>
    <x v="1"/>
    <x v="510"/>
    <x v="4690"/>
  </r>
  <r>
    <x v="2"/>
    <n v="1462"/>
    <x v="981"/>
    <x v="1"/>
    <s v="CM"/>
    <s v="N"/>
    <x v="664"/>
    <x v="41"/>
    <x v="911"/>
    <m/>
    <x v="46"/>
    <m/>
    <x v="3"/>
    <x v="0"/>
    <x v="408"/>
    <d v="2013-01-28T00:00:00"/>
    <x v="33"/>
    <x v="0"/>
    <m/>
    <m/>
    <x v="0"/>
    <x v="1"/>
    <m/>
    <x v="0"/>
    <x v="2"/>
    <x v="985"/>
    <x v="3"/>
    <x v="0"/>
    <x v="1"/>
    <x v="408"/>
    <x v="4691"/>
  </r>
  <r>
    <x v="2"/>
    <n v="174"/>
    <x v="119"/>
    <x v="1"/>
    <s v="CM"/>
    <s v="N"/>
    <x v="106"/>
    <x v="3"/>
    <x v="885"/>
    <m/>
    <x v="419"/>
    <m/>
    <x v="34"/>
    <x v="0"/>
    <x v="586"/>
    <d v="2013-01-27T00:00:00"/>
    <x v="15"/>
    <x v="0"/>
    <m/>
    <s v="Tous les garçons s'appellent João"/>
    <x v="0"/>
    <x v="0"/>
    <m/>
    <x v="0"/>
    <x v="2"/>
    <x v="120"/>
    <x v="34"/>
    <x v="0"/>
    <x v="0"/>
    <x v="586"/>
    <x v="4692"/>
  </r>
  <r>
    <x v="2"/>
    <n v="174"/>
    <x v="119"/>
    <x v="1"/>
    <s v="CM"/>
    <s v="N"/>
    <x v="106"/>
    <x v="3"/>
    <x v="890"/>
    <m/>
    <x v="319"/>
    <m/>
    <x v="1"/>
    <x v="0"/>
    <x v="594"/>
    <d v="2013-12-13T00:00:00"/>
    <x v="11"/>
    <x v="0"/>
    <m/>
    <s v="Curtametraxes: João Pedro Rodrigues"/>
    <x v="0"/>
    <x v="1"/>
    <s v="No CGAI"/>
    <x v="0"/>
    <x v="2"/>
    <x v="120"/>
    <x v="1"/>
    <x v="0"/>
    <x v="0"/>
    <x v="594"/>
    <x v="4693"/>
  </r>
  <r>
    <x v="2"/>
    <n v="1767"/>
    <x v="1680"/>
    <x v="0"/>
    <s v="CM"/>
    <s v="N"/>
    <x v="1101"/>
    <x v="2"/>
    <x v="912"/>
    <m/>
    <x v="23"/>
    <m/>
    <x v="3"/>
    <x v="0"/>
    <x v="590"/>
    <m/>
    <x v="5"/>
    <x v="1"/>
    <m/>
    <m/>
    <x v="0"/>
    <x v="1"/>
    <m/>
    <x v="0"/>
    <x v="0"/>
    <x v="1695"/>
    <x v="3"/>
    <x v="0"/>
    <x v="1"/>
    <x v="590"/>
    <x v="4694"/>
  </r>
  <r>
    <x v="2"/>
    <n v="1336"/>
    <x v="983"/>
    <x v="1"/>
    <s v="LM"/>
    <s v="S"/>
    <x v="666"/>
    <x v="41"/>
    <x v="854"/>
    <m/>
    <x v="24"/>
    <m/>
    <x v="3"/>
    <x v="0"/>
    <x v="550"/>
    <d v="2013-03-27T00:00:00"/>
    <x v="2"/>
    <x v="0"/>
    <m/>
    <m/>
    <x v="0"/>
    <x v="1"/>
    <m/>
    <x v="0"/>
    <x v="1"/>
    <x v="987"/>
    <x v="3"/>
    <x v="0"/>
    <x v="1"/>
    <x v="550"/>
    <x v="4695"/>
  </r>
  <r>
    <x v="2"/>
    <n v="1336"/>
    <x v="983"/>
    <x v="1"/>
    <s v="LM"/>
    <s v="S"/>
    <x v="666"/>
    <x v="41"/>
    <x v="913"/>
    <m/>
    <x v="174"/>
    <m/>
    <x v="1"/>
    <x v="0"/>
    <x v="608"/>
    <d v="2013-12-31T00:00:00"/>
    <x v="34"/>
    <x v="0"/>
    <m/>
    <s v="Outdoor Screenings - Panorama"/>
    <x v="0"/>
    <x v="1"/>
    <m/>
    <x v="0"/>
    <x v="1"/>
    <x v="987"/>
    <x v="1"/>
    <x v="0"/>
    <x v="0"/>
    <x v="608"/>
    <x v="4696"/>
  </r>
  <r>
    <x v="2"/>
    <n v="1336"/>
    <x v="983"/>
    <x v="1"/>
    <s v="LM"/>
    <s v="S"/>
    <x v="666"/>
    <x v="41"/>
    <x v="519"/>
    <m/>
    <x v="24"/>
    <m/>
    <x v="3"/>
    <x v="0"/>
    <x v="504"/>
    <d v="2013-05-11T00:00:00"/>
    <x v="6"/>
    <x v="0"/>
    <m/>
    <s v="Sessão Panorama DOCLISBOA"/>
    <x v="0"/>
    <x v="1"/>
    <m/>
    <x v="0"/>
    <x v="1"/>
    <x v="987"/>
    <x v="3"/>
    <x v="0"/>
    <x v="1"/>
    <x v="504"/>
    <x v="4697"/>
  </r>
  <r>
    <x v="2"/>
    <n v="1336"/>
    <x v="983"/>
    <x v="1"/>
    <s v="LM"/>
    <s v="S"/>
    <x v="666"/>
    <x v="41"/>
    <x v="905"/>
    <m/>
    <x v="61"/>
    <m/>
    <x v="2"/>
    <x v="0"/>
    <x v="509"/>
    <d v="2013-12-01T00:00:00"/>
    <x v="11"/>
    <x v="0"/>
    <m/>
    <s v="Ida e Volta: Hommage au Portugal - Carte Blanche au festival Doclisboa"/>
    <x v="0"/>
    <x v="0"/>
    <m/>
    <x v="0"/>
    <x v="1"/>
    <x v="987"/>
    <x v="2"/>
    <x v="0"/>
    <x v="0"/>
    <x v="509"/>
    <x v="4698"/>
  </r>
  <r>
    <x v="2"/>
    <n v="1993"/>
    <x v="1681"/>
    <x v="1"/>
    <s v="CM"/>
    <s v="N"/>
    <x v="40"/>
    <x v="52"/>
    <x v="209"/>
    <m/>
    <x v="72"/>
    <m/>
    <x v="15"/>
    <x v="0"/>
    <x v="500"/>
    <d v="2013-09-07T00:00:00"/>
    <x v="20"/>
    <x v="0"/>
    <m/>
    <s v="Venezia 70: Future Reloaded"/>
    <x v="0"/>
    <x v="0"/>
    <m/>
    <x v="0"/>
    <x v="2"/>
    <x v="1696"/>
    <x v="15"/>
    <x v="0"/>
    <x v="0"/>
    <x v="500"/>
    <x v="4699"/>
  </r>
  <r>
    <x v="2"/>
    <n v="1993"/>
    <x v="1681"/>
    <x v="1"/>
    <s v="CM"/>
    <s v="N"/>
    <x v="40"/>
    <x v="52"/>
    <x v="158"/>
    <m/>
    <x v="121"/>
    <m/>
    <x v="3"/>
    <x v="0"/>
    <x v="568"/>
    <d v="2013-10-13T00:00:00"/>
    <x v="14"/>
    <x v="0"/>
    <m/>
    <s v="Focus: Teresa Villaverde"/>
    <x v="0"/>
    <x v="0"/>
    <m/>
    <x v="0"/>
    <x v="2"/>
    <x v="1696"/>
    <x v="3"/>
    <x v="0"/>
    <x v="1"/>
    <x v="568"/>
    <x v="4700"/>
  </r>
  <r>
    <x v="2"/>
    <n v="178"/>
    <x v="121"/>
    <x v="0"/>
    <s v="LM"/>
    <s v="S"/>
    <x v="108"/>
    <x v="5"/>
    <x v="854"/>
    <m/>
    <x v="24"/>
    <m/>
    <x v="3"/>
    <x v="0"/>
    <x v="550"/>
    <d v="2013-03-27T00:00:00"/>
    <x v="2"/>
    <x v="0"/>
    <m/>
    <m/>
    <x v="0"/>
    <x v="1"/>
    <m/>
    <x v="0"/>
    <x v="5"/>
    <x v="122"/>
    <x v="3"/>
    <x v="0"/>
    <x v="1"/>
    <x v="550"/>
    <x v="4701"/>
  </r>
  <r>
    <x v="2"/>
    <n v="178"/>
    <x v="121"/>
    <x v="0"/>
    <s v="LM"/>
    <s v="S"/>
    <x v="108"/>
    <x v="5"/>
    <x v="871"/>
    <m/>
    <x v="391"/>
    <m/>
    <x v="1"/>
    <x v="0"/>
    <x v="498"/>
    <d v="2013-11-19T00:00:00"/>
    <x v="13"/>
    <x v="0"/>
    <m/>
    <s v="País Invitado"/>
    <x v="0"/>
    <x v="1"/>
    <m/>
    <x v="0"/>
    <x v="5"/>
    <x v="122"/>
    <x v="1"/>
    <x v="0"/>
    <x v="0"/>
    <x v="498"/>
    <x v="4702"/>
  </r>
  <r>
    <x v="2"/>
    <n v="179"/>
    <x v="122"/>
    <x v="2"/>
    <s v="CM"/>
    <s v="N"/>
    <x v="109"/>
    <x v="3"/>
    <x v="621"/>
    <m/>
    <x v="212"/>
    <m/>
    <x v="9"/>
    <x v="0"/>
    <x v="609"/>
    <d v="2013-02-03T00:00:00"/>
    <x v="18"/>
    <x v="1"/>
    <s v="Ready, Set, Grow"/>
    <m/>
    <x v="0"/>
    <x v="0"/>
    <m/>
    <x v="0"/>
    <x v="4"/>
    <x v="123"/>
    <x v="9"/>
    <x v="0"/>
    <x v="0"/>
    <x v="609"/>
    <x v="4703"/>
  </r>
  <r>
    <x v="2"/>
    <n v="179"/>
    <x v="122"/>
    <x v="2"/>
    <s v="CM"/>
    <s v="N"/>
    <x v="109"/>
    <x v="3"/>
    <x v="34"/>
    <m/>
    <x v="32"/>
    <m/>
    <x v="3"/>
    <x v="0"/>
    <x v="525"/>
    <d v="2013-05-12T00:00:00"/>
    <x v="6"/>
    <x v="1"/>
    <s v="Curta-metragem Escolar"/>
    <m/>
    <x v="0"/>
    <x v="0"/>
    <m/>
    <x v="0"/>
    <x v="4"/>
    <x v="123"/>
    <x v="3"/>
    <x v="0"/>
    <x v="1"/>
    <x v="525"/>
    <x v="4704"/>
  </r>
  <r>
    <x v="2"/>
    <n v="2134"/>
    <x v="1682"/>
    <x v="1"/>
    <s v="CM"/>
    <s v="N"/>
    <x v="1102"/>
    <x v="52"/>
    <x v="454"/>
    <m/>
    <x v="15"/>
    <m/>
    <x v="3"/>
    <x v="0"/>
    <x v="334"/>
    <m/>
    <x v="8"/>
    <x v="1"/>
    <s v="Documentário"/>
    <m/>
    <x v="0"/>
    <x v="0"/>
    <m/>
    <x v="0"/>
    <x v="2"/>
    <x v="1697"/>
    <x v="3"/>
    <x v="0"/>
    <x v="1"/>
    <x v="334"/>
    <x v="4705"/>
  </r>
  <r>
    <x v="2"/>
    <n v="182"/>
    <x v="125"/>
    <x v="1"/>
    <s v="LM"/>
    <s v="N"/>
    <x v="111"/>
    <x v="16"/>
    <x v="914"/>
    <m/>
    <x v="231"/>
    <m/>
    <x v="58"/>
    <x v="0"/>
    <x v="610"/>
    <d v="2013-04-21T00:00:00"/>
    <x v="5"/>
    <x v="0"/>
    <m/>
    <s v="Once was Fire"/>
    <x v="0"/>
    <x v="0"/>
    <m/>
    <x v="0"/>
    <x v="1"/>
    <x v="126"/>
    <x v="58"/>
    <x v="0"/>
    <x v="0"/>
    <x v="610"/>
    <x v="4706"/>
  </r>
  <r>
    <x v="2"/>
    <n v="2058"/>
    <x v="125"/>
    <x v="0"/>
    <s v="CM"/>
    <s v="N"/>
    <x v="1103"/>
    <x v="52"/>
    <x v="915"/>
    <m/>
    <x v="15"/>
    <m/>
    <x v="3"/>
    <x v="0"/>
    <x v="604"/>
    <m/>
    <x v="9"/>
    <x v="1"/>
    <m/>
    <m/>
    <x v="0"/>
    <x v="1"/>
    <m/>
    <x v="0"/>
    <x v="0"/>
    <x v="1698"/>
    <x v="3"/>
    <x v="0"/>
    <x v="1"/>
    <x v="604"/>
    <x v="4707"/>
  </r>
  <r>
    <x v="2"/>
    <n v="2080"/>
    <x v="1683"/>
    <x v="2"/>
    <s v="CM"/>
    <s v="S"/>
    <x v="33"/>
    <x v="52"/>
    <x v="27"/>
    <m/>
    <x v="25"/>
    <m/>
    <x v="3"/>
    <x v="0"/>
    <x v="611"/>
    <d v="2013-11-17T00:00:00"/>
    <x v="13"/>
    <x v="1"/>
    <s v="Competição Nacional: Prémio António Gaio"/>
    <m/>
    <x v="166"/>
    <x v="0"/>
    <m/>
    <x v="1"/>
    <x v="4"/>
    <x v="1699"/>
    <x v="3"/>
    <x v="455"/>
    <x v="1"/>
    <x v="611"/>
    <x v="4708"/>
  </r>
  <r>
    <x v="2"/>
    <n v="1801"/>
    <x v="1684"/>
    <x v="0"/>
    <s v="CM"/>
    <s v="N"/>
    <x v="1104"/>
    <x v="52"/>
    <x v="869"/>
    <m/>
    <x v="24"/>
    <m/>
    <x v="3"/>
    <x v="0"/>
    <x v="567"/>
    <m/>
    <x v="6"/>
    <x v="1"/>
    <m/>
    <m/>
    <x v="39"/>
    <x v="2"/>
    <m/>
    <x v="1"/>
    <x v="0"/>
    <x v="1700"/>
    <x v="3"/>
    <x v="41"/>
    <x v="1"/>
    <x v="567"/>
    <x v="4709"/>
  </r>
  <r>
    <x v="2"/>
    <n v="189"/>
    <x v="130"/>
    <x v="1"/>
    <s v="LM"/>
    <s v="S"/>
    <x v="114"/>
    <x v="5"/>
    <x v="843"/>
    <m/>
    <x v="253"/>
    <m/>
    <x v="0"/>
    <x v="0"/>
    <x v="532"/>
    <d v="2013-05-26T00:00:00"/>
    <x v="6"/>
    <x v="0"/>
    <m/>
    <m/>
    <x v="0"/>
    <x v="1"/>
    <m/>
    <x v="0"/>
    <x v="1"/>
    <x v="131"/>
    <x v="0"/>
    <x v="0"/>
    <x v="0"/>
    <x v="532"/>
    <x v="4710"/>
  </r>
  <r>
    <x v="2"/>
    <n v="189"/>
    <x v="130"/>
    <x v="1"/>
    <s v="LM"/>
    <s v="S"/>
    <x v="114"/>
    <x v="5"/>
    <x v="844"/>
    <m/>
    <x v="0"/>
    <m/>
    <x v="0"/>
    <x v="0"/>
    <x v="533"/>
    <d v="2013-06-06T00:00:00"/>
    <x v="22"/>
    <x v="0"/>
    <m/>
    <m/>
    <x v="0"/>
    <x v="1"/>
    <m/>
    <x v="0"/>
    <x v="1"/>
    <x v="131"/>
    <x v="0"/>
    <x v="0"/>
    <x v="0"/>
    <x v="533"/>
    <x v="4711"/>
  </r>
  <r>
    <x v="2"/>
    <n v="190"/>
    <x v="131"/>
    <x v="0"/>
    <s v="LM"/>
    <s v="N"/>
    <x v="20"/>
    <x v="17"/>
    <x v="62"/>
    <m/>
    <x v="23"/>
    <m/>
    <x v="3"/>
    <x v="0"/>
    <x v="503"/>
    <d v="2013-03-10T00:00:00"/>
    <x v="19"/>
    <x v="0"/>
    <m/>
    <s v="Homenagem a Manoel de Oliveira no 70º aniversário do filme "/>
    <x v="0"/>
    <x v="0"/>
    <m/>
    <x v="0"/>
    <x v="5"/>
    <x v="132"/>
    <x v="3"/>
    <x v="0"/>
    <x v="1"/>
    <x v="503"/>
    <x v="4712"/>
  </r>
  <r>
    <x v="2"/>
    <n v="190"/>
    <x v="131"/>
    <x v="0"/>
    <s v="LM"/>
    <s v="N"/>
    <x v="20"/>
    <x v="17"/>
    <x v="846"/>
    <m/>
    <x v="417"/>
    <m/>
    <x v="11"/>
    <x v="0"/>
    <x v="535"/>
    <d v="2013-08-03T00:00:00"/>
    <x v="25"/>
    <x v="0"/>
    <m/>
    <s v="Focus Portugal: Manoel de Oliveira"/>
    <x v="0"/>
    <x v="0"/>
    <m/>
    <x v="0"/>
    <x v="5"/>
    <x v="132"/>
    <x v="11"/>
    <x v="0"/>
    <x v="0"/>
    <x v="535"/>
    <x v="4713"/>
  </r>
  <r>
    <x v="2"/>
    <n v="190"/>
    <x v="131"/>
    <x v="0"/>
    <s v="LM"/>
    <s v="N"/>
    <x v="20"/>
    <x v="17"/>
    <x v="592"/>
    <m/>
    <x v="5"/>
    <m/>
    <x v="3"/>
    <x v="0"/>
    <x v="541"/>
    <m/>
    <x v="9"/>
    <x v="0"/>
    <m/>
    <m/>
    <x v="0"/>
    <x v="1"/>
    <m/>
    <x v="0"/>
    <x v="5"/>
    <x v="132"/>
    <x v="3"/>
    <x v="0"/>
    <x v="1"/>
    <x v="541"/>
    <x v="4714"/>
  </r>
  <r>
    <x v="2"/>
    <n v="1880"/>
    <x v="1685"/>
    <x v="1"/>
    <s v="CM"/>
    <s v="N"/>
    <x v="29"/>
    <x v="41"/>
    <x v="519"/>
    <m/>
    <x v="24"/>
    <m/>
    <x v="3"/>
    <x v="0"/>
    <x v="504"/>
    <d v="2013-05-11T00:00:00"/>
    <x v="6"/>
    <x v="0"/>
    <m/>
    <m/>
    <x v="0"/>
    <x v="1"/>
    <m/>
    <x v="0"/>
    <x v="2"/>
    <x v="1701"/>
    <x v="3"/>
    <x v="0"/>
    <x v="1"/>
    <x v="504"/>
    <x v="4715"/>
  </r>
  <r>
    <x v="2"/>
    <n v="1634"/>
    <x v="1686"/>
    <x v="2"/>
    <s v="CM"/>
    <s v="N"/>
    <x v="1105"/>
    <x v="41"/>
    <x v="840"/>
    <m/>
    <x v="24"/>
    <m/>
    <x v="3"/>
    <x v="0"/>
    <x v="522"/>
    <d v="2013-01-27T00:00:00"/>
    <x v="15"/>
    <x v="1"/>
    <s v="Competição ClapKids"/>
    <m/>
    <x v="0"/>
    <x v="0"/>
    <m/>
    <x v="0"/>
    <x v="4"/>
    <x v="1702"/>
    <x v="3"/>
    <x v="0"/>
    <x v="1"/>
    <x v="522"/>
    <x v="4716"/>
  </r>
  <r>
    <x v="2"/>
    <n v="1634"/>
    <x v="1686"/>
    <x v="2"/>
    <s v="CM"/>
    <s v="N"/>
    <x v="1105"/>
    <x v="41"/>
    <x v="916"/>
    <m/>
    <x v="428"/>
    <m/>
    <x v="50"/>
    <x v="0"/>
    <x v="612"/>
    <d v="2013-04-28T00:00:00"/>
    <x v="5"/>
    <x v="1"/>
    <s v="Mini"/>
    <m/>
    <x v="0"/>
    <x v="0"/>
    <m/>
    <x v="0"/>
    <x v="4"/>
    <x v="1702"/>
    <x v="50"/>
    <x v="0"/>
    <x v="0"/>
    <x v="612"/>
    <x v="4717"/>
  </r>
  <r>
    <x v="2"/>
    <n v="1634"/>
    <x v="1686"/>
    <x v="2"/>
    <s v="CM"/>
    <s v="N"/>
    <x v="1105"/>
    <x v="41"/>
    <x v="590"/>
    <m/>
    <x v="328"/>
    <m/>
    <x v="11"/>
    <x v="0"/>
    <x v="613"/>
    <d v="2013-05-01T00:00:00"/>
    <x v="4"/>
    <x v="1"/>
    <s v="Films made by children up to 12 years"/>
    <m/>
    <x v="0"/>
    <x v="0"/>
    <m/>
    <x v="0"/>
    <x v="4"/>
    <x v="1702"/>
    <x v="11"/>
    <x v="0"/>
    <x v="0"/>
    <x v="613"/>
    <x v="4718"/>
  </r>
  <r>
    <x v="2"/>
    <n v="1634"/>
    <x v="1686"/>
    <x v="2"/>
    <s v="CM"/>
    <s v="N"/>
    <x v="1105"/>
    <x v="41"/>
    <x v="27"/>
    <m/>
    <x v="25"/>
    <m/>
    <x v="3"/>
    <x v="0"/>
    <x v="611"/>
    <d v="2013-11-17T00:00:00"/>
    <x v="13"/>
    <x v="1"/>
    <s v="Competição Nacional: Prémio Jovem Cineasta Português (-18 anos)"/>
    <m/>
    <x v="7"/>
    <x v="0"/>
    <m/>
    <x v="1"/>
    <x v="4"/>
    <x v="1702"/>
    <x v="3"/>
    <x v="559"/>
    <x v="1"/>
    <x v="611"/>
    <x v="4719"/>
  </r>
  <r>
    <x v="2"/>
    <n v="2009"/>
    <x v="1687"/>
    <x v="0"/>
    <s v="CM"/>
    <s v="N"/>
    <x v="1106"/>
    <x v="52"/>
    <x v="842"/>
    <m/>
    <x v="279"/>
    <m/>
    <x v="3"/>
    <x v="0"/>
    <x v="527"/>
    <d v="2013-09-29T00:00:00"/>
    <x v="9"/>
    <x v="1"/>
    <s v="2ª Manga - Certame Regional"/>
    <m/>
    <x v="0"/>
    <x v="0"/>
    <m/>
    <x v="0"/>
    <x v="0"/>
    <x v="1703"/>
    <x v="3"/>
    <x v="0"/>
    <x v="1"/>
    <x v="527"/>
    <x v="4720"/>
  </r>
  <r>
    <x v="2"/>
    <n v="194"/>
    <x v="989"/>
    <x v="0"/>
    <s v="LM"/>
    <s v="S"/>
    <x v="41"/>
    <x v="12"/>
    <x v="917"/>
    <m/>
    <x v="8"/>
    <m/>
    <x v="3"/>
    <x v="0"/>
    <x v="614"/>
    <m/>
    <x v="7"/>
    <x v="0"/>
    <m/>
    <m/>
    <x v="0"/>
    <x v="1"/>
    <s v="Actividade Paralela dos Festivais Gil Vicente 2013"/>
    <x v="0"/>
    <x v="5"/>
    <x v="993"/>
    <x v="3"/>
    <x v="0"/>
    <x v="1"/>
    <x v="614"/>
    <x v="4721"/>
  </r>
  <r>
    <x v="2"/>
    <n v="1884"/>
    <x v="1688"/>
    <x v="0"/>
    <s v="CM"/>
    <s v="N"/>
    <x v="482"/>
    <x v="41"/>
    <x v="68"/>
    <m/>
    <x v="53"/>
    <m/>
    <x v="3"/>
    <x v="0"/>
    <x v="573"/>
    <d v="2013-07-14T00:00:00"/>
    <x v="8"/>
    <x v="1"/>
    <s v="Competição Nacional"/>
    <m/>
    <x v="0"/>
    <x v="0"/>
    <m/>
    <x v="0"/>
    <x v="0"/>
    <x v="1704"/>
    <x v="3"/>
    <x v="0"/>
    <x v="1"/>
    <x v="573"/>
    <x v="4722"/>
  </r>
  <r>
    <x v="2"/>
    <n v="1884"/>
    <x v="1688"/>
    <x v="0"/>
    <s v="CM"/>
    <s v="N"/>
    <x v="482"/>
    <x v="41"/>
    <x v="58"/>
    <m/>
    <x v="47"/>
    <m/>
    <x v="3"/>
    <x v="0"/>
    <x v="542"/>
    <d v="2013-09-08T00:00:00"/>
    <x v="9"/>
    <x v="0"/>
    <m/>
    <m/>
    <x v="0"/>
    <x v="1"/>
    <m/>
    <x v="0"/>
    <x v="0"/>
    <x v="1704"/>
    <x v="3"/>
    <x v="0"/>
    <x v="1"/>
    <x v="542"/>
    <x v="4723"/>
  </r>
  <r>
    <x v="2"/>
    <n v="1884"/>
    <x v="1688"/>
    <x v="0"/>
    <s v="CM"/>
    <s v="N"/>
    <x v="482"/>
    <x v="41"/>
    <x v="870"/>
    <m/>
    <x v="59"/>
    <m/>
    <x v="3"/>
    <x v="0"/>
    <x v="568"/>
    <d v="2013-10-13T00:00:00"/>
    <x v="14"/>
    <x v="1"/>
    <s v="Competição Nacional"/>
    <m/>
    <x v="0"/>
    <x v="0"/>
    <m/>
    <x v="0"/>
    <x v="0"/>
    <x v="1704"/>
    <x v="3"/>
    <x v="0"/>
    <x v="1"/>
    <x v="568"/>
    <x v="4724"/>
  </r>
  <r>
    <x v="2"/>
    <n v="1902"/>
    <x v="1689"/>
    <x v="1"/>
    <s v="CM"/>
    <s v="N"/>
    <x v="1107"/>
    <x v="41"/>
    <x v="146"/>
    <m/>
    <x v="24"/>
    <m/>
    <x v="3"/>
    <x v="0"/>
    <x v="537"/>
    <d v="2013-04-28T00:00:00"/>
    <x v="5"/>
    <x v="1"/>
    <s v="Novíssimos - Documentário"/>
    <m/>
    <x v="0"/>
    <x v="0"/>
    <m/>
    <x v="0"/>
    <x v="2"/>
    <x v="1705"/>
    <x v="3"/>
    <x v="0"/>
    <x v="1"/>
    <x v="537"/>
    <x v="4725"/>
  </r>
  <r>
    <x v="2"/>
    <n v="1640"/>
    <x v="1690"/>
    <x v="3"/>
    <s v="CM"/>
    <s v="N"/>
    <x v="1108"/>
    <x v="41"/>
    <x v="90"/>
    <m/>
    <x v="69"/>
    <m/>
    <x v="8"/>
    <x v="0"/>
    <x v="602"/>
    <d v="2013-02-03T00:00:00"/>
    <x v="18"/>
    <x v="0"/>
    <m/>
    <s v="Spectrum Shorts"/>
    <x v="0"/>
    <x v="0"/>
    <m/>
    <x v="0"/>
    <x v="6"/>
    <x v="1706"/>
    <x v="8"/>
    <x v="0"/>
    <x v="0"/>
    <x v="602"/>
    <x v="4726"/>
  </r>
  <r>
    <x v="2"/>
    <n v="1640"/>
    <x v="1690"/>
    <x v="3"/>
    <s v="CM"/>
    <s v="N"/>
    <x v="1108"/>
    <x v="41"/>
    <x v="68"/>
    <m/>
    <x v="53"/>
    <m/>
    <x v="3"/>
    <x v="0"/>
    <x v="573"/>
    <d v="2013-07-14T00:00:00"/>
    <x v="8"/>
    <x v="1"/>
    <s v="Competição Nacional"/>
    <m/>
    <x v="0"/>
    <x v="0"/>
    <m/>
    <x v="0"/>
    <x v="6"/>
    <x v="1706"/>
    <x v="3"/>
    <x v="0"/>
    <x v="1"/>
    <x v="573"/>
    <x v="4727"/>
  </r>
  <r>
    <x v="2"/>
    <n v="1640"/>
    <x v="1690"/>
    <x v="3"/>
    <s v="CM"/>
    <s v="N"/>
    <x v="1108"/>
    <x v="41"/>
    <x v="918"/>
    <m/>
    <x v="256"/>
    <m/>
    <x v="9"/>
    <x v="0"/>
    <x v="541"/>
    <d v="2013-09-08T00:00:00"/>
    <x v="9"/>
    <x v="0"/>
    <m/>
    <s v="The Way of All Flesh"/>
    <x v="0"/>
    <x v="0"/>
    <m/>
    <x v="0"/>
    <x v="6"/>
    <x v="1706"/>
    <x v="9"/>
    <x v="0"/>
    <x v="0"/>
    <x v="541"/>
    <x v="4728"/>
  </r>
  <r>
    <x v="2"/>
    <n v="1640"/>
    <x v="1690"/>
    <x v="3"/>
    <s v="CM"/>
    <s v="N"/>
    <x v="1108"/>
    <x v="41"/>
    <x v="389"/>
    <m/>
    <x v="173"/>
    <m/>
    <x v="7"/>
    <x v="0"/>
    <x v="615"/>
    <d v="2013-10-20T00:00:00"/>
    <x v="14"/>
    <x v="1"/>
    <s v="Compétition Internationale Courts-Métrages: Expérimentations 1"/>
    <m/>
    <x v="0"/>
    <x v="0"/>
    <m/>
    <x v="0"/>
    <x v="6"/>
    <x v="1706"/>
    <x v="7"/>
    <x v="0"/>
    <x v="0"/>
    <x v="615"/>
    <x v="4729"/>
  </r>
  <r>
    <x v="2"/>
    <n v="1640"/>
    <x v="1690"/>
    <x v="3"/>
    <s v="CM"/>
    <s v="N"/>
    <x v="1108"/>
    <x v="41"/>
    <x v="179"/>
    <m/>
    <x v="133"/>
    <m/>
    <x v="0"/>
    <x v="0"/>
    <x v="501"/>
    <d v="2013-10-31T00:00:00"/>
    <x v="14"/>
    <x v="0"/>
    <m/>
    <s v="Guimarães Transversal"/>
    <x v="0"/>
    <x v="0"/>
    <m/>
    <x v="0"/>
    <x v="6"/>
    <x v="1706"/>
    <x v="0"/>
    <x v="0"/>
    <x v="0"/>
    <x v="501"/>
    <x v="4730"/>
  </r>
  <r>
    <x v="2"/>
    <n v="1640"/>
    <x v="1690"/>
    <x v="3"/>
    <s v="CM"/>
    <s v="N"/>
    <x v="1108"/>
    <x v="41"/>
    <x v="560"/>
    <m/>
    <x v="209"/>
    <m/>
    <x v="51"/>
    <x v="0"/>
    <x v="576"/>
    <d v="2013-12-15T00:00:00"/>
    <x v="12"/>
    <x v="0"/>
    <m/>
    <s v="The Portuguese Cinematic Miracle"/>
    <x v="0"/>
    <x v="0"/>
    <m/>
    <x v="0"/>
    <x v="6"/>
    <x v="1706"/>
    <x v="51"/>
    <x v="0"/>
    <x v="0"/>
    <x v="576"/>
    <x v="4731"/>
  </r>
  <r>
    <x v="2"/>
    <n v="2177"/>
    <x v="1691"/>
    <x v="1"/>
    <s v="CM"/>
    <s v=""/>
    <x v="769"/>
    <x v="41"/>
    <x v="25"/>
    <m/>
    <x v="24"/>
    <m/>
    <x v="3"/>
    <x v="0"/>
    <x v="553"/>
    <d v="2013-11-03T00:00:00"/>
    <x v="0"/>
    <x v="1"/>
    <s v="Competição Portuguesa - Curtas"/>
    <m/>
    <x v="0"/>
    <x v="0"/>
    <m/>
    <x v="0"/>
    <x v="2"/>
    <x v="1707"/>
    <x v="3"/>
    <x v="0"/>
    <x v="1"/>
    <x v="553"/>
    <x v="4732"/>
  </r>
  <r>
    <x v="2"/>
    <n v="1723"/>
    <x v="1692"/>
    <x v="0"/>
    <s v="CM"/>
    <s v="N"/>
    <x v="1109"/>
    <x v="41"/>
    <x v="831"/>
    <m/>
    <x v="348"/>
    <m/>
    <x v="3"/>
    <x v="0"/>
    <x v="511"/>
    <m/>
    <x v="2"/>
    <x v="1"/>
    <s v="Curta-metragem de ficção"/>
    <m/>
    <x v="0"/>
    <x v="0"/>
    <m/>
    <x v="0"/>
    <x v="0"/>
    <x v="1708"/>
    <x v="3"/>
    <x v="0"/>
    <x v="1"/>
    <x v="511"/>
    <x v="4733"/>
  </r>
  <r>
    <x v="2"/>
    <n v="199"/>
    <x v="137"/>
    <x v="0"/>
    <s v="LM"/>
    <s v="S"/>
    <x v="0"/>
    <x v="4"/>
    <x v="885"/>
    <m/>
    <x v="419"/>
    <m/>
    <x v="34"/>
    <x v="0"/>
    <x v="586"/>
    <d v="2013-01-27T00:00:00"/>
    <x v="15"/>
    <x v="0"/>
    <m/>
    <s v="Tous les garçons s'appellent João"/>
    <x v="0"/>
    <x v="0"/>
    <m/>
    <x v="0"/>
    <x v="5"/>
    <x v="138"/>
    <x v="34"/>
    <x v="0"/>
    <x v="0"/>
    <x v="586"/>
    <x v="4734"/>
  </r>
  <r>
    <x v="2"/>
    <n v="199"/>
    <x v="137"/>
    <x v="0"/>
    <s v="LM"/>
    <s v="S"/>
    <x v="0"/>
    <x v="4"/>
    <x v="865"/>
    <m/>
    <x v="419"/>
    <m/>
    <x v="34"/>
    <x v="0"/>
    <x v="563"/>
    <d v="2013-02-28T00:00:00"/>
    <x v="18"/>
    <x v="0"/>
    <m/>
    <m/>
    <x v="0"/>
    <x v="0"/>
    <s v="Cinemathèque Suisse"/>
    <x v="0"/>
    <x v="5"/>
    <x v="138"/>
    <x v="34"/>
    <x v="0"/>
    <x v="0"/>
    <x v="563"/>
    <x v="4735"/>
  </r>
  <r>
    <x v="2"/>
    <n v="199"/>
    <x v="137"/>
    <x v="0"/>
    <s v="LM"/>
    <s v="S"/>
    <x v="0"/>
    <x v="4"/>
    <x v="919"/>
    <m/>
    <x v="24"/>
    <m/>
    <x v="3"/>
    <x v="0"/>
    <x v="522"/>
    <m/>
    <x v="15"/>
    <x v="0"/>
    <m/>
    <m/>
    <x v="0"/>
    <x v="1"/>
    <s v="Sede do BE na R. da Palma"/>
    <x v="0"/>
    <x v="5"/>
    <x v="138"/>
    <x v="3"/>
    <x v="0"/>
    <x v="1"/>
    <x v="522"/>
    <x v="4736"/>
  </r>
  <r>
    <x v="2"/>
    <n v="199"/>
    <x v="137"/>
    <x v="0"/>
    <s v="LM"/>
    <s v="S"/>
    <x v="0"/>
    <x v="4"/>
    <x v="863"/>
    <m/>
    <x v="421"/>
    <m/>
    <x v="32"/>
    <x v="0"/>
    <x v="561"/>
    <d v="2013-03-30T00:00:00"/>
    <x v="2"/>
    <x v="0"/>
    <m/>
    <s v="Carte Blanche Cinéma Portugais"/>
    <x v="0"/>
    <x v="1"/>
    <m/>
    <x v="0"/>
    <x v="5"/>
    <x v="138"/>
    <x v="32"/>
    <x v="0"/>
    <x v="0"/>
    <x v="561"/>
    <x v="4737"/>
  </r>
  <r>
    <x v="2"/>
    <n v="199"/>
    <x v="137"/>
    <x v="0"/>
    <s v="LM"/>
    <s v="S"/>
    <x v="0"/>
    <x v="4"/>
    <x v="835"/>
    <m/>
    <x v="243"/>
    <m/>
    <x v="64"/>
    <x v="0"/>
    <x v="515"/>
    <d v="2013-06-29T00:00:00"/>
    <x v="7"/>
    <x v="0"/>
    <m/>
    <s v="Portugal Euphoria"/>
    <x v="0"/>
    <x v="0"/>
    <m/>
    <x v="0"/>
    <x v="5"/>
    <x v="138"/>
    <x v="64"/>
    <x v="0"/>
    <x v="0"/>
    <x v="515"/>
    <x v="4738"/>
  </r>
  <r>
    <x v="2"/>
    <n v="199"/>
    <x v="137"/>
    <x v="0"/>
    <s v="LM"/>
    <s v="S"/>
    <x v="0"/>
    <x v="4"/>
    <x v="846"/>
    <m/>
    <x v="417"/>
    <m/>
    <x v="11"/>
    <x v="0"/>
    <x v="535"/>
    <d v="2013-08-03T00:00:00"/>
    <x v="25"/>
    <x v="0"/>
    <m/>
    <s v="Focus Portugal: Contemporary Cinema"/>
    <x v="0"/>
    <x v="0"/>
    <m/>
    <x v="0"/>
    <x v="5"/>
    <x v="138"/>
    <x v="11"/>
    <x v="0"/>
    <x v="0"/>
    <x v="535"/>
    <x v="4739"/>
  </r>
  <r>
    <x v="2"/>
    <n v="199"/>
    <x v="137"/>
    <x v="0"/>
    <s v="LM"/>
    <s v="S"/>
    <x v="0"/>
    <x v="4"/>
    <x v="848"/>
    <m/>
    <x v="165"/>
    <m/>
    <x v="4"/>
    <x v="0"/>
    <x v="540"/>
    <d v="2013-09-01T00:00:00"/>
    <x v="20"/>
    <x v="0"/>
    <m/>
    <m/>
    <x v="0"/>
    <x v="1"/>
    <m/>
    <x v="0"/>
    <x v="5"/>
    <x v="138"/>
    <x v="4"/>
    <x v="0"/>
    <x v="0"/>
    <x v="540"/>
    <x v="4740"/>
  </r>
  <r>
    <x v="2"/>
    <n v="199"/>
    <x v="137"/>
    <x v="0"/>
    <s v="LM"/>
    <s v="S"/>
    <x v="0"/>
    <x v="4"/>
    <x v="920"/>
    <m/>
    <x v="429"/>
    <m/>
    <x v="63"/>
    <x v="0"/>
    <x v="509"/>
    <d v="2013-11-30T00:00:00"/>
    <x v="13"/>
    <x v="0"/>
    <m/>
    <m/>
    <x v="0"/>
    <x v="0"/>
    <m/>
    <x v="0"/>
    <x v="5"/>
    <x v="138"/>
    <x v="63"/>
    <x v="0"/>
    <x v="0"/>
    <x v="509"/>
    <x v="4741"/>
  </r>
  <r>
    <x v="2"/>
    <n v="2135"/>
    <x v="1693"/>
    <x v="1"/>
    <s v="CM"/>
    <s v="N"/>
    <x v="1110"/>
    <x v="52"/>
    <x v="454"/>
    <m/>
    <x v="15"/>
    <m/>
    <x v="3"/>
    <x v="0"/>
    <x v="334"/>
    <m/>
    <x v="8"/>
    <x v="1"/>
    <s v="Documentário"/>
    <m/>
    <x v="0"/>
    <x v="0"/>
    <m/>
    <x v="0"/>
    <x v="2"/>
    <x v="1709"/>
    <x v="3"/>
    <x v="0"/>
    <x v="1"/>
    <x v="334"/>
    <x v="4742"/>
  </r>
  <r>
    <x v="2"/>
    <n v="1568"/>
    <x v="992"/>
    <x v="0"/>
    <s v="CM"/>
    <s v="N"/>
    <x v="671"/>
    <x v="41"/>
    <x v="840"/>
    <m/>
    <x v="24"/>
    <m/>
    <x v="3"/>
    <x v="0"/>
    <x v="522"/>
    <d v="2013-01-27T00:00:00"/>
    <x v="15"/>
    <x v="1"/>
    <s v="Competição Geral"/>
    <m/>
    <x v="0"/>
    <x v="0"/>
    <m/>
    <x v="0"/>
    <x v="0"/>
    <x v="996"/>
    <x v="3"/>
    <x v="0"/>
    <x v="1"/>
    <x v="522"/>
    <x v="4743"/>
  </r>
  <r>
    <x v="2"/>
    <n v="201"/>
    <x v="995"/>
    <x v="0"/>
    <s v="CM"/>
    <s v="N"/>
    <x v="673"/>
    <x v="3"/>
    <x v="831"/>
    <m/>
    <x v="348"/>
    <m/>
    <x v="3"/>
    <x v="0"/>
    <x v="511"/>
    <m/>
    <x v="2"/>
    <x v="1"/>
    <s v="Curta-metragem de ficção"/>
    <m/>
    <x v="0"/>
    <x v="0"/>
    <m/>
    <x v="0"/>
    <x v="0"/>
    <x v="999"/>
    <x v="3"/>
    <x v="0"/>
    <x v="1"/>
    <x v="511"/>
    <x v="4744"/>
  </r>
  <r>
    <x v="2"/>
    <n v="201"/>
    <x v="995"/>
    <x v="0"/>
    <s v="CM"/>
    <s v="N"/>
    <x v="673"/>
    <x v="3"/>
    <x v="825"/>
    <m/>
    <x v="409"/>
    <m/>
    <x v="3"/>
    <x v="0"/>
    <x v="499"/>
    <m/>
    <x v="7"/>
    <x v="1"/>
    <m/>
    <m/>
    <x v="0"/>
    <x v="0"/>
    <m/>
    <x v="0"/>
    <x v="0"/>
    <x v="999"/>
    <x v="3"/>
    <x v="0"/>
    <x v="1"/>
    <x v="499"/>
    <x v="4745"/>
  </r>
  <r>
    <x v="2"/>
    <n v="201"/>
    <x v="995"/>
    <x v="0"/>
    <s v="CM"/>
    <s v="N"/>
    <x v="673"/>
    <x v="3"/>
    <x v="825"/>
    <m/>
    <x v="409"/>
    <m/>
    <x v="3"/>
    <x v="0"/>
    <x v="499"/>
    <m/>
    <x v="7"/>
    <x v="1"/>
    <m/>
    <m/>
    <x v="0"/>
    <x v="0"/>
    <m/>
    <x v="0"/>
    <x v="0"/>
    <x v="999"/>
    <x v="3"/>
    <x v="0"/>
    <x v="1"/>
    <x v="499"/>
    <x v="4746"/>
  </r>
  <r>
    <x v="2"/>
    <n v="201"/>
    <x v="995"/>
    <x v="0"/>
    <s v="CM"/>
    <s v="N"/>
    <x v="673"/>
    <x v="3"/>
    <x v="316"/>
    <m/>
    <x v="11"/>
    <m/>
    <x v="3"/>
    <x v="0"/>
    <x v="500"/>
    <d v="2013-08-31T00:00:00"/>
    <x v="16"/>
    <x v="1"/>
    <s v="Ficção"/>
    <m/>
    <x v="0"/>
    <x v="0"/>
    <m/>
    <x v="0"/>
    <x v="0"/>
    <x v="999"/>
    <x v="3"/>
    <x v="0"/>
    <x v="1"/>
    <x v="500"/>
    <x v="4747"/>
  </r>
  <r>
    <x v="2"/>
    <n v="205"/>
    <x v="140"/>
    <x v="0"/>
    <s v="CM"/>
    <s v="S"/>
    <x v="120"/>
    <x v="1"/>
    <x v="162"/>
    <m/>
    <x v="124"/>
    <m/>
    <x v="3"/>
    <x v="0"/>
    <x v="616"/>
    <m/>
    <x v="1"/>
    <x v="0"/>
    <m/>
    <m/>
    <x v="0"/>
    <x v="1"/>
    <s v="O Cinema de João Salaviza"/>
    <x v="0"/>
    <x v="0"/>
    <x v="141"/>
    <x v="3"/>
    <x v="0"/>
    <x v="1"/>
    <x v="616"/>
    <x v="4748"/>
  </r>
  <r>
    <x v="2"/>
    <n v="205"/>
    <x v="140"/>
    <x v="0"/>
    <s v="CM"/>
    <s v="S"/>
    <x v="120"/>
    <x v="1"/>
    <x v="921"/>
    <m/>
    <x v="24"/>
    <m/>
    <x v="3"/>
    <x v="0"/>
    <x v="617"/>
    <m/>
    <x v="2"/>
    <x v="0"/>
    <m/>
    <m/>
    <x v="0"/>
    <x v="1"/>
    <s v="ART e Cineclube de Telheiras na Bibioteca Municipal Orlando Ribeiro"/>
    <x v="0"/>
    <x v="0"/>
    <x v="141"/>
    <x v="3"/>
    <x v="0"/>
    <x v="1"/>
    <x v="617"/>
    <x v="4749"/>
  </r>
  <r>
    <x v="2"/>
    <n v="205"/>
    <x v="140"/>
    <x v="0"/>
    <s v="CM"/>
    <s v="S"/>
    <x v="120"/>
    <x v="1"/>
    <x v="846"/>
    <m/>
    <x v="417"/>
    <m/>
    <x v="11"/>
    <x v="0"/>
    <x v="535"/>
    <d v="2013-08-03T00:00:00"/>
    <x v="25"/>
    <x v="0"/>
    <m/>
    <s v="Focus Portugal: Contemporary Cinema"/>
    <x v="0"/>
    <x v="0"/>
    <m/>
    <x v="0"/>
    <x v="0"/>
    <x v="141"/>
    <x v="11"/>
    <x v="0"/>
    <x v="0"/>
    <x v="535"/>
    <x v="4750"/>
  </r>
  <r>
    <x v="2"/>
    <n v="205"/>
    <x v="140"/>
    <x v="0"/>
    <s v="CM"/>
    <s v="S"/>
    <x v="120"/>
    <x v="1"/>
    <x v="922"/>
    <m/>
    <x v="117"/>
    <m/>
    <x v="9"/>
    <x v="0"/>
    <x v="618"/>
    <d v="2013-08-04T00:00:00"/>
    <x v="25"/>
    <x v="0"/>
    <m/>
    <s v="New Portuguese Cinema"/>
    <x v="0"/>
    <x v="0"/>
    <m/>
    <x v="0"/>
    <x v="0"/>
    <x v="141"/>
    <x v="9"/>
    <x v="0"/>
    <x v="0"/>
    <x v="618"/>
    <x v="4751"/>
  </r>
  <r>
    <x v="2"/>
    <n v="205"/>
    <x v="140"/>
    <x v="0"/>
    <s v="CM"/>
    <s v="S"/>
    <x v="120"/>
    <x v="1"/>
    <x v="848"/>
    <m/>
    <x v="165"/>
    <m/>
    <x v="4"/>
    <x v="0"/>
    <x v="540"/>
    <d v="2013-09-01T00:00:00"/>
    <x v="20"/>
    <x v="0"/>
    <m/>
    <m/>
    <x v="0"/>
    <x v="1"/>
    <m/>
    <x v="0"/>
    <x v="0"/>
    <x v="141"/>
    <x v="4"/>
    <x v="0"/>
    <x v="0"/>
    <x v="540"/>
    <x v="4752"/>
  </r>
  <r>
    <x v="2"/>
    <n v="205"/>
    <x v="140"/>
    <x v="0"/>
    <s v="CM"/>
    <s v="S"/>
    <x v="120"/>
    <x v="1"/>
    <x v="920"/>
    <m/>
    <x v="429"/>
    <m/>
    <x v="63"/>
    <x v="0"/>
    <x v="509"/>
    <d v="2013-11-30T00:00:00"/>
    <x v="13"/>
    <x v="0"/>
    <m/>
    <m/>
    <x v="0"/>
    <x v="0"/>
    <m/>
    <x v="0"/>
    <x v="0"/>
    <x v="141"/>
    <x v="63"/>
    <x v="0"/>
    <x v="0"/>
    <x v="509"/>
    <x v="4753"/>
  </r>
  <r>
    <x v="2"/>
    <n v="2095"/>
    <x v="1694"/>
    <x v="1"/>
    <s v="LM"/>
    <s v="N"/>
    <x v="1094"/>
    <x v="41"/>
    <x v="904"/>
    <m/>
    <x v="99"/>
    <m/>
    <x v="3"/>
    <x v="0"/>
    <x v="605"/>
    <d v="2013-07-05T00:00:00"/>
    <x v="8"/>
    <x v="0"/>
    <m/>
    <m/>
    <x v="0"/>
    <x v="1"/>
    <m/>
    <x v="0"/>
    <x v="1"/>
    <x v="1710"/>
    <x v="3"/>
    <x v="0"/>
    <x v="1"/>
    <x v="605"/>
    <x v="4754"/>
  </r>
  <r>
    <x v="2"/>
    <n v="2066"/>
    <x v="1695"/>
    <x v="1"/>
    <s v="CM"/>
    <s v="N"/>
    <x v="1111"/>
    <x v="52"/>
    <x v="88"/>
    <m/>
    <x v="67"/>
    <m/>
    <x v="3"/>
    <x v="0"/>
    <x v="528"/>
    <d v="2013-10-26T00:00:00"/>
    <x v="14"/>
    <x v="1"/>
    <s v="Lusofonia: Curtas-Metragens"/>
    <m/>
    <x v="0"/>
    <x v="0"/>
    <m/>
    <x v="0"/>
    <x v="2"/>
    <x v="1711"/>
    <x v="3"/>
    <x v="0"/>
    <x v="1"/>
    <x v="528"/>
    <x v="4755"/>
  </r>
  <r>
    <x v="2"/>
    <n v="2169"/>
    <x v="1696"/>
    <x v="5"/>
    <s v="CM"/>
    <s v="N"/>
    <x v="1112"/>
    <x v="52"/>
    <x v="70"/>
    <m/>
    <x v="38"/>
    <m/>
    <x v="3"/>
    <x v="0"/>
    <x v="510"/>
    <d v="2013-09-15T00:00:00"/>
    <x v="9"/>
    <x v="1"/>
    <s v="Sessão Competitiva 2"/>
    <m/>
    <x v="0"/>
    <x v="0"/>
    <m/>
    <x v="0"/>
    <x v="15"/>
    <x v="1712"/>
    <x v="3"/>
    <x v="0"/>
    <x v="1"/>
    <x v="510"/>
    <x v="4756"/>
  </r>
  <r>
    <x v="2"/>
    <n v="2084"/>
    <x v="1697"/>
    <x v="0"/>
    <s v="CM"/>
    <s v="N"/>
    <x v="1113"/>
    <x v="41"/>
    <x v="923"/>
    <m/>
    <x v="15"/>
    <m/>
    <x v="3"/>
    <x v="0"/>
    <x v="544"/>
    <m/>
    <x v="13"/>
    <x v="1"/>
    <m/>
    <m/>
    <x v="0"/>
    <x v="1"/>
    <m/>
    <x v="0"/>
    <x v="0"/>
    <x v="1713"/>
    <x v="3"/>
    <x v="0"/>
    <x v="1"/>
    <x v="544"/>
    <x v="4757"/>
  </r>
  <r>
    <x v="2"/>
    <n v="2084"/>
    <x v="1697"/>
    <x v="0"/>
    <s v="CM"/>
    <s v="N"/>
    <x v="1113"/>
    <x v="41"/>
    <x v="923"/>
    <m/>
    <x v="15"/>
    <m/>
    <x v="3"/>
    <x v="0"/>
    <x v="544"/>
    <m/>
    <x v="13"/>
    <x v="1"/>
    <m/>
    <m/>
    <x v="341"/>
    <x v="1"/>
    <m/>
    <x v="1"/>
    <x v="0"/>
    <x v="1713"/>
    <x v="3"/>
    <x v="408"/>
    <x v="1"/>
    <x v="544"/>
    <x v="4758"/>
  </r>
  <r>
    <x v="2"/>
    <n v="209"/>
    <x v="143"/>
    <x v="0"/>
    <s v="CM"/>
    <s v="S"/>
    <x v="80"/>
    <x v="18"/>
    <x v="896"/>
    <m/>
    <x v="20"/>
    <m/>
    <x v="5"/>
    <x v="0"/>
    <x v="540"/>
    <d v="2013-08-30T00:00:00"/>
    <x v="16"/>
    <x v="0"/>
    <m/>
    <m/>
    <x v="0"/>
    <x v="1"/>
    <s v="Kino Arsenal"/>
    <x v="0"/>
    <x v="0"/>
    <x v="145"/>
    <x v="5"/>
    <x v="0"/>
    <x v="0"/>
    <x v="540"/>
    <x v="4759"/>
  </r>
  <r>
    <x v="2"/>
    <n v="209"/>
    <x v="143"/>
    <x v="0"/>
    <s v="CM"/>
    <s v="S"/>
    <x v="80"/>
    <x v="18"/>
    <x v="709"/>
    <m/>
    <x v="65"/>
    <m/>
    <x v="9"/>
    <x v="0"/>
    <x v="619"/>
    <d v="2013-10-13T00:00:00"/>
    <x v="10"/>
    <x v="0"/>
    <m/>
    <s v="Views from the Avant-Garde Program 7: Sandro Aguilar - Dive: Approach and Exit"/>
    <x v="0"/>
    <x v="0"/>
    <m/>
    <x v="0"/>
    <x v="0"/>
    <x v="145"/>
    <x v="9"/>
    <x v="0"/>
    <x v="0"/>
    <x v="619"/>
    <x v="4760"/>
  </r>
  <r>
    <x v="2"/>
    <n v="2013"/>
    <x v="1698"/>
    <x v="1"/>
    <s v="LM"/>
    <s v="N"/>
    <x v="1114"/>
    <x v="41"/>
    <x v="146"/>
    <m/>
    <x v="24"/>
    <m/>
    <x v="3"/>
    <x v="0"/>
    <x v="537"/>
    <d v="2013-04-28T00:00:00"/>
    <x v="5"/>
    <x v="0"/>
    <m/>
    <s v="Sessões Especiais - Documentário"/>
    <x v="0"/>
    <x v="0"/>
    <m/>
    <x v="0"/>
    <x v="1"/>
    <x v="1714"/>
    <x v="3"/>
    <x v="0"/>
    <x v="1"/>
    <x v="537"/>
    <x v="4761"/>
  </r>
  <r>
    <x v="2"/>
    <n v="2013"/>
    <x v="1698"/>
    <x v="1"/>
    <s v="LM"/>
    <s v="N"/>
    <x v="1114"/>
    <x v="41"/>
    <x v="826"/>
    <m/>
    <x v="24"/>
    <m/>
    <x v="3"/>
    <x v="0"/>
    <x v="505"/>
    <d v="2013-09-29T00:00:00"/>
    <x v="9"/>
    <x v="1"/>
    <m/>
    <m/>
    <x v="58"/>
    <x v="0"/>
    <m/>
    <x v="1"/>
    <x v="1"/>
    <x v="1714"/>
    <x v="3"/>
    <x v="326"/>
    <x v="1"/>
    <x v="505"/>
    <x v="4762"/>
  </r>
  <r>
    <x v="2"/>
    <n v="1838"/>
    <x v="1699"/>
    <x v="1"/>
    <s v="CM"/>
    <s v="N"/>
    <x v="525"/>
    <x v="5"/>
    <x v="906"/>
    <m/>
    <x v="348"/>
    <m/>
    <x v="3"/>
    <x v="0"/>
    <x v="592"/>
    <d v="2013-06-23T00:00:00"/>
    <x v="7"/>
    <x v="0"/>
    <m/>
    <m/>
    <x v="0"/>
    <x v="0"/>
    <s v=" A partir de masters do filme &quot;Arroz Negro&quot; de José Madeira"/>
    <x v="0"/>
    <x v="2"/>
    <x v="1715"/>
    <x v="3"/>
    <x v="0"/>
    <x v="1"/>
    <x v="592"/>
    <x v="4763"/>
  </r>
  <r>
    <x v="2"/>
    <n v="1712"/>
    <x v="1700"/>
    <x v="1"/>
    <s v="CM"/>
    <s v="N"/>
    <x v="1115"/>
    <x v="52"/>
    <x v="866"/>
    <m/>
    <x v="23"/>
    <m/>
    <x v="3"/>
    <x v="0"/>
    <x v="557"/>
    <m/>
    <x v="2"/>
    <x v="0"/>
    <m/>
    <s v="Mestrado de CAM - Comunicação Audiovisual e Multimedia"/>
    <x v="0"/>
    <x v="1"/>
    <m/>
    <x v="0"/>
    <x v="2"/>
    <x v="1716"/>
    <x v="3"/>
    <x v="0"/>
    <x v="1"/>
    <x v="557"/>
    <x v="4764"/>
  </r>
  <r>
    <x v="2"/>
    <n v="215"/>
    <x v="148"/>
    <x v="1"/>
    <s v="CM"/>
    <s v="S"/>
    <x v="127"/>
    <x v="2"/>
    <x v="868"/>
    <m/>
    <x v="24"/>
    <m/>
    <x v="3"/>
    <x v="0"/>
    <x v="565"/>
    <m/>
    <x v="1"/>
    <x v="0"/>
    <m/>
    <m/>
    <x v="458"/>
    <x v="2"/>
    <m/>
    <x v="1"/>
    <x v="2"/>
    <x v="150"/>
    <x v="3"/>
    <x v="560"/>
    <x v="1"/>
    <x v="565"/>
    <x v="4765"/>
  </r>
  <r>
    <x v="2"/>
    <n v="1641"/>
    <x v="1701"/>
    <x v="0"/>
    <s v="LM"/>
    <s v="S"/>
    <x v="461"/>
    <x v="13"/>
    <x v="924"/>
    <m/>
    <x v="24"/>
    <m/>
    <x v="3"/>
    <x v="0"/>
    <x v="529"/>
    <d v="2013-06-24T00:00:00"/>
    <x v="35"/>
    <x v="0"/>
    <m/>
    <m/>
    <x v="0"/>
    <x v="1"/>
    <s v="Casa da Achada (Centro Mário Dionísio)"/>
    <x v="0"/>
    <x v="5"/>
    <x v="1717"/>
    <x v="3"/>
    <x v="0"/>
    <x v="1"/>
    <x v="529"/>
    <x v="4766"/>
  </r>
  <r>
    <x v="2"/>
    <n v="1974"/>
    <x v="1702"/>
    <x v="1"/>
    <s v="LM"/>
    <s v="N"/>
    <x v="86"/>
    <x v="52"/>
    <x v="58"/>
    <m/>
    <x v="47"/>
    <m/>
    <x v="3"/>
    <x v="0"/>
    <x v="541"/>
    <d v="2013-09-07T00:00:00"/>
    <x v="9"/>
    <x v="0"/>
    <m/>
    <m/>
    <x v="0"/>
    <x v="1"/>
    <m/>
    <x v="0"/>
    <x v="1"/>
    <x v="1718"/>
    <x v="3"/>
    <x v="0"/>
    <x v="1"/>
    <x v="541"/>
    <x v="4767"/>
  </r>
  <r>
    <x v="2"/>
    <n v="2142"/>
    <x v="1703"/>
    <x v="2"/>
    <s v="CM"/>
    <s v="S"/>
    <x v="1116"/>
    <x v="41"/>
    <x v="454"/>
    <m/>
    <x v="15"/>
    <m/>
    <x v="3"/>
    <x v="0"/>
    <x v="334"/>
    <m/>
    <x v="8"/>
    <x v="1"/>
    <s v="Filme Escolar"/>
    <m/>
    <x v="0"/>
    <x v="0"/>
    <m/>
    <x v="0"/>
    <x v="4"/>
    <x v="1719"/>
    <x v="3"/>
    <x v="0"/>
    <x v="1"/>
    <x v="334"/>
    <x v="4768"/>
  </r>
  <r>
    <x v="2"/>
    <n v="221"/>
    <x v="1004"/>
    <x v="1"/>
    <s v="LM"/>
    <s v="S"/>
    <x v="679"/>
    <x v="5"/>
    <x v="925"/>
    <m/>
    <x v="121"/>
    <m/>
    <x v="3"/>
    <x v="0"/>
    <x v="620"/>
    <m/>
    <x v="2"/>
    <x v="0"/>
    <m/>
    <m/>
    <x v="0"/>
    <x v="1"/>
    <m/>
    <x v="0"/>
    <x v="1"/>
    <x v="1008"/>
    <x v="3"/>
    <x v="0"/>
    <x v="1"/>
    <x v="620"/>
    <x v="4769"/>
  </r>
  <r>
    <x v="2"/>
    <n v="222"/>
    <x v="1007"/>
    <x v="0"/>
    <s v="CM"/>
    <s v="S"/>
    <x v="330"/>
    <x v="41"/>
    <x v="926"/>
    <m/>
    <x v="430"/>
    <m/>
    <x v="58"/>
    <x v="0"/>
    <x v="621"/>
    <d v="2013-02-22T00:00:00"/>
    <x v="1"/>
    <x v="1"/>
    <s v="Compétition Internationale des Courts Métrages"/>
    <m/>
    <x v="0"/>
    <x v="0"/>
    <m/>
    <x v="0"/>
    <x v="0"/>
    <x v="1011"/>
    <x v="58"/>
    <x v="0"/>
    <x v="0"/>
    <x v="621"/>
    <x v="4770"/>
  </r>
  <r>
    <x v="2"/>
    <n v="222"/>
    <x v="1007"/>
    <x v="0"/>
    <s v="CM"/>
    <s v="S"/>
    <x v="330"/>
    <x v="41"/>
    <x v="818"/>
    <m/>
    <x v="404"/>
    <m/>
    <x v="56"/>
    <x v="0"/>
    <x v="622"/>
    <d v="2013-03-03T00:00:00"/>
    <x v="19"/>
    <x v="0"/>
    <m/>
    <s v="International Panorama 3"/>
    <x v="0"/>
    <x v="0"/>
    <m/>
    <x v="0"/>
    <x v="0"/>
    <x v="1011"/>
    <x v="56"/>
    <x v="0"/>
    <x v="0"/>
    <x v="622"/>
    <x v="4771"/>
  </r>
  <r>
    <x v="2"/>
    <n v="222"/>
    <x v="1007"/>
    <x v="0"/>
    <s v="CM"/>
    <s v="S"/>
    <x v="330"/>
    <x v="41"/>
    <x v="522"/>
    <m/>
    <x v="165"/>
    <m/>
    <x v="4"/>
    <x v="0"/>
    <x v="590"/>
    <d v="2013-04-21T00:00:00"/>
    <x v="5"/>
    <x v="0"/>
    <m/>
    <s v="Panorama"/>
    <x v="0"/>
    <x v="0"/>
    <m/>
    <x v="0"/>
    <x v="0"/>
    <x v="1011"/>
    <x v="4"/>
    <x v="0"/>
    <x v="0"/>
    <x v="590"/>
    <x v="4772"/>
  </r>
  <r>
    <x v="2"/>
    <n v="222"/>
    <x v="1007"/>
    <x v="0"/>
    <s v="CM"/>
    <s v="S"/>
    <x v="330"/>
    <x v="41"/>
    <x v="927"/>
    <m/>
    <x v="431"/>
    <m/>
    <x v="74"/>
    <x v="0"/>
    <x v="623"/>
    <d v="2013-08-25T00:00:00"/>
    <x v="16"/>
    <x v="1"/>
    <s v="International Shorts"/>
    <m/>
    <x v="0"/>
    <x v="0"/>
    <m/>
    <x v="0"/>
    <x v="0"/>
    <x v="1011"/>
    <x v="74"/>
    <x v="0"/>
    <x v="0"/>
    <x v="623"/>
    <x v="4773"/>
  </r>
  <r>
    <x v="2"/>
    <n v="222"/>
    <x v="1007"/>
    <x v="0"/>
    <s v="CM"/>
    <s v="S"/>
    <x v="330"/>
    <x v="41"/>
    <x v="857"/>
    <m/>
    <x v="419"/>
    <m/>
    <x v="34"/>
    <x v="0"/>
    <x v="554"/>
    <d v="2013-08-25T00:00:00"/>
    <x v="16"/>
    <x v="1"/>
    <s v="Courts métrages 3"/>
    <m/>
    <x v="0"/>
    <x v="0"/>
    <m/>
    <x v="0"/>
    <x v="0"/>
    <x v="1011"/>
    <x v="34"/>
    <x v="0"/>
    <x v="0"/>
    <x v="554"/>
    <x v="4774"/>
  </r>
  <r>
    <x v="2"/>
    <n v="222"/>
    <x v="1007"/>
    <x v="0"/>
    <s v="CM"/>
    <s v="S"/>
    <x v="330"/>
    <x v="41"/>
    <x v="859"/>
    <m/>
    <x v="420"/>
    <m/>
    <x v="0"/>
    <x v="0"/>
    <x v="559"/>
    <d v="2013-09-29T00:00:00"/>
    <x v="9"/>
    <x v="0"/>
    <m/>
    <s v="Mostra Juventude - Juv III"/>
    <x v="0"/>
    <x v="0"/>
    <m/>
    <x v="0"/>
    <x v="0"/>
    <x v="1011"/>
    <x v="0"/>
    <x v="0"/>
    <x v="0"/>
    <x v="559"/>
    <x v="4775"/>
  </r>
  <r>
    <x v="2"/>
    <n v="222"/>
    <x v="1007"/>
    <x v="0"/>
    <s v="CM"/>
    <s v="S"/>
    <x v="330"/>
    <x v="41"/>
    <x v="328"/>
    <m/>
    <x v="223"/>
    <m/>
    <x v="32"/>
    <x v="0"/>
    <x v="624"/>
    <d v="2013-10-12T00:00:00"/>
    <x v="14"/>
    <x v="1"/>
    <s v="Compétition"/>
    <m/>
    <x v="0"/>
    <x v="0"/>
    <m/>
    <x v="0"/>
    <x v="0"/>
    <x v="1011"/>
    <x v="32"/>
    <x v="0"/>
    <x v="0"/>
    <x v="624"/>
    <x v="4776"/>
  </r>
  <r>
    <x v="2"/>
    <n v="222"/>
    <x v="1007"/>
    <x v="0"/>
    <s v="CM"/>
    <s v="S"/>
    <x v="330"/>
    <x v="41"/>
    <x v="928"/>
    <m/>
    <x v="78"/>
    <m/>
    <x v="20"/>
    <x v="0"/>
    <x v="528"/>
    <d v="2013-10-20T00:00:00"/>
    <x v="14"/>
    <x v="1"/>
    <s v="World Shorts: Programme 5"/>
    <m/>
    <x v="0"/>
    <x v="0"/>
    <m/>
    <x v="0"/>
    <x v="0"/>
    <x v="1011"/>
    <x v="20"/>
    <x v="0"/>
    <x v="0"/>
    <x v="528"/>
    <x v="4777"/>
  </r>
  <r>
    <x v="2"/>
    <n v="222"/>
    <x v="1007"/>
    <x v="0"/>
    <s v="CM"/>
    <s v="S"/>
    <x v="330"/>
    <x v="41"/>
    <x v="492"/>
    <m/>
    <x v="128"/>
    <m/>
    <x v="1"/>
    <x v="0"/>
    <x v="519"/>
    <d v="2013-11-16T00:00:00"/>
    <x v="13"/>
    <x v="0"/>
    <m/>
    <s v="Short Matters!"/>
    <x v="0"/>
    <x v="0"/>
    <m/>
    <x v="0"/>
    <x v="0"/>
    <x v="1011"/>
    <x v="1"/>
    <x v="0"/>
    <x v="0"/>
    <x v="519"/>
    <x v="4778"/>
  </r>
  <r>
    <x v="2"/>
    <n v="222"/>
    <x v="1007"/>
    <x v="0"/>
    <s v="CM"/>
    <s v="S"/>
    <x v="330"/>
    <x v="41"/>
    <x v="890"/>
    <m/>
    <x v="319"/>
    <m/>
    <x v="1"/>
    <x v="0"/>
    <x v="594"/>
    <d v="2013-12-13T00:00:00"/>
    <x v="11"/>
    <x v="0"/>
    <m/>
    <m/>
    <x v="0"/>
    <x v="1"/>
    <s v="No CGAI"/>
    <x v="0"/>
    <x v="0"/>
    <x v="1011"/>
    <x v="1"/>
    <x v="0"/>
    <x v="0"/>
    <x v="594"/>
    <x v="4779"/>
  </r>
  <r>
    <x v="2"/>
    <n v="2010"/>
    <x v="1704"/>
    <x v="0"/>
    <s v="CM"/>
    <s v="N"/>
    <x v="1117"/>
    <x v="2"/>
    <x v="842"/>
    <m/>
    <x v="279"/>
    <m/>
    <x v="3"/>
    <x v="0"/>
    <x v="527"/>
    <d v="2013-09-29T00:00:00"/>
    <x v="9"/>
    <x v="1"/>
    <s v="2ª Manga - Certame Regional"/>
    <m/>
    <x v="0"/>
    <x v="0"/>
    <m/>
    <x v="0"/>
    <x v="0"/>
    <x v="1720"/>
    <x v="3"/>
    <x v="0"/>
    <x v="1"/>
    <x v="527"/>
    <x v="4780"/>
  </r>
  <r>
    <x v="2"/>
    <n v="1979"/>
    <x v="1705"/>
    <x v="0"/>
    <s v="CM"/>
    <s v="N"/>
    <x v="1118"/>
    <x v="41"/>
    <x v="316"/>
    <m/>
    <x v="11"/>
    <m/>
    <x v="3"/>
    <x v="0"/>
    <x v="500"/>
    <d v="2013-08-31T00:00:00"/>
    <x v="16"/>
    <x v="1"/>
    <s v="Ficção"/>
    <m/>
    <x v="0"/>
    <x v="0"/>
    <m/>
    <x v="0"/>
    <x v="0"/>
    <x v="1721"/>
    <x v="3"/>
    <x v="0"/>
    <x v="1"/>
    <x v="500"/>
    <x v="4781"/>
  </r>
  <r>
    <x v="2"/>
    <n v="1824"/>
    <x v="1706"/>
    <x v="0"/>
    <s v="LM"/>
    <s v="N"/>
    <x v="132"/>
    <x v="41"/>
    <x v="861"/>
    <m/>
    <x v="24"/>
    <m/>
    <x v="3"/>
    <x v="0"/>
    <x v="499"/>
    <d v="2013-06-30T00:00:00"/>
    <x v="7"/>
    <x v="0"/>
    <m/>
    <m/>
    <x v="0"/>
    <x v="1"/>
    <m/>
    <x v="0"/>
    <x v="5"/>
    <x v="1722"/>
    <x v="3"/>
    <x v="0"/>
    <x v="1"/>
    <x v="499"/>
    <x v="4782"/>
  </r>
  <r>
    <x v="2"/>
    <n v="1651"/>
    <x v="1707"/>
    <x v="0"/>
    <s v="CM"/>
    <s v="N"/>
    <x v="783"/>
    <x v="41"/>
    <x v="450"/>
    <m/>
    <x v="24"/>
    <m/>
    <x v="3"/>
    <x v="0"/>
    <x v="625"/>
    <m/>
    <x v="1"/>
    <x v="0"/>
    <m/>
    <m/>
    <x v="0"/>
    <x v="1"/>
    <m/>
    <x v="0"/>
    <x v="0"/>
    <x v="1723"/>
    <x v="3"/>
    <x v="0"/>
    <x v="1"/>
    <x v="625"/>
    <x v="4783"/>
  </r>
  <r>
    <x v="2"/>
    <n v="228"/>
    <x v="155"/>
    <x v="0"/>
    <s v="CM"/>
    <s v="N"/>
    <x v="132"/>
    <x v="2"/>
    <x v="833"/>
    <m/>
    <x v="15"/>
    <m/>
    <x v="3"/>
    <x v="0"/>
    <x v="512"/>
    <m/>
    <x v="16"/>
    <x v="0"/>
    <m/>
    <m/>
    <x v="0"/>
    <x v="1"/>
    <s v="Sessão Especial integrada nos PALCOS LIVRES"/>
    <x v="0"/>
    <x v="0"/>
    <x v="157"/>
    <x v="3"/>
    <x v="0"/>
    <x v="1"/>
    <x v="512"/>
    <x v="4784"/>
  </r>
  <r>
    <x v="2"/>
    <n v="1537"/>
    <x v="1012"/>
    <x v="0"/>
    <s v="CM"/>
    <s v=""/>
    <x v="683"/>
    <x v="2"/>
    <x v="929"/>
    <m/>
    <x v="23"/>
    <m/>
    <x v="3"/>
    <x v="0"/>
    <x v="557"/>
    <m/>
    <x v="2"/>
    <x v="1"/>
    <m/>
    <m/>
    <x v="0"/>
    <x v="1"/>
    <m/>
    <x v="0"/>
    <x v="0"/>
    <x v="1016"/>
    <x v="3"/>
    <x v="0"/>
    <x v="1"/>
    <x v="557"/>
    <x v="4785"/>
  </r>
  <r>
    <x v="2"/>
    <n v="1775"/>
    <x v="1708"/>
    <x v="1"/>
    <s v="CM"/>
    <s v="N"/>
    <x v="3"/>
    <x v="41"/>
    <x v="930"/>
    <m/>
    <x v="24"/>
    <m/>
    <x v="3"/>
    <x v="0"/>
    <x v="524"/>
    <m/>
    <x v="5"/>
    <x v="1"/>
    <m/>
    <m/>
    <x v="0"/>
    <x v="1"/>
    <m/>
    <x v="0"/>
    <x v="2"/>
    <x v="1724"/>
    <x v="3"/>
    <x v="0"/>
    <x v="1"/>
    <x v="524"/>
    <x v="4786"/>
  </r>
  <r>
    <x v="2"/>
    <n v="1775"/>
    <x v="1708"/>
    <x v="1"/>
    <s v="CM"/>
    <s v="N"/>
    <x v="3"/>
    <x v="41"/>
    <x v="519"/>
    <m/>
    <x v="24"/>
    <m/>
    <x v="3"/>
    <x v="0"/>
    <x v="504"/>
    <d v="2013-05-11T00:00:00"/>
    <x v="6"/>
    <x v="0"/>
    <m/>
    <m/>
    <x v="0"/>
    <x v="1"/>
    <m/>
    <x v="0"/>
    <x v="2"/>
    <x v="1724"/>
    <x v="3"/>
    <x v="0"/>
    <x v="1"/>
    <x v="504"/>
    <x v="4787"/>
  </r>
  <r>
    <x v="2"/>
    <n v="1310"/>
    <x v="1013"/>
    <x v="0"/>
    <s v="CM"/>
    <s v="N"/>
    <x v="290"/>
    <x v="41"/>
    <x v="827"/>
    <m/>
    <x v="24"/>
    <m/>
    <x v="3"/>
    <x v="0"/>
    <x v="570"/>
    <m/>
    <x v="8"/>
    <x v="1"/>
    <m/>
    <m/>
    <x v="0"/>
    <x v="0"/>
    <m/>
    <x v="0"/>
    <x v="0"/>
    <x v="1017"/>
    <x v="3"/>
    <x v="0"/>
    <x v="1"/>
    <x v="570"/>
    <x v="4788"/>
  </r>
  <r>
    <x v="2"/>
    <n v="1800"/>
    <x v="1709"/>
    <x v="0"/>
    <s v="LM"/>
    <s v="N"/>
    <x v="427"/>
    <x v="41"/>
    <x v="766"/>
    <m/>
    <x v="135"/>
    <m/>
    <x v="2"/>
    <x v="0"/>
    <x v="514"/>
    <d v="2013-05-26T00:00:00"/>
    <x v="6"/>
    <x v="0"/>
    <m/>
    <m/>
    <x v="0"/>
    <x v="0"/>
    <m/>
    <x v="0"/>
    <x v="5"/>
    <x v="1725"/>
    <x v="2"/>
    <x v="0"/>
    <x v="0"/>
    <x v="514"/>
    <x v="4789"/>
  </r>
  <r>
    <x v="2"/>
    <n v="1800"/>
    <x v="1709"/>
    <x v="0"/>
    <s v="LM"/>
    <s v="N"/>
    <x v="427"/>
    <x v="41"/>
    <x v="68"/>
    <m/>
    <x v="53"/>
    <m/>
    <x v="3"/>
    <x v="0"/>
    <x v="573"/>
    <d v="2013-07-14T00:00:00"/>
    <x v="8"/>
    <x v="0"/>
    <m/>
    <s v="Da Curta à Longa"/>
    <x v="0"/>
    <x v="0"/>
    <m/>
    <x v="0"/>
    <x v="5"/>
    <x v="1725"/>
    <x v="3"/>
    <x v="0"/>
    <x v="1"/>
    <x v="573"/>
    <x v="4790"/>
  </r>
  <r>
    <x v="2"/>
    <n v="1800"/>
    <x v="1709"/>
    <x v="0"/>
    <s v="LM"/>
    <s v="N"/>
    <x v="427"/>
    <x v="41"/>
    <x v="147"/>
    <m/>
    <x v="112"/>
    <m/>
    <x v="34"/>
    <x v="0"/>
    <x v="626"/>
    <d v="2013-08-17T00:00:00"/>
    <x v="16"/>
    <x v="0"/>
    <m/>
    <s v="I Film delle Giurie"/>
    <x v="0"/>
    <x v="0"/>
    <m/>
    <x v="0"/>
    <x v="5"/>
    <x v="1725"/>
    <x v="34"/>
    <x v="0"/>
    <x v="0"/>
    <x v="626"/>
    <x v="4791"/>
  </r>
  <r>
    <x v="2"/>
    <n v="1800"/>
    <x v="1709"/>
    <x v="0"/>
    <s v="LM"/>
    <s v="N"/>
    <x v="427"/>
    <x v="41"/>
    <x v="179"/>
    <m/>
    <x v="133"/>
    <m/>
    <x v="0"/>
    <x v="0"/>
    <x v="501"/>
    <d v="2013-10-31T00:00:00"/>
    <x v="14"/>
    <x v="0"/>
    <m/>
    <s v="Perspectiva Internacional"/>
    <x v="0"/>
    <x v="0"/>
    <m/>
    <x v="0"/>
    <x v="5"/>
    <x v="1725"/>
    <x v="0"/>
    <x v="0"/>
    <x v="0"/>
    <x v="501"/>
    <x v="4792"/>
  </r>
  <r>
    <x v="2"/>
    <n v="1800"/>
    <x v="1709"/>
    <x v="0"/>
    <s v="LM"/>
    <s v="N"/>
    <x v="427"/>
    <x v="41"/>
    <x v="575"/>
    <m/>
    <x v="11"/>
    <m/>
    <x v="3"/>
    <x v="0"/>
    <x v="627"/>
    <m/>
    <x v="12"/>
    <x v="0"/>
    <m/>
    <m/>
    <x v="0"/>
    <x v="1"/>
    <m/>
    <x v="0"/>
    <x v="5"/>
    <x v="1725"/>
    <x v="3"/>
    <x v="0"/>
    <x v="1"/>
    <x v="627"/>
    <x v="4793"/>
  </r>
  <r>
    <x v="2"/>
    <n v="1298"/>
    <x v="1015"/>
    <x v="0"/>
    <s v="CM"/>
    <s v="N"/>
    <x v="684"/>
    <x v="41"/>
    <x v="931"/>
    <m/>
    <x v="24"/>
    <m/>
    <x v="3"/>
    <x v="0"/>
    <x v="628"/>
    <m/>
    <x v="2"/>
    <x v="1"/>
    <m/>
    <m/>
    <x v="0"/>
    <x v="1"/>
    <m/>
    <x v="0"/>
    <x v="0"/>
    <x v="1019"/>
    <x v="3"/>
    <x v="0"/>
    <x v="1"/>
    <x v="628"/>
    <x v="4794"/>
  </r>
  <r>
    <x v="2"/>
    <n v="1298"/>
    <x v="1015"/>
    <x v="0"/>
    <s v="CM"/>
    <s v="N"/>
    <x v="684"/>
    <x v="41"/>
    <x v="63"/>
    <m/>
    <x v="24"/>
    <m/>
    <x v="3"/>
    <x v="0"/>
    <x v="556"/>
    <d v="2013-04-10T00:00:00"/>
    <x v="5"/>
    <x v="0"/>
    <m/>
    <s v="Mostra de Inclusão Social"/>
    <x v="0"/>
    <x v="0"/>
    <m/>
    <x v="0"/>
    <x v="0"/>
    <x v="1019"/>
    <x v="3"/>
    <x v="0"/>
    <x v="1"/>
    <x v="556"/>
    <x v="4795"/>
  </r>
  <r>
    <x v="2"/>
    <n v="1298"/>
    <x v="1015"/>
    <x v="0"/>
    <s v="CM"/>
    <s v="N"/>
    <x v="684"/>
    <x v="41"/>
    <x v="39"/>
    <m/>
    <x v="23"/>
    <m/>
    <x v="3"/>
    <x v="0"/>
    <x v="629"/>
    <m/>
    <x v="8"/>
    <x v="0"/>
    <m/>
    <m/>
    <x v="0"/>
    <x v="1"/>
    <s v="Cineclube do Porto"/>
    <x v="0"/>
    <x v="0"/>
    <x v="1019"/>
    <x v="3"/>
    <x v="0"/>
    <x v="1"/>
    <x v="629"/>
    <x v="4796"/>
  </r>
  <r>
    <x v="2"/>
    <n v="1298"/>
    <x v="1015"/>
    <x v="0"/>
    <s v="CM"/>
    <s v="N"/>
    <x v="684"/>
    <x v="41"/>
    <x v="58"/>
    <m/>
    <x v="47"/>
    <m/>
    <x v="3"/>
    <x v="0"/>
    <x v="542"/>
    <d v="2013-09-08T00:00:00"/>
    <x v="9"/>
    <x v="0"/>
    <m/>
    <s v="Shortcutz Lisboa"/>
    <x v="0"/>
    <x v="1"/>
    <m/>
    <x v="0"/>
    <x v="0"/>
    <x v="1019"/>
    <x v="3"/>
    <x v="0"/>
    <x v="1"/>
    <x v="542"/>
    <x v="4797"/>
  </r>
  <r>
    <x v="2"/>
    <n v="1298"/>
    <x v="1015"/>
    <x v="0"/>
    <s v="CM"/>
    <s v="N"/>
    <x v="684"/>
    <x v="41"/>
    <x v="915"/>
    <m/>
    <x v="15"/>
    <m/>
    <x v="3"/>
    <x v="0"/>
    <x v="604"/>
    <m/>
    <x v="9"/>
    <x v="1"/>
    <m/>
    <m/>
    <x v="0"/>
    <x v="1"/>
    <m/>
    <x v="0"/>
    <x v="0"/>
    <x v="1019"/>
    <x v="3"/>
    <x v="0"/>
    <x v="1"/>
    <x v="604"/>
    <x v="4798"/>
  </r>
  <r>
    <x v="2"/>
    <n v="236"/>
    <x v="1016"/>
    <x v="2"/>
    <s v="CM"/>
    <s v="N"/>
    <x v="685"/>
    <x v="2"/>
    <x v="932"/>
    <m/>
    <x v="15"/>
    <m/>
    <x v="3"/>
    <x v="0"/>
    <x v="630"/>
    <m/>
    <x v="12"/>
    <x v="1"/>
    <m/>
    <m/>
    <x v="0"/>
    <x v="1"/>
    <m/>
    <x v="0"/>
    <x v="4"/>
    <x v="1020"/>
    <x v="3"/>
    <x v="0"/>
    <x v="1"/>
    <x v="630"/>
    <x v="4799"/>
  </r>
  <r>
    <x v="2"/>
    <n v="1412"/>
    <x v="1017"/>
    <x v="1"/>
    <s v="CM"/>
    <s v="N"/>
    <x v="686"/>
    <x v="41"/>
    <x v="519"/>
    <m/>
    <x v="24"/>
    <m/>
    <x v="3"/>
    <x v="0"/>
    <x v="504"/>
    <d v="2013-05-11T00:00:00"/>
    <x v="6"/>
    <x v="0"/>
    <m/>
    <s v="Sessão Panorama DOCLISBOA"/>
    <x v="0"/>
    <x v="1"/>
    <m/>
    <x v="0"/>
    <x v="2"/>
    <x v="1021"/>
    <x v="3"/>
    <x v="0"/>
    <x v="1"/>
    <x v="504"/>
    <x v="4800"/>
  </r>
  <r>
    <x v="2"/>
    <n v="1412"/>
    <x v="1017"/>
    <x v="1"/>
    <s v="CM"/>
    <s v="N"/>
    <x v="686"/>
    <x v="41"/>
    <x v="905"/>
    <m/>
    <x v="61"/>
    <m/>
    <x v="2"/>
    <x v="0"/>
    <x v="509"/>
    <d v="2013-12-01T00:00:00"/>
    <x v="11"/>
    <x v="0"/>
    <m/>
    <s v="Ida e Volta: Hommage au Portugal - Carte Blanche au festival Doclisboa"/>
    <x v="0"/>
    <x v="0"/>
    <m/>
    <x v="0"/>
    <x v="2"/>
    <x v="1021"/>
    <x v="2"/>
    <x v="0"/>
    <x v="0"/>
    <x v="509"/>
    <x v="4801"/>
  </r>
  <r>
    <x v="2"/>
    <n v="1972"/>
    <x v="1710"/>
    <x v="5"/>
    <s v="CM"/>
    <s v="N"/>
    <x v="1119"/>
    <x v="52"/>
    <x v="316"/>
    <m/>
    <x v="11"/>
    <m/>
    <x v="3"/>
    <x v="0"/>
    <x v="500"/>
    <d v="2013-08-31T00:00:00"/>
    <x v="16"/>
    <x v="1"/>
    <s v="Videoclip"/>
    <m/>
    <x v="459"/>
    <x v="0"/>
    <m/>
    <x v="1"/>
    <x v="15"/>
    <x v="1726"/>
    <x v="3"/>
    <x v="561"/>
    <x v="1"/>
    <x v="500"/>
    <x v="4802"/>
  </r>
  <r>
    <x v="2"/>
    <n v="1853"/>
    <x v="1711"/>
    <x v="1"/>
    <s v="LM"/>
    <s v="N"/>
    <x v="1120"/>
    <x v="4"/>
    <x v="854"/>
    <m/>
    <x v="24"/>
    <m/>
    <x v="3"/>
    <x v="0"/>
    <x v="550"/>
    <d v="2013-03-27T00:00:00"/>
    <x v="2"/>
    <x v="0"/>
    <m/>
    <m/>
    <x v="0"/>
    <x v="1"/>
    <m/>
    <x v="0"/>
    <x v="1"/>
    <x v="1727"/>
    <x v="3"/>
    <x v="0"/>
    <x v="1"/>
    <x v="550"/>
    <x v="4803"/>
  </r>
  <r>
    <x v="2"/>
    <n v="246"/>
    <x v="170"/>
    <x v="0"/>
    <s v="CM"/>
    <s v="N"/>
    <x v="146"/>
    <x v="3"/>
    <x v="492"/>
    <m/>
    <x v="128"/>
    <m/>
    <x v="1"/>
    <x v="0"/>
    <x v="519"/>
    <d v="2013-11-16T00:00:00"/>
    <x v="13"/>
    <x v="0"/>
    <m/>
    <s v="Focus Europa: Portugal"/>
    <x v="0"/>
    <x v="0"/>
    <m/>
    <x v="0"/>
    <x v="0"/>
    <x v="172"/>
    <x v="1"/>
    <x v="0"/>
    <x v="0"/>
    <x v="519"/>
    <x v="4804"/>
  </r>
  <r>
    <x v="2"/>
    <n v="1830"/>
    <x v="1712"/>
    <x v="5"/>
    <s v="CM"/>
    <s v="N"/>
    <x v="265"/>
    <x v="41"/>
    <x v="67"/>
    <m/>
    <x v="23"/>
    <m/>
    <x v="3"/>
    <x v="0"/>
    <x v="526"/>
    <d v="2013-06-16T00:00:00"/>
    <x v="7"/>
    <x v="1"/>
    <s v="Music-Video"/>
    <m/>
    <x v="0"/>
    <x v="0"/>
    <m/>
    <x v="0"/>
    <x v="15"/>
    <x v="1728"/>
    <x v="3"/>
    <x v="0"/>
    <x v="1"/>
    <x v="526"/>
    <x v="4805"/>
  </r>
  <r>
    <x v="2"/>
    <n v="1830"/>
    <x v="1712"/>
    <x v="5"/>
    <s v="CM"/>
    <s v="N"/>
    <x v="265"/>
    <x v="41"/>
    <x v="316"/>
    <m/>
    <x v="11"/>
    <m/>
    <x v="3"/>
    <x v="0"/>
    <x v="500"/>
    <d v="2013-08-31T00:00:00"/>
    <x v="16"/>
    <x v="1"/>
    <s v="Videoclip"/>
    <m/>
    <x v="460"/>
    <x v="0"/>
    <m/>
    <x v="1"/>
    <x v="15"/>
    <x v="1728"/>
    <x v="3"/>
    <x v="562"/>
    <x v="1"/>
    <x v="500"/>
    <x v="4806"/>
  </r>
  <r>
    <x v="2"/>
    <n v="1338"/>
    <x v="1018"/>
    <x v="1"/>
    <s v="LM"/>
    <s v="N"/>
    <x v="687"/>
    <x v="41"/>
    <x v="63"/>
    <m/>
    <x v="24"/>
    <m/>
    <x v="3"/>
    <x v="0"/>
    <x v="556"/>
    <d v="2013-04-10T00:00:00"/>
    <x v="5"/>
    <x v="0"/>
    <m/>
    <s v="Maratona de documentários"/>
    <x v="0"/>
    <x v="0"/>
    <m/>
    <x v="0"/>
    <x v="1"/>
    <x v="1022"/>
    <x v="3"/>
    <x v="0"/>
    <x v="1"/>
    <x v="556"/>
    <x v="4807"/>
  </r>
  <r>
    <x v="2"/>
    <n v="1338"/>
    <x v="1018"/>
    <x v="1"/>
    <s v="LM"/>
    <s v="N"/>
    <x v="687"/>
    <x v="41"/>
    <x v="519"/>
    <m/>
    <x v="24"/>
    <m/>
    <x v="3"/>
    <x v="0"/>
    <x v="504"/>
    <d v="2013-05-11T00:00:00"/>
    <x v="6"/>
    <x v="0"/>
    <m/>
    <m/>
    <x v="0"/>
    <x v="1"/>
    <m/>
    <x v="0"/>
    <x v="1"/>
    <x v="1022"/>
    <x v="3"/>
    <x v="0"/>
    <x v="1"/>
    <x v="504"/>
    <x v="4808"/>
  </r>
  <r>
    <x v="2"/>
    <n v="250"/>
    <x v="1019"/>
    <x v="1"/>
    <s v="LM"/>
    <s v="N"/>
    <x v="259"/>
    <x v="18"/>
    <x v="854"/>
    <m/>
    <x v="24"/>
    <m/>
    <x v="3"/>
    <x v="0"/>
    <x v="550"/>
    <d v="2013-03-27T00:00:00"/>
    <x v="2"/>
    <x v="0"/>
    <m/>
    <m/>
    <x v="0"/>
    <x v="1"/>
    <m/>
    <x v="0"/>
    <x v="1"/>
    <x v="1023"/>
    <x v="3"/>
    <x v="0"/>
    <x v="1"/>
    <x v="550"/>
    <x v="4809"/>
  </r>
  <r>
    <x v="2"/>
    <n v="2164"/>
    <x v="1713"/>
    <x v="3"/>
    <s v="CM"/>
    <s v="N"/>
    <x v="1005"/>
    <x v="52"/>
    <x v="933"/>
    <m/>
    <x v="432"/>
    <m/>
    <x v="69"/>
    <x v="0"/>
    <x v="579"/>
    <d v="2013-10-07T00:00:00"/>
    <x v="10"/>
    <x v="0"/>
    <m/>
    <s v="Loop Videos - Exhibition1"/>
    <x v="0"/>
    <x v="0"/>
    <m/>
    <x v="0"/>
    <x v="6"/>
    <x v="1729"/>
    <x v="69"/>
    <x v="0"/>
    <x v="0"/>
    <x v="579"/>
    <x v="4810"/>
  </r>
  <r>
    <x v="2"/>
    <n v="2164"/>
    <x v="1713"/>
    <x v="3"/>
    <s v="CM"/>
    <s v="N"/>
    <x v="1005"/>
    <x v="52"/>
    <x v="934"/>
    <m/>
    <x v="433"/>
    <m/>
    <x v="17"/>
    <x v="0"/>
    <x v="631"/>
    <d v="2013-10-20T00:00:00"/>
    <x v="14"/>
    <x v="0"/>
    <m/>
    <s v="Visuals"/>
    <x v="0"/>
    <x v="0"/>
    <m/>
    <x v="0"/>
    <x v="6"/>
    <x v="1729"/>
    <x v="17"/>
    <x v="0"/>
    <x v="0"/>
    <x v="631"/>
    <x v="4811"/>
  </r>
  <r>
    <x v="2"/>
    <n v="251"/>
    <x v="174"/>
    <x v="0"/>
    <s v="CM"/>
    <s v="N"/>
    <x v="150"/>
    <x v="3"/>
    <x v="854"/>
    <m/>
    <x v="24"/>
    <m/>
    <x v="3"/>
    <x v="0"/>
    <x v="550"/>
    <d v="2013-03-27T00:00:00"/>
    <x v="2"/>
    <x v="0"/>
    <m/>
    <m/>
    <x v="0"/>
    <x v="1"/>
    <m/>
    <x v="0"/>
    <x v="0"/>
    <x v="176"/>
    <x v="3"/>
    <x v="0"/>
    <x v="1"/>
    <x v="550"/>
    <x v="4812"/>
  </r>
  <r>
    <x v="2"/>
    <n v="251"/>
    <x v="174"/>
    <x v="0"/>
    <s v="CM"/>
    <s v="N"/>
    <x v="150"/>
    <x v="3"/>
    <x v="751"/>
    <m/>
    <x v="240"/>
    <m/>
    <x v="58"/>
    <x v="0"/>
    <x v="603"/>
    <d v="2013-05-07T00:00:00"/>
    <x v="4"/>
    <x v="0"/>
    <m/>
    <s v="Court Mais Trash"/>
    <x v="0"/>
    <x v="0"/>
    <m/>
    <x v="0"/>
    <x v="0"/>
    <x v="176"/>
    <x v="58"/>
    <x v="0"/>
    <x v="0"/>
    <x v="603"/>
    <x v="4813"/>
  </r>
  <r>
    <x v="2"/>
    <n v="1819"/>
    <x v="1714"/>
    <x v="0"/>
    <s v="CM"/>
    <s v="N"/>
    <x v="1121"/>
    <x v="52"/>
    <x v="39"/>
    <m/>
    <x v="23"/>
    <m/>
    <x v="3"/>
    <x v="0"/>
    <x v="629"/>
    <m/>
    <x v="8"/>
    <x v="0"/>
    <m/>
    <m/>
    <x v="0"/>
    <x v="1"/>
    <s v="Cineclube do Porto"/>
    <x v="0"/>
    <x v="0"/>
    <x v="1730"/>
    <x v="3"/>
    <x v="0"/>
    <x v="1"/>
    <x v="629"/>
    <x v="4814"/>
  </r>
  <r>
    <x v="2"/>
    <n v="1819"/>
    <x v="1714"/>
    <x v="0"/>
    <s v="CM"/>
    <s v="N"/>
    <x v="1121"/>
    <x v="52"/>
    <x v="827"/>
    <m/>
    <x v="24"/>
    <m/>
    <x v="3"/>
    <x v="0"/>
    <x v="632"/>
    <m/>
    <x v="8"/>
    <x v="1"/>
    <m/>
    <m/>
    <x v="0"/>
    <x v="0"/>
    <m/>
    <x v="0"/>
    <x v="0"/>
    <x v="1730"/>
    <x v="3"/>
    <x v="0"/>
    <x v="1"/>
    <x v="632"/>
    <x v="4815"/>
  </r>
  <r>
    <x v="2"/>
    <n v="1819"/>
    <x v="1714"/>
    <x v="0"/>
    <s v="CM"/>
    <s v="N"/>
    <x v="1121"/>
    <x v="52"/>
    <x v="316"/>
    <m/>
    <x v="11"/>
    <m/>
    <x v="3"/>
    <x v="0"/>
    <x v="500"/>
    <d v="2013-08-31T00:00:00"/>
    <x v="16"/>
    <x v="1"/>
    <s v="Ficção"/>
    <m/>
    <x v="0"/>
    <x v="0"/>
    <m/>
    <x v="0"/>
    <x v="0"/>
    <x v="1730"/>
    <x v="3"/>
    <x v="0"/>
    <x v="1"/>
    <x v="500"/>
    <x v="4816"/>
  </r>
  <r>
    <x v="2"/>
    <n v="252"/>
    <x v="175"/>
    <x v="0"/>
    <s v="CM"/>
    <s v="S"/>
    <x v="151"/>
    <x v="3"/>
    <x v="508"/>
    <m/>
    <x v="27"/>
    <m/>
    <x v="7"/>
    <x v="0"/>
    <x v="557"/>
    <d v="2013-03-17T00:00:00"/>
    <x v="2"/>
    <x v="0"/>
    <m/>
    <s v="Carte Blanche INDIELISBOA: Les nouveaux arrivants"/>
    <x v="0"/>
    <x v="0"/>
    <m/>
    <x v="0"/>
    <x v="0"/>
    <x v="177"/>
    <x v="7"/>
    <x v="0"/>
    <x v="0"/>
    <x v="557"/>
    <x v="4817"/>
  </r>
  <r>
    <x v="2"/>
    <n v="252"/>
    <x v="175"/>
    <x v="0"/>
    <s v="CM"/>
    <s v="S"/>
    <x v="151"/>
    <x v="3"/>
    <x v="935"/>
    <m/>
    <x v="23"/>
    <m/>
    <x v="3"/>
    <x v="0"/>
    <x v="633"/>
    <m/>
    <x v="6"/>
    <x v="1"/>
    <m/>
    <m/>
    <x v="359"/>
    <x v="1"/>
    <m/>
    <x v="1"/>
    <x v="0"/>
    <x v="177"/>
    <x v="3"/>
    <x v="433"/>
    <x v="1"/>
    <x v="633"/>
    <x v="4818"/>
  </r>
  <r>
    <x v="2"/>
    <n v="252"/>
    <x v="175"/>
    <x v="0"/>
    <s v="CM"/>
    <s v="S"/>
    <x v="151"/>
    <x v="3"/>
    <x v="68"/>
    <m/>
    <x v="53"/>
    <m/>
    <x v="3"/>
    <x v="0"/>
    <x v="573"/>
    <d v="2013-07-14T00:00:00"/>
    <x v="8"/>
    <x v="0"/>
    <m/>
    <s v="Stereo"/>
    <x v="0"/>
    <x v="0"/>
    <m/>
    <x v="0"/>
    <x v="0"/>
    <x v="177"/>
    <x v="3"/>
    <x v="0"/>
    <x v="1"/>
    <x v="573"/>
    <x v="4819"/>
  </r>
  <r>
    <x v="2"/>
    <n v="2107"/>
    <x v="1715"/>
    <x v="0"/>
    <s v="LM"/>
    <s v="N"/>
    <x v="1122"/>
    <x v="47"/>
    <x v="855"/>
    <m/>
    <x v="18"/>
    <m/>
    <x v="3"/>
    <x v="0"/>
    <x v="551"/>
    <d v="2013-12-10T00:00:00"/>
    <x v="32"/>
    <x v="0"/>
    <m/>
    <m/>
    <x v="0"/>
    <x v="1"/>
    <m/>
    <x v="0"/>
    <x v="5"/>
    <x v="1731"/>
    <x v="3"/>
    <x v="0"/>
    <x v="1"/>
    <x v="551"/>
    <x v="4820"/>
  </r>
  <r>
    <x v="2"/>
    <n v="255"/>
    <x v="178"/>
    <x v="2"/>
    <s v="CM"/>
    <s v="N"/>
    <x v="153"/>
    <x v="5"/>
    <x v="220"/>
    <m/>
    <x v="154"/>
    <m/>
    <x v="0"/>
    <x v="0"/>
    <x v="566"/>
    <d v="2013-08-18T00:00:00"/>
    <x v="16"/>
    <x v="1"/>
    <s v="Curtas"/>
    <m/>
    <x v="0"/>
    <x v="0"/>
    <m/>
    <x v="0"/>
    <x v="4"/>
    <x v="180"/>
    <x v="0"/>
    <x v="0"/>
    <x v="0"/>
    <x v="566"/>
    <x v="4821"/>
  </r>
  <r>
    <x v="2"/>
    <n v="255"/>
    <x v="178"/>
    <x v="2"/>
    <s v="CM"/>
    <s v="N"/>
    <x v="153"/>
    <x v="5"/>
    <x v="833"/>
    <m/>
    <x v="15"/>
    <m/>
    <x v="3"/>
    <x v="0"/>
    <x v="512"/>
    <m/>
    <x v="16"/>
    <x v="0"/>
    <m/>
    <m/>
    <x v="0"/>
    <x v="1"/>
    <s v="Sessão Especial integrada nos PALCOS LIVRES"/>
    <x v="0"/>
    <x v="4"/>
    <x v="180"/>
    <x v="3"/>
    <x v="0"/>
    <x v="1"/>
    <x v="512"/>
    <x v="4822"/>
  </r>
  <r>
    <x v="2"/>
    <n v="257"/>
    <x v="180"/>
    <x v="1"/>
    <s v="CM"/>
    <s v="S"/>
    <x v="155"/>
    <x v="18"/>
    <x v="936"/>
    <m/>
    <x v="434"/>
    <m/>
    <x v="3"/>
    <x v="0"/>
    <x v="634"/>
    <m/>
    <x v="8"/>
    <x v="0"/>
    <m/>
    <m/>
    <x v="0"/>
    <x v="1"/>
    <m/>
    <x v="0"/>
    <x v="2"/>
    <x v="182"/>
    <x v="3"/>
    <x v="0"/>
    <x v="1"/>
    <x v="634"/>
    <x v="4823"/>
  </r>
  <r>
    <x v="2"/>
    <n v="1976"/>
    <x v="1716"/>
    <x v="5"/>
    <s v="CM"/>
    <s v="N"/>
    <x v="1123"/>
    <x v="52"/>
    <x v="316"/>
    <m/>
    <x v="11"/>
    <m/>
    <x v="3"/>
    <x v="0"/>
    <x v="500"/>
    <d v="2013-08-31T00:00:00"/>
    <x v="16"/>
    <x v="1"/>
    <s v="Videoclip"/>
    <m/>
    <x v="0"/>
    <x v="0"/>
    <m/>
    <x v="0"/>
    <x v="15"/>
    <x v="1732"/>
    <x v="3"/>
    <x v="0"/>
    <x v="1"/>
    <x v="500"/>
    <x v="4824"/>
  </r>
  <r>
    <x v="2"/>
    <n v="1976"/>
    <x v="1716"/>
    <x v="5"/>
    <s v="CM"/>
    <s v="N"/>
    <x v="1123"/>
    <x v="52"/>
    <x v="70"/>
    <m/>
    <x v="38"/>
    <m/>
    <x v="3"/>
    <x v="0"/>
    <x v="510"/>
    <d v="2013-09-15T00:00:00"/>
    <x v="9"/>
    <x v="1"/>
    <s v="Sessão Competitiva 1"/>
    <m/>
    <x v="0"/>
    <x v="0"/>
    <m/>
    <x v="0"/>
    <x v="15"/>
    <x v="1732"/>
    <x v="3"/>
    <x v="0"/>
    <x v="1"/>
    <x v="510"/>
    <x v="4825"/>
  </r>
  <r>
    <x v="2"/>
    <n v="259"/>
    <x v="1024"/>
    <x v="0"/>
    <s v="CM"/>
    <s v="N"/>
    <x v="668"/>
    <x v="3"/>
    <x v="63"/>
    <m/>
    <x v="24"/>
    <m/>
    <x v="3"/>
    <x v="0"/>
    <x v="556"/>
    <d v="2013-04-10T00:00:00"/>
    <x v="5"/>
    <x v="1"/>
    <s v="Competição Curta-metragem"/>
    <m/>
    <x v="47"/>
    <x v="0"/>
    <m/>
    <x v="1"/>
    <x v="0"/>
    <x v="1028"/>
    <x v="3"/>
    <x v="563"/>
    <x v="1"/>
    <x v="556"/>
    <x v="4826"/>
  </r>
  <r>
    <x v="2"/>
    <n v="1408"/>
    <x v="1025"/>
    <x v="1"/>
    <s v="CM"/>
    <s v="N"/>
    <x v="690"/>
    <x v="41"/>
    <x v="854"/>
    <m/>
    <x v="24"/>
    <m/>
    <x v="3"/>
    <x v="0"/>
    <x v="550"/>
    <d v="2013-03-27T00:00:00"/>
    <x v="2"/>
    <x v="0"/>
    <m/>
    <m/>
    <x v="0"/>
    <x v="1"/>
    <m/>
    <x v="0"/>
    <x v="2"/>
    <x v="1029"/>
    <x v="3"/>
    <x v="0"/>
    <x v="1"/>
    <x v="550"/>
    <x v="4827"/>
  </r>
  <r>
    <x v="2"/>
    <n v="1408"/>
    <x v="1025"/>
    <x v="1"/>
    <s v="CM"/>
    <s v="N"/>
    <x v="690"/>
    <x v="41"/>
    <x v="34"/>
    <m/>
    <x v="32"/>
    <m/>
    <x v="3"/>
    <x v="0"/>
    <x v="525"/>
    <d v="2013-05-12T00:00:00"/>
    <x v="6"/>
    <x v="2"/>
    <s v="Documentário Regional"/>
    <m/>
    <x v="0"/>
    <x v="0"/>
    <m/>
    <x v="0"/>
    <x v="2"/>
    <x v="1029"/>
    <x v="3"/>
    <x v="0"/>
    <x v="1"/>
    <x v="525"/>
    <x v="4828"/>
  </r>
  <r>
    <x v="2"/>
    <n v="1408"/>
    <x v="1025"/>
    <x v="1"/>
    <s v="CM"/>
    <s v="N"/>
    <x v="690"/>
    <x v="41"/>
    <x v="864"/>
    <m/>
    <x v="32"/>
    <m/>
    <x v="3"/>
    <x v="0"/>
    <x v="562"/>
    <d v="2013-06-16T00:00:00"/>
    <x v="7"/>
    <x v="0"/>
    <m/>
    <s v="Mostra do Cinema Português"/>
    <x v="0"/>
    <x v="0"/>
    <m/>
    <x v="0"/>
    <x v="2"/>
    <x v="1029"/>
    <x v="3"/>
    <x v="0"/>
    <x v="1"/>
    <x v="562"/>
    <x v="4829"/>
  </r>
  <r>
    <x v="2"/>
    <n v="1408"/>
    <x v="1025"/>
    <x v="1"/>
    <s v="CM"/>
    <s v="N"/>
    <x v="690"/>
    <x v="41"/>
    <x v="937"/>
    <m/>
    <x v="311"/>
    <m/>
    <x v="61"/>
    <x v="0"/>
    <x v="635"/>
    <d v="2013-06-30T00:00:00"/>
    <x v="7"/>
    <x v="1"/>
    <s v="Competencia Internacional de cortos &quot;Monsieur Guillaume&quot;"/>
    <m/>
    <x v="461"/>
    <x v="0"/>
    <m/>
    <x v="1"/>
    <x v="2"/>
    <x v="1029"/>
    <x v="61"/>
    <x v="564"/>
    <x v="0"/>
    <x v="635"/>
    <x v="4830"/>
  </r>
  <r>
    <x v="2"/>
    <n v="1408"/>
    <x v="1025"/>
    <x v="1"/>
    <s v="CM"/>
    <s v="N"/>
    <x v="690"/>
    <x v="41"/>
    <x v="938"/>
    <m/>
    <x v="165"/>
    <m/>
    <x v="4"/>
    <x v="0"/>
    <x v="636"/>
    <d v="2013-09-22T00:00:00"/>
    <x v="9"/>
    <x v="1"/>
    <s v="Competencia Cortos"/>
    <m/>
    <x v="0"/>
    <x v="0"/>
    <m/>
    <x v="0"/>
    <x v="2"/>
    <x v="1029"/>
    <x v="4"/>
    <x v="0"/>
    <x v="0"/>
    <x v="636"/>
    <x v="4831"/>
  </r>
  <r>
    <x v="2"/>
    <n v="262"/>
    <x v="183"/>
    <x v="0"/>
    <s v="LM"/>
    <s v="N"/>
    <x v="158"/>
    <x v="19"/>
    <x v="865"/>
    <m/>
    <x v="419"/>
    <m/>
    <x v="34"/>
    <x v="0"/>
    <x v="563"/>
    <d v="2013-02-28T00:00:00"/>
    <x v="18"/>
    <x v="0"/>
    <m/>
    <m/>
    <x v="0"/>
    <x v="1"/>
    <s v="Cinémathèque Suisse"/>
    <x v="0"/>
    <x v="5"/>
    <x v="185"/>
    <x v="34"/>
    <x v="0"/>
    <x v="0"/>
    <x v="563"/>
    <x v="4832"/>
  </r>
  <r>
    <x v="2"/>
    <n v="262"/>
    <x v="183"/>
    <x v="0"/>
    <s v="LM"/>
    <s v="N"/>
    <x v="158"/>
    <x v="19"/>
    <x v="519"/>
    <m/>
    <x v="24"/>
    <m/>
    <x v="3"/>
    <x v="0"/>
    <x v="504"/>
    <d v="2013-05-11T00:00:00"/>
    <x v="6"/>
    <x v="0"/>
    <m/>
    <s v="Sessão de Abertura"/>
    <x v="0"/>
    <x v="1"/>
    <m/>
    <x v="0"/>
    <x v="5"/>
    <x v="185"/>
    <x v="3"/>
    <x v="0"/>
    <x v="1"/>
    <x v="504"/>
    <x v="4833"/>
  </r>
  <r>
    <x v="2"/>
    <n v="262"/>
    <x v="183"/>
    <x v="0"/>
    <s v="LM"/>
    <s v="N"/>
    <x v="158"/>
    <x v="19"/>
    <x v="843"/>
    <m/>
    <x v="253"/>
    <m/>
    <x v="0"/>
    <x v="0"/>
    <x v="532"/>
    <d v="2013-05-26T00:00:00"/>
    <x v="6"/>
    <x v="0"/>
    <m/>
    <m/>
    <x v="0"/>
    <x v="1"/>
    <m/>
    <x v="0"/>
    <x v="5"/>
    <x v="185"/>
    <x v="0"/>
    <x v="0"/>
    <x v="0"/>
    <x v="532"/>
    <x v="4834"/>
  </r>
  <r>
    <x v="2"/>
    <n v="262"/>
    <x v="183"/>
    <x v="0"/>
    <s v="LM"/>
    <s v="N"/>
    <x v="158"/>
    <x v="19"/>
    <x v="844"/>
    <m/>
    <x v="0"/>
    <m/>
    <x v="0"/>
    <x v="0"/>
    <x v="533"/>
    <d v="2013-06-06T00:00:00"/>
    <x v="22"/>
    <x v="0"/>
    <m/>
    <m/>
    <x v="0"/>
    <x v="1"/>
    <m/>
    <x v="0"/>
    <x v="5"/>
    <x v="185"/>
    <x v="0"/>
    <x v="0"/>
    <x v="0"/>
    <x v="533"/>
    <x v="4835"/>
  </r>
  <r>
    <x v="2"/>
    <n v="262"/>
    <x v="183"/>
    <x v="0"/>
    <s v="LM"/>
    <s v="N"/>
    <x v="158"/>
    <x v="19"/>
    <x v="846"/>
    <m/>
    <x v="417"/>
    <m/>
    <x v="11"/>
    <x v="0"/>
    <x v="535"/>
    <d v="2013-08-03T00:00:00"/>
    <x v="25"/>
    <x v="0"/>
    <m/>
    <s v="Focus Portugal: Novo Cinema"/>
    <x v="0"/>
    <x v="0"/>
    <m/>
    <x v="0"/>
    <x v="5"/>
    <x v="185"/>
    <x v="11"/>
    <x v="0"/>
    <x v="0"/>
    <x v="535"/>
    <x v="4836"/>
  </r>
  <r>
    <x v="2"/>
    <n v="262"/>
    <x v="183"/>
    <x v="0"/>
    <s v="LM"/>
    <s v="N"/>
    <x v="158"/>
    <x v="19"/>
    <x v="368"/>
    <m/>
    <x v="23"/>
    <m/>
    <x v="3"/>
    <x v="0"/>
    <x v="78"/>
    <m/>
    <x v="24"/>
    <x v="0"/>
    <m/>
    <m/>
    <x v="0"/>
    <x v="1"/>
    <s v="68º Aniversário do Cineclube do Porto"/>
    <x v="0"/>
    <x v="5"/>
    <x v="185"/>
    <x v="3"/>
    <x v="0"/>
    <x v="1"/>
    <x v="78"/>
    <x v="4837"/>
  </r>
  <r>
    <x v="2"/>
    <n v="2146"/>
    <x v="1717"/>
    <x v="2"/>
    <s v="CM"/>
    <s v="N"/>
    <x v="1124"/>
    <x v="41"/>
    <x v="220"/>
    <m/>
    <x v="154"/>
    <m/>
    <x v="0"/>
    <x v="0"/>
    <x v="566"/>
    <d v="2013-08-18T00:00:00"/>
    <x v="16"/>
    <x v="0"/>
    <m/>
    <s v="Papo Animado"/>
    <x v="0"/>
    <x v="0"/>
    <m/>
    <x v="0"/>
    <x v="4"/>
    <x v="1733"/>
    <x v="0"/>
    <x v="0"/>
    <x v="0"/>
    <x v="566"/>
    <x v="4838"/>
  </r>
  <r>
    <x v="2"/>
    <n v="2146"/>
    <x v="1717"/>
    <x v="2"/>
    <s v="CM"/>
    <s v="N"/>
    <x v="1124"/>
    <x v="41"/>
    <x v="880"/>
    <m/>
    <x v="298"/>
    <m/>
    <x v="15"/>
    <x v="0"/>
    <x v="553"/>
    <d v="2013-10-30T00:00:00"/>
    <x v="14"/>
    <x v="0"/>
    <m/>
    <s v="Regina Pessoa e Abi Feijó: la regina dell'animazione e il suo maestro - Su comissone"/>
    <x v="0"/>
    <x v="0"/>
    <m/>
    <x v="0"/>
    <x v="4"/>
    <x v="1733"/>
    <x v="15"/>
    <x v="0"/>
    <x v="0"/>
    <x v="553"/>
    <x v="4839"/>
  </r>
  <r>
    <x v="2"/>
    <n v="2015"/>
    <x v="1718"/>
    <x v="1"/>
    <s v="LM"/>
    <s v="N"/>
    <x v="1125"/>
    <x v="41"/>
    <x v="146"/>
    <m/>
    <x v="24"/>
    <m/>
    <x v="3"/>
    <x v="0"/>
    <x v="537"/>
    <d v="2013-04-28T00:00:00"/>
    <x v="5"/>
    <x v="0"/>
    <m/>
    <s v="Sessões Especiais - Documentário"/>
    <x v="0"/>
    <x v="0"/>
    <m/>
    <x v="0"/>
    <x v="1"/>
    <x v="1734"/>
    <x v="3"/>
    <x v="0"/>
    <x v="1"/>
    <x v="537"/>
    <x v="4840"/>
  </r>
  <r>
    <x v="2"/>
    <n v="2015"/>
    <x v="1718"/>
    <x v="1"/>
    <s v="LM"/>
    <s v="N"/>
    <x v="1125"/>
    <x v="41"/>
    <x v="404"/>
    <m/>
    <x v="264"/>
    <m/>
    <x v="15"/>
    <x v="0"/>
    <x v="637"/>
    <d v="2013-11-30T00:00:00"/>
    <x v="13"/>
    <x v="0"/>
    <m/>
    <s v="Onde/Portoghesi"/>
    <x v="0"/>
    <x v="0"/>
    <m/>
    <x v="0"/>
    <x v="1"/>
    <x v="1734"/>
    <x v="15"/>
    <x v="0"/>
    <x v="0"/>
    <x v="637"/>
    <x v="4841"/>
  </r>
  <r>
    <x v="2"/>
    <n v="1999"/>
    <x v="1719"/>
    <x v="0"/>
    <s v="CM"/>
    <s v="N"/>
    <x v="1011"/>
    <x v="52"/>
    <x v="48"/>
    <m/>
    <x v="24"/>
    <m/>
    <x v="3"/>
    <x v="0"/>
    <x v="569"/>
    <d v="2013-09-15T00:00:00"/>
    <x v="9"/>
    <x v="1"/>
    <s v="Prémio Yorn MOTELx"/>
    <m/>
    <x v="0"/>
    <x v="0"/>
    <m/>
    <x v="0"/>
    <x v="0"/>
    <x v="1735"/>
    <x v="3"/>
    <x v="0"/>
    <x v="1"/>
    <x v="569"/>
    <x v="4842"/>
  </r>
  <r>
    <x v="2"/>
    <n v="1527"/>
    <x v="1030"/>
    <x v="0"/>
    <s v="CM"/>
    <s v="N"/>
    <x v="146"/>
    <x v="41"/>
    <x v="939"/>
    <m/>
    <x v="256"/>
    <m/>
    <x v="9"/>
    <x v="0"/>
    <x v="638"/>
    <d v="2013-03-10T00:00:00"/>
    <x v="2"/>
    <x v="0"/>
    <m/>
    <s v="Short's Program: Hitting on the Head Lessons"/>
    <x v="0"/>
    <x v="0"/>
    <m/>
    <x v="0"/>
    <x v="0"/>
    <x v="1034"/>
    <x v="9"/>
    <x v="0"/>
    <x v="0"/>
    <x v="638"/>
    <x v="4843"/>
  </r>
  <r>
    <x v="2"/>
    <n v="1527"/>
    <x v="1030"/>
    <x v="0"/>
    <s v="CM"/>
    <s v="N"/>
    <x v="146"/>
    <x v="41"/>
    <x v="902"/>
    <m/>
    <x v="426"/>
    <m/>
    <x v="5"/>
    <x v="0"/>
    <x v="603"/>
    <d v="2013-04-28T00:00:00"/>
    <x v="5"/>
    <x v="0"/>
    <m/>
    <s v="Stage Devices"/>
    <x v="0"/>
    <x v="0"/>
    <m/>
    <x v="0"/>
    <x v="0"/>
    <x v="1034"/>
    <x v="5"/>
    <x v="0"/>
    <x v="0"/>
    <x v="603"/>
    <x v="4844"/>
  </r>
  <r>
    <x v="2"/>
    <n v="1527"/>
    <x v="1030"/>
    <x v="0"/>
    <s v="CM"/>
    <s v="N"/>
    <x v="146"/>
    <x v="41"/>
    <x v="860"/>
    <m/>
    <x v="6"/>
    <m/>
    <x v="4"/>
    <x v="0"/>
    <x v="467"/>
    <d v="2013-11-24T00:00:00"/>
    <x v="13"/>
    <x v="0"/>
    <m/>
    <s v="Portugal Alterado: Las últimas películas"/>
    <x v="0"/>
    <x v="0"/>
    <m/>
    <x v="0"/>
    <x v="0"/>
    <x v="1034"/>
    <x v="4"/>
    <x v="0"/>
    <x v="0"/>
    <x v="467"/>
    <x v="4845"/>
  </r>
  <r>
    <x v="2"/>
    <n v="1856"/>
    <x v="1720"/>
    <x v="0"/>
    <s v="CM"/>
    <s v="N"/>
    <x v="1126"/>
    <x v="5"/>
    <x v="854"/>
    <m/>
    <x v="24"/>
    <m/>
    <x v="3"/>
    <x v="0"/>
    <x v="550"/>
    <d v="2013-03-27T00:00:00"/>
    <x v="2"/>
    <x v="0"/>
    <m/>
    <m/>
    <x v="0"/>
    <x v="1"/>
    <m/>
    <x v="0"/>
    <x v="0"/>
    <x v="1736"/>
    <x v="3"/>
    <x v="0"/>
    <x v="1"/>
    <x v="550"/>
    <x v="4846"/>
  </r>
  <r>
    <x v="2"/>
    <n v="1846"/>
    <x v="1721"/>
    <x v="0"/>
    <s v="LM"/>
    <s v="S"/>
    <x v="1127"/>
    <x v="52"/>
    <x v="146"/>
    <m/>
    <x v="24"/>
    <m/>
    <x v="3"/>
    <x v="0"/>
    <x v="537"/>
    <d v="2013-04-28T00:00:00"/>
    <x v="5"/>
    <x v="1"/>
    <s v="Competição Nacional"/>
    <s v="Cinema Emergente"/>
    <x v="0"/>
    <x v="0"/>
    <m/>
    <x v="0"/>
    <x v="5"/>
    <x v="1737"/>
    <x v="3"/>
    <x v="0"/>
    <x v="1"/>
    <x v="537"/>
    <x v="4847"/>
  </r>
  <r>
    <x v="2"/>
    <n v="1846"/>
    <x v="1721"/>
    <x v="0"/>
    <s v="LM"/>
    <s v="S"/>
    <x v="1127"/>
    <x v="52"/>
    <x v="179"/>
    <m/>
    <x v="133"/>
    <m/>
    <x v="0"/>
    <x v="0"/>
    <x v="501"/>
    <d v="2013-10-31T00:00:00"/>
    <x v="14"/>
    <x v="1"/>
    <s v="Novos Diretores"/>
    <m/>
    <x v="0"/>
    <x v="0"/>
    <m/>
    <x v="0"/>
    <x v="5"/>
    <x v="1737"/>
    <x v="0"/>
    <x v="0"/>
    <x v="0"/>
    <x v="501"/>
    <x v="4848"/>
  </r>
  <r>
    <x v="2"/>
    <n v="1846"/>
    <x v="1721"/>
    <x v="0"/>
    <s v="LM"/>
    <s v="S"/>
    <x v="1127"/>
    <x v="52"/>
    <x v="940"/>
    <m/>
    <x v="429"/>
    <m/>
    <x v="63"/>
    <x v="0"/>
    <x v="639"/>
    <d v="2013-11-17T00:00:00"/>
    <x v="13"/>
    <x v="0"/>
    <m/>
    <s v="Latin Visions"/>
    <x v="0"/>
    <x v="0"/>
    <m/>
    <x v="0"/>
    <x v="5"/>
    <x v="1737"/>
    <x v="63"/>
    <x v="0"/>
    <x v="0"/>
    <x v="639"/>
    <x v="4849"/>
  </r>
  <r>
    <x v="2"/>
    <n v="1846"/>
    <x v="1721"/>
    <x v="0"/>
    <s v="LM"/>
    <s v="S"/>
    <x v="1127"/>
    <x v="52"/>
    <x v="143"/>
    <m/>
    <x v="109"/>
    <m/>
    <x v="2"/>
    <x v="0"/>
    <x v="519"/>
    <d v="2013-11-16T00:00:00"/>
    <x v="13"/>
    <x v="1"/>
    <s v="Compétition Internationale - Longs-Métrages"/>
    <m/>
    <x v="0"/>
    <x v="0"/>
    <m/>
    <x v="0"/>
    <x v="5"/>
    <x v="1737"/>
    <x v="2"/>
    <x v="0"/>
    <x v="0"/>
    <x v="519"/>
    <x v="4850"/>
  </r>
  <r>
    <x v="2"/>
    <n v="1642"/>
    <x v="1722"/>
    <x v="0"/>
    <s v="LM"/>
    <s v="S"/>
    <x v="537"/>
    <x v="15"/>
    <x v="865"/>
    <m/>
    <x v="419"/>
    <m/>
    <x v="34"/>
    <x v="0"/>
    <x v="563"/>
    <d v="2013-02-28T00:00:00"/>
    <x v="18"/>
    <x v="0"/>
    <m/>
    <m/>
    <x v="0"/>
    <x v="1"/>
    <s v="Cinemathèque Suisse"/>
    <x v="0"/>
    <x v="5"/>
    <x v="1738"/>
    <x v="34"/>
    <x v="0"/>
    <x v="0"/>
    <x v="563"/>
    <x v="4851"/>
  </r>
  <r>
    <x v="2"/>
    <n v="268"/>
    <x v="189"/>
    <x v="0"/>
    <s v="LM"/>
    <s v=""/>
    <x v="162"/>
    <x v="2"/>
    <x v="941"/>
    <m/>
    <x v="36"/>
    <m/>
    <x v="3"/>
    <x v="0"/>
    <x v="640"/>
    <m/>
    <x v="15"/>
    <x v="0"/>
    <m/>
    <m/>
    <x v="0"/>
    <x v="1"/>
    <s v="No Trinta e Três Atelier, Cineclube da Guarda"/>
    <x v="0"/>
    <x v="5"/>
    <x v="191"/>
    <x v="3"/>
    <x v="0"/>
    <x v="1"/>
    <x v="640"/>
    <x v="4852"/>
  </r>
  <r>
    <x v="2"/>
    <n v="1872"/>
    <x v="1723"/>
    <x v="0"/>
    <s v="CM"/>
    <s v="N"/>
    <x v="782"/>
    <x v="3"/>
    <x v="628"/>
    <m/>
    <x v="24"/>
    <m/>
    <x v="3"/>
    <x v="0"/>
    <x v="587"/>
    <m/>
    <x v="1"/>
    <x v="0"/>
    <m/>
    <m/>
    <x v="0"/>
    <x v="1"/>
    <s v="Curtas de Diogo Pessoa de Andrade"/>
    <x v="0"/>
    <x v="0"/>
    <x v="1739"/>
    <x v="3"/>
    <x v="0"/>
    <x v="1"/>
    <x v="587"/>
    <x v="4853"/>
  </r>
  <r>
    <x v="2"/>
    <n v="1668"/>
    <x v="1724"/>
    <x v="1"/>
    <s v="LM"/>
    <s v="N"/>
    <x v="1128"/>
    <x v="41"/>
    <x v="942"/>
    <m/>
    <x v="435"/>
    <m/>
    <x v="3"/>
    <x v="0"/>
    <x v="565"/>
    <m/>
    <x v="1"/>
    <x v="0"/>
    <m/>
    <m/>
    <x v="0"/>
    <x v="1"/>
    <m/>
    <x v="0"/>
    <x v="1"/>
    <x v="1740"/>
    <x v="3"/>
    <x v="0"/>
    <x v="1"/>
    <x v="565"/>
    <x v="4854"/>
  </r>
  <r>
    <x v="2"/>
    <n v="1668"/>
    <x v="1724"/>
    <x v="1"/>
    <s v="LM"/>
    <s v="N"/>
    <x v="1128"/>
    <x v="41"/>
    <x v="222"/>
    <m/>
    <x v="24"/>
    <m/>
    <x v="3"/>
    <x v="0"/>
    <x v="539"/>
    <m/>
    <x v="8"/>
    <x v="1"/>
    <s v="Categoria Prémio Sony Escolas HD"/>
    <m/>
    <x v="401"/>
    <x v="2"/>
    <s v="Escola Superior de Educação de Santarém: Projecto final de estágio do Curso de Educação Comunicação Multimédia)"/>
    <x v="1"/>
    <x v="1"/>
    <x v="1740"/>
    <x v="3"/>
    <x v="565"/>
    <x v="1"/>
    <x v="539"/>
    <x v="4855"/>
  </r>
  <r>
    <x v="2"/>
    <n v="2091"/>
    <x v="1725"/>
    <x v="1"/>
    <s v="CM"/>
    <s v="N"/>
    <x v="1094"/>
    <x v="41"/>
    <x v="904"/>
    <m/>
    <x v="99"/>
    <m/>
    <x v="3"/>
    <x v="0"/>
    <x v="605"/>
    <d v="2013-07-05T00:00:00"/>
    <x v="8"/>
    <x v="0"/>
    <m/>
    <m/>
    <x v="0"/>
    <x v="1"/>
    <m/>
    <x v="0"/>
    <x v="2"/>
    <x v="1741"/>
    <x v="3"/>
    <x v="0"/>
    <x v="1"/>
    <x v="605"/>
    <x v="4856"/>
  </r>
  <r>
    <x v="2"/>
    <n v="1805"/>
    <x v="1726"/>
    <x v="0"/>
    <s v="LM"/>
    <s v="S"/>
    <x v="461"/>
    <x v="20"/>
    <x v="843"/>
    <m/>
    <x v="253"/>
    <m/>
    <x v="0"/>
    <x v="0"/>
    <x v="532"/>
    <d v="2013-05-26T00:00:00"/>
    <x v="6"/>
    <x v="0"/>
    <m/>
    <m/>
    <x v="0"/>
    <x v="1"/>
    <m/>
    <x v="0"/>
    <x v="5"/>
    <x v="1742"/>
    <x v="0"/>
    <x v="0"/>
    <x v="0"/>
    <x v="532"/>
    <x v="4857"/>
  </r>
  <r>
    <x v="2"/>
    <n v="1805"/>
    <x v="1726"/>
    <x v="0"/>
    <s v="LM"/>
    <s v="S"/>
    <x v="461"/>
    <x v="20"/>
    <x v="844"/>
    <m/>
    <x v="0"/>
    <m/>
    <x v="0"/>
    <x v="0"/>
    <x v="533"/>
    <d v="2013-06-06T00:00:00"/>
    <x v="22"/>
    <x v="0"/>
    <m/>
    <m/>
    <x v="0"/>
    <x v="1"/>
    <m/>
    <x v="0"/>
    <x v="5"/>
    <x v="1742"/>
    <x v="0"/>
    <x v="0"/>
    <x v="0"/>
    <x v="533"/>
    <x v="4858"/>
  </r>
  <r>
    <x v="2"/>
    <n v="1805"/>
    <x v="1726"/>
    <x v="0"/>
    <s v="LM"/>
    <s v="S"/>
    <x v="461"/>
    <x v="20"/>
    <x v="895"/>
    <m/>
    <x v="425"/>
    <m/>
    <x v="0"/>
    <x v="0"/>
    <x v="597"/>
    <d v="2013-09-14T00:00:00"/>
    <x v="9"/>
    <x v="0"/>
    <m/>
    <s v="Mostra Portugal Contemporânei"/>
    <x v="0"/>
    <x v="0"/>
    <m/>
    <x v="0"/>
    <x v="5"/>
    <x v="1742"/>
    <x v="0"/>
    <x v="0"/>
    <x v="0"/>
    <x v="597"/>
    <x v="4859"/>
  </r>
  <r>
    <x v="2"/>
    <n v="1486"/>
    <x v="1031"/>
    <x v="2"/>
    <s v="CM"/>
    <s v="N"/>
    <x v="693"/>
    <x v="41"/>
    <x v="26"/>
    <m/>
    <x v="24"/>
    <m/>
    <x v="3"/>
    <x v="0"/>
    <x v="571"/>
    <d v="2013-03-17T00:00:00"/>
    <x v="2"/>
    <x v="1"/>
    <s v="Competição Internacional Estudantes"/>
    <m/>
    <x v="0"/>
    <x v="0"/>
    <m/>
    <x v="0"/>
    <x v="4"/>
    <x v="1035"/>
    <x v="3"/>
    <x v="0"/>
    <x v="1"/>
    <x v="571"/>
    <x v="4860"/>
  </r>
  <r>
    <x v="2"/>
    <n v="1486"/>
    <x v="1031"/>
    <x v="2"/>
    <s v="CM"/>
    <s v="N"/>
    <x v="693"/>
    <x v="41"/>
    <x v="854"/>
    <m/>
    <x v="24"/>
    <m/>
    <x v="3"/>
    <x v="0"/>
    <x v="550"/>
    <d v="2013-03-27T00:00:00"/>
    <x v="2"/>
    <x v="0"/>
    <m/>
    <m/>
    <x v="0"/>
    <x v="1"/>
    <m/>
    <x v="0"/>
    <x v="4"/>
    <x v="1035"/>
    <x v="3"/>
    <x v="0"/>
    <x v="1"/>
    <x v="550"/>
    <x v="4861"/>
  </r>
  <r>
    <x v="2"/>
    <n v="1486"/>
    <x v="1031"/>
    <x v="2"/>
    <s v="CM"/>
    <s v="N"/>
    <x v="693"/>
    <x v="41"/>
    <x v="487"/>
    <m/>
    <x v="295"/>
    <m/>
    <x v="10"/>
    <x v="0"/>
    <x v="641"/>
    <d v="2013-04-07T00:00:00"/>
    <x v="5"/>
    <x v="1"/>
    <s v="Graduation Competition: Graduation Films C"/>
    <m/>
    <x v="0"/>
    <x v="0"/>
    <m/>
    <x v="0"/>
    <x v="4"/>
    <x v="1035"/>
    <x v="10"/>
    <x v="0"/>
    <x v="0"/>
    <x v="641"/>
    <x v="4862"/>
  </r>
  <r>
    <x v="2"/>
    <n v="1840"/>
    <x v="1031"/>
    <x v="0"/>
    <s v="CM"/>
    <s v="N"/>
    <x v="32"/>
    <x v="41"/>
    <x v="943"/>
    <m/>
    <x v="24"/>
    <m/>
    <x v="3"/>
    <x v="0"/>
    <x v="642"/>
    <m/>
    <x v="7"/>
    <x v="0"/>
    <m/>
    <s v="Curta Convidada"/>
    <x v="0"/>
    <x v="1"/>
    <m/>
    <x v="0"/>
    <x v="0"/>
    <x v="1743"/>
    <x v="3"/>
    <x v="0"/>
    <x v="1"/>
    <x v="642"/>
    <x v="4863"/>
  </r>
  <r>
    <x v="2"/>
    <n v="2060"/>
    <x v="1727"/>
    <x v="0"/>
    <s v="CM"/>
    <s v="N"/>
    <x v="842"/>
    <x v="1"/>
    <x v="944"/>
    <m/>
    <x v="15"/>
    <m/>
    <x v="3"/>
    <x v="0"/>
    <x v="501"/>
    <m/>
    <x v="14"/>
    <x v="1"/>
    <m/>
    <m/>
    <x v="319"/>
    <x v="1"/>
    <s v="Sessão Especial dedicada ao &quot;cinema curto fantástico&quot;"/>
    <x v="1"/>
    <x v="0"/>
    <x v="1744"/>
    <x v="3"/>
    <x v="385"/>
    <x v="1"/>
    <x v="501"/>
    <x v="4864"/>
  </r>
  <r>
    <x v="2"/>
    <n v="1455"/>
    <x v="1033"/>
    <x v="0"/>
    <s v="CM"/>
    <s v="N"/>
    <x v="695"/>
    <x v="2"/>
    <x v="62"/>
    <m/>
    <x v="23"/>
    <m/>
    <x v="3"/>
    <x v="0"/>
    <x v="503"/>
    <d v="2013-03-10T00:00:00"/>
    <x v="19"/>
    <x v="1"/>
    <s v="Prémio de Cinema Português - Escolas de Cinema"/>
    <m/>
    <x v="0"/>
    <x v="0"/>
    <s v="ESTC"/>
    <x v="0"/>
    <x v="0"/>
    <x v="1037"/>
    <x v="3"/>
    <x v="0"/>
    <x v="1"/>
    <x v="503"/>
    <x v="4865"/>
  </r>
  <r>
    <x v="2"/>
    <n v="1455"/>
    <x v="1033"/>
    <x v="0"/>
    <s v="CM"/>
    <s v="N"/>
    <x v="695"/>
    <x v="2"/>
    <x v="34"/>
    <m/>
    <x v="32"/>
    <m/>
    <x v="3"/>
    <x v="0"/>
    <x v="525"/>
    <d v="2013-05-12T00:00:00"/>
    <x v="6"/>
    <x v="1"/>
    <s v="Curta-metragem Escolar"/>
    <m/>
    <x v="0"/>
    <x v="0"/>
    <m/>
    <x v="0"/>
    <x v="0"/>
    <x v="1037"/>
    <x v="3"/>
    <x v="0"/>
    <x v="1"/>
    <x v="525"/>
    <x v="4866"/>
  </r>
  <r>
    <x v="2"/>
    <n v="1455"/>
    <x v="1033"/>
    <x v="0"/>
    <s v="CM"/>
    <s v="N"/>
    <x v="695"/>
    <x v="2"/>
    <x v="192"/>
    <m/>
    <x v="140"/>
    <m/>
    <x v="3"/>
    <x v="0"/>
    <x v="334"/>
    <d v="2013-07-28T00:00:00"/>
    <x v="8"/>
    <x v="0"/>
    <m/>
    <s v="Panorama Cinema Português"/>
    <x v="0"/>
    <x v="0"/>
    <m/>
    <x v="0"/>
    <x v="0"/>
    <x v="1037"/>
    <x v="3"/>
    <x v="0"/>
    <x v="1"/>
    <x v="334"/>
    <x v="4867"/>
  </r>
  <r>
    <x v="2"/>
    <n v="1635"/>
    <x v="1728"/>
    <x v="2"/>
    <s v="CM"/>
    <s v="N"/>
    <x v="1129"/>
    <x v="41"/>
    <x v="840"/>
    <m/>
    <x v="24"/>
    <m/>
    <x v="3"/>
    <x v="0"/>
    <x v="522"/>
    <d v="2013-01-27T00:00:00"/>
    <x v="15"/>
    <x v="1"/>
    <s v="Competição ClapKids"/>
    <m/>
    <x v="0"/>
    <x v="0"/>
    <m/>
    <x v="0"/>
    <x v="4"/>
    <x v="1745"/>
    <x v="3"/>
    <x v="0"/>
    <x v="1"/>
    <x v="522"/>
    <x v="4868"/>
  </r>
  <r>
    <x v="2"/>
    <n v="1635"/>
    <x v="1728"/>
    <x v="2"/>
    <s v="CM"/>
    <s v="N"/>
    <x v="1129"/>
    <x v="41"/>
    <x v="220"/>
    <m/>
    <x v="154"/>
    <m/>
    <x v="0"/>
    <x v="0"/>
    <x v="566"/>
    <d v="2013-08-18T00:00:00"/>
    <x v="16"/>
    <x v="0"/>
    <m/>
    <s v="Futuro Animador"/>
    <x v="0"/>
    <x v="0"/>
    <m/>
    <x v="0"/>
    <x v="4"/>
    <x v="1745"/>
    <x v="0"/>
    <x v="0"/>
    <x v="0"/>
    <x v="566"/>
    <x v="4869"/>
  </r>
  <r>
    <x v="2"/>
    <n v="1635"/>
    <x v="1728"/>
    <x v="2"/>
    <s v="CM"/>
    <s v="N"/>
    <x v="1129"/>
    <x v="41"/>
    <x v="27"/>
    <m/>
    <x v="25"/>
    <m/>
    <x v="3"/>
    <x v="0"/>
    <x v="611"/>
    <d v="2013-11-17T00:00:00"/>
    <x v="13"/>
    <x v="1"/>
    <s v="Competição Nacional: Prémio Jovem Cineasta Português (-18 anos)"/>
    <m/>
    <x v="133"/>
    <x v="0"/>
    <m/>
    <x v="1"/>
    <x v="4"/>
    <x v="1745"/>
    <x v="3"/>
    <x v="566"/>
    <x v="1"/>
    <x v="611"/>
    <x v="4870"/>
  </r>
  <r>
    <x v="2"/>
    <n v="1693"/>
    <x v="1729"/>
    <x v="0"/>
    <s v="CM"/>
    <s v="N"/>
    <x v="1051"/>
    <x v="41"/>
    <x v="62"/>
    <m/>
    <x v="23"/>
    <m/>
    <x v="3"/>
    <x v="0"/>
    <x v="503"/>
    <d v="2013-03-10T00:00:00"/>
    <x v="19"/>
    <x v="1"/>
    <s v="Prémio de Cinema Português - Escolas de Cinema"/>
    <m/>
    <x v="0"/>
    <x v="0"/>
    <s v="Universidade Católica do Porto"/>
    <x v="0"/>
    <x v="0"/>
    <x v="1746"/>
    <x v="3"/>
    <x v="0"/>
    <x v="1"/>
    <x v="503"/>
    <x v="4871"/>
  </r>
  <r>
    <x v="2"/>
    <n v="1939"/>
    <x v="1730"/>
    <x v="0"/>
    <s v="CM"/>
    <s v="N"/>
    <x v="1130"/>
    <x v="41"/>
    <x v="192"/>
    <m/>
    <x v="140"/>
    <m/>
    <x v="3"/>
    <x v="0"/>
    <x v="334"/>
    <d v="2013-07-28T00:00:00"/>
    <x v="8"/>
    <x v="1"/>
    <s v="Competição Estreia Mundial - Curta-metragem, Competição Vídeo"/>
    <m/>
    <x v="462"/>
    <x v="0"/>
    <m/>
    <x v="1"/>
    <x v="0"/>
    <x v="1747"/>
    <x v="3"/>
    <x v="567"/>
    <x v="1"/>
    <x v="334"/>
    <x v="4872"/>
  </r>
  <r>
    <x v="2"/>
    <n v="1939"/>
    <x v="1730"/>
    <x v="0"/>
    <s v="CM"/>
    <s v="N"/>
    <x v="1130"/>
    <x v="41"/>
    <x v="316"/>
    <m/>
    <x v="11"/>
    <m/>
    <x v="3"/>
    <x v="0"/>
    <x v="500"/>
    <d v="2013-08-31T00:00:00"/>
    <x v="16"/>
    <x v="1"/>
    <s v="Ficção"/>
    <m/>
    <x v="0"/>
    <x v="0"/>
    <s v="1º Prémio Ficção  (ex aequo)"/>
    <x v="0"/>
    <x v="0"/>
    <x v="1747"/>
    <x v="3"/>
    <x v="0"/>
    <x v="1"/>
    <x v="500"/>
    <x v="4873"/>
  </r>
  <r>
    <x v="2"/>
    <n v="1939"/>
    <x v="1730"/>
    <x v="0"/>
    <s v="CM"/>
    <s v="N"/>
    <x v="1130"/>
    <x v="41"/>
    <x v="842"/>
    <m/>
    <x v="279"/>
    <m/>
    <x v="3"/>
    <x v="0"/>
    <x v="527"/>
    <d v="2013-09-29T00:00:00"/>
    <x v="9"/>
    <x v="1"/>
    <s v="4ª Manga Internacional/Nacional"/>
    <m/>
    <x v="0"/>
    <x v="0"/>
    <m/>
    <x v="0"/>
    <x v="0"/>
    <x v="1747"/>
    <x v="3"/>
    <x v="0"/>
    <x v="1"/>
    <x v="527"/>
    <x v="4874"/>
  </r>
  <r>
    <x v="2"/>
    <n v="1939"/>
    <x v="1730"/>
    <x v="0"/>
    <s v="CM"/>
    <s v="N"/>
    <x v="1130"/>
    <x v="41"/>
    <x v="945"/>
    <m/>
    <x v="24"/>
    <m/>
    <x v="3"/>
    <x v="0"/>
    <x v="643"/>
    <m/>
    <x v="14"/>
    <x v="1"/>
    <m/>
    <m/>
    <x v="319"/>
    <x v="1"/>
    <m/>
    <x v="1"/>
    <x v="0"/>
    <x v="1747"/>
    <x v="3"/>
    <x v="385"/>
    <x v="1"/>
    <x v="643"/>
    <x v="4875"/>
  </r>
  <r>
    <x v="2"/>
    <n v="282"/>
    <x v="1037"/>
    <x v="0"/>
    <s v="CM"/>
    <s v="N"/>
    <x v="37"/>
    <x v="41"/>
    <x v="90"/>
    <m/>
    <x v="69"/>
    <m/>
    <x v="8"/>
    <x v="0"/>
    <x v="602"/>
    <d v="2013-02-03T00:00:00"/>
    <x v="18"/>
    <x v="0"/>
    <m/>
    <s v="Spectrum Shorts - Guimarães: Rocking the Cradle"/>
    <x v="0"/>
    <x v="0"/>
    <m/>
    <x v="0"/>
    <x v="0"/>
    <x v="1041"/>
    <x v="8"/>
    <x v="0"/>
    <x v="0"/>
    <x v="602"/>
    <x v="4876"/>
  </r>
  <r>
    <x v="2"/>
    <n v="282"/>
    <x v="1037"/>
    <x v="0"/>
    <s v="CM"/>
    <s v="N"/>
    <x v="37"/>
    <x v="41"/>
    <x v="946"/>
    <m/>
    <x v="24"/>
    <m/>
    <x v="3"/>
    <x v="0"/>
    <x v="635"/>
    <d v="2013-07-04T00:00:00"/>
    <x v="17"/>
    <x v="0"/>
    <m/>
    <m/>
    <x v="0"/>
    <x v="1"/>
    <m/>
    <x v="0"/>
    <x v="0"/>
    <x v="1041"/>
    <x v="3"/>
    <x v="0"/>
    <x v="1"/>
    <x v="635"/>
    <x v="4877"/>
  </r>
  <r>
    <x v="2"/>
    <n v="2096"/>
    <x v="1731"/>
    <x v="1"/>
    <s v="CM"/>
    <s v="N"/>
    <x v="1131"/>
    <x v="52"/>
    <x v="873"/>
    <m/>
    <x v="297"/>
    <m/>
    <x v="3"/>
    <x v="0"/>
    <x v="509"/>
    <d v="2013-11-27T00:00:00"/>
    <x v="13"/>
    <x v="1"/>
    <s v="Olhares e Enquadramentos"/>
    <m/>
    <x v="0"/>
    <x v="0"/>
    <m/>
    <x v="0"/>
    <x v="2"/>
    <x v="1748"/>
    <x v="3"/>
    <x v="0"/>
    <x v="1"/>
    <x v="509"/>
    <x v="4878"/>
  </r>
  <r>
    <x v="2"/>
    <n v="2042"/>
    <x v="1732"/>
    <x v="1"/>
    <s v="CM"/>
    <s v="N"/>
    <x v="1132"/>
    <x v="41"/>
    <x v="826"/>
    <m/>
    <x v="24"/>
    <m/>
    <x v="3"/>
    <x v="0"/>
    <x v="505"/>
    <d v="2013-09-29T00:00:00"/>
    <x v="9"/>
    <x v="1"/>
    <m/>
    <m/>
    <x v="0"/>
    <x v="0"/>
    <m/>
    <x v="0"/>
    <x v="2"/>
    <x v="1749"/>
    <x v="3"/>
    <x v="0"/>
    <x v="1"/>
    <x v="505"/>
    <x v="4879"/>
  </r>
  <r>
    <x v="2"/>
    <n v="285"/>
    <x v="201"/>
    <x v="2"/>
    <s v="CM"/>
    <s v="S"/>
    <x v="173"/>
    <x v="1"/>
    <x v="316"/>
    <m/>
    <x v="11"/>
    <m/>
    <x v="3"/>
    <x v="0"/>
    <x v="500"/>
    <d v="2013-08-31T00:00:00"/>
    <x v="16"/>
    <x v="1"/>
    <s v="Animação"/>
    <m/>
    <x v="0"/>
    <x v="0"/>
    <m/>
    <x v="0"/>
    <x v="4"/>
    <x v="203"/>
    <x v="3"/>
    <x v="0"/>
    <x v="1"/>
    <x v="500"/>
    <x v="4880"/>
  </r>
  <r>
    <x v="2"/>
    <n v="1903"/>
    <x v="1733"/>
    <x v="0"/>
    <s v="CM"/>
    <s v="N"/>
    <x v="1133"/>
    <x v="52"/>
    <x v="146"/>
    <m/>
    <x v="24"/>
    <m/>
    <x v="3"/>
    <x v="0"/>
    <x v="537"/>
    <d v="2013-04-28T00:00:00"/>
    <x v="5"/>
    <x v="1"/>
    <s v="Novíssimos - Ficção"/>
    <m/>
    <x v="0"/>
    <x v="0"/>
    <m/>
    <x v="0"/>
    <x v="0"/>
    <x v="1750"/>
    <x v="3"/>
    <x v="0"/>
    <x v="1"/>
    <x v="537"/>
    <x v="4881"/>
  </r>
  <r>
    <x v="2"/>
    <n v="1903"/>
    <x v="1733"/>
    <x v="0"/>
    <s v="CM"/>
    <s v="N"/>
    <x v="1133"/>
    <x v="52"/>
    <x v="68"/>
    <m/>
    <x v="53"/>
    <m/>
    <x v="3"/>
    <x v="0"/>
    <x v="573"/>
    <d v="2013-07-14T00:00:00"/>
    <x v="8"/>
    <x v="0"/>
    <s v="Competição Take One!"/>
    <m/>
    <x v="0"/>
    <x v="0"/>
    <m/>
    <x v="0"/>
    <x v="0"/>
    <x v="1750"/>
    <x v="3"/>
    <x v="0"/>
    <x v="1"/>
    <x v="573"/>
    <x v="4882"/>
  </r>
  <r>
    <x v="2"/>
    <n v="1637"/>
    <x v="1734"/>
    <x v="0"/>
    <s v="CM"/>
    <s v="N"/>
    <x v="1134"/>
    <x v="2"/>
    <x v="840"/>
    <m/>
    <x v="24"/>
    <m/>
    <x v="3"/>
    <x v="0"/>
    <x v="522"/>
    <d v="2013-01-27T00:00:00"/>
    <x v="15"/>
    <x v="1"/>
    <s v="Competição Geral"/>
    <m/>
    <x v="0"/>
    <x v="0"/>
    <m/>
    <x v="0"/>
    <x v="0"/>
    <x v="1751"/>
    <x v="3"/>
    <x v="0"/>
    <x v="1"/>
    <x v="522"/>
    <x v="4883"/>
  </r>
  <r>
    <x v="2"/>
    <n v="288"/>
    <x v="203"/>
    <x v="0"/>
    <s v="LM"/>
    <s v="S"/>
    <x v="18"/>
    <x v="18"/>
    <x v="871"/>
    <m/>
    <x v="391"/>
    <m/>
    <x v="1"/>
    <x v="0"/>
    <x v="498"/>
    <d v="2013-11-19T00:00:00"/>
    <x v="13"/>
    <x v="0"/>
    <m/>
    <s v="País Invitado"/>
    <x v="0"/>
    <x v="1"/>
    <m/>
    <x v="0"/>
    <x v="5"/>
    <x v="205"/>
    <x v="1"/>
    <x v="0"/>
    <x v="0"/>
    <x v="498"/>
    <x v="4884"/>
  </r>
  <r>
    <x v="2"/>
    <n v="290"/>
    <x v="1040"/>
    <x v="0"/>
    <s v="CM"/>
    <s v="N"/>
    <x v="690"/>
    <x v="41"/>
    <x v="885"/>
    <m/>
    <x v="419"/>
    <m/>
    <x v="34"/>
    <x v="0"/>
    <x v="586"/>
    <d v="2013-01-27T00:00:00"/>
    <x v="15"/>
    <x v="0"/>
    <m/>
    <s v="Tous les garçons s'appellent João"/>
    <x v="0"/>
    <x v="0"/>
    <m/>
    <x v="0"/>
    <x v="0"/>
    <x v="1044"/>
    <x v="34"/>
    <x v="0"/>
    <x v="0"/>
    <x v="586"/>
    <x v="4885"/>
  </r>
  <r>
    <x v="2"/>
    <n v="290"/>
    <x v="1040"/>
    <x v="0"/>
    <s v="CM"/>
    <s v="N"/>
    <x v="690"/>
    <x v="41"/>
    <x v="854"/>
    <m/>
    <x v="24"/>
    <m/>
    <x v="3"/>
    <x v="0"/>
    <x v="550"/>
    <d v="2013-03-27T00:00:00"/>
    <x v="2"/>
    <x v="0"/>
    <m/>
    <m/>
    <x v="0"/>
    <x v="1"/>
    <m/>
    <x v="0"/>
    <x v="0"/>
    <x v="1044"/>
    <x v="3"/>
    <x v="0"/>
    <x v="1"/>
    <x v="550"/>
    <x v="4886"/>
  </r>
  <r>
    <x v="2"/>
    <n v="290"/>
    <x v="1040"/>
    <x v="0"/>
    <s v="CM"/>
    <s v="N"/>
    <x v="690"/>
    <x v="41"/>
    <x v="947"/>
    <m/>
    <x v="24"/>
    <m/>
    <x v="3"/>
    <x v="0"/>
    <x v="644"/>
    <m/>
    <x v="6"/>
    <x v="0"/>
    <m/>
    <s v="Curta Convidada"/>
    <x v="0"/>
    <x v="1"/>
    <m/>
    <x v="0"/>
    <x v="0"/>
    <x v="1044"/>
    <x v="3"/>
    <x v="0"/>
    <x v="1"/>
    <x v="644"/>
    <x v="4887"/>
  </r>
  <r>
    <x v="2"/>
    <n v="290"/>
    <x v="1040"/>
    <x v="0"/>
    <s v="CM"/>
    <s v="N"/>
    <x v="690"/>
    <x v="41"/>
    <x v="669"/>
    <m/>
    <x v="190"/>
    <m/>
    <x v="0"/>
    <x v="0"/>
    <x v="538"/>
    <d v="2013-06-14T00:00:00"/>
    <x v="7"/>
    <x v="1"/>
    <s v="Competição Internacional de Longa Metragem"/>
    <m/>
    <x v="0"/>
    <x v="0"/>
    <m/>
    <x v="0"/>
    <x v="0"/>
    <x v="1044"/>
    <x v="0"/>
    <x v="0"/>
    <x v="0"/>
    <x v="538"/>
    <x v="4888"/>
  </r>
  <r>
    <x v="2"/>
    <n v="290"/>
    <x v="1040"/>
    <x v="0"/>
    <s v="CM"/>
    <s v="N"/>
    <x v="690"/>
    <x v="41"/>
    <x v="905"/>
    <m/>
    <x v="61"/>
    <m/>
    <x v="2"/>
    <x v="0"/>
    <x v="509"/>
    <d v="2013-12-01T00:00:00"/>
    <x v="11"/>
    <x v="0"/>
    <m/>
    <s v="Ida e Volta: Hommage au Portugal"/>
    <x v="0"/>
    <x v="0"/>
    <m/>
    <x v="0"/>
    <x v="0"/>
    <x v="1044"/>
    <x v="2"/>
    <x v="0"/>
    <x v="0"/>
    <x v="509"/>
    <x v="4889"/>
  </r>
  <r>
    <x v="2"/>
    <n v="2139"/>
    <x v="1735"/>
    <x v="3"/>
    <s v="CM"/>
    <s v="N"/>
    <x v="648"/>
    <x v="5"/>
    <x v="454"/>
    <m/>
    <x v="15"/>
    <m/>
    <x v="3"/>
    <x v="0"/>
    <x v="334"/>
    <m/>
    <x v="8"/>
    <x v="1"/>
    <s v="Experimental"/>
    <m/>
    <x v="0"/>
    <x v="0"/>
    <m/>
    <x v="0"/>
    <x v="6"/>
    <x v="1752"/>
    <x v="3"/>
    <x v="0"/>
    <x v="1"/>
    <x v="334"/>
    <x v="4890"/>
  </r>
  <r>
    <x v="2"/>
    <n v="1847"/>
    <x v="1736"/>
    <x v="1"/>
    <s v="LM"/>
    <s v="S"/>
    <x v="1135"/>
    <x v="52"/>
    <x v="146"/>
    <m/>
    <x v="24"/>
    <m/>
    <x v="3"/>
    <x v="0"/>
    <x v="537"/>
    <d v="2013-04-28T00:00:00"/>
    <x v="5"/>
    <x v="1"/>
    <s v="Competição Nacional - Documentário"/>
    <s v="Cinema Emergente"/>
    <x v="0"/>
    <x v="0"/>
    <m/>
    <x v="0"/>
    <x v="1"/>
    <x v="1753"/>
    <x v="3"/>
    <x v="0"/>
    <x v="1"/>
    <x v="537"/>
    <x v="4891"/>
  </r>
  <r>
    <x v="2"/>
    <n v="1847"/>
    <x v="1736"/>
    <x v="1"/>
    <s v="LM"/>
    <s v="S"/>
    <x v="1135"/>
    <x v="52"/>
    <x v="848"/>
    <m/>
    <x v="165"/>
    <m/>
    <x v="4"/>
    <x v="0"/>
    <x v="540"/>
    <d v="2013-09-01T00:00:00"/>
    <x v="20"/>
    <x v="0"/>
    <m/>
    <m/>
    <x v="0"/>
    <x v="1"/>
    <m/>
    <x v="0"/>
    <x v="1"/>
    <x v="1753"/>
    <x v="4"/>
    <x v="0"/>
    <x v="0"/>
    <x v="540"/>
    <x v="4892"/>
  </r>
  <r>
    <x v="2"/>
    <n v="1835"/>
    <x v="1737"/>
    <x v="1"/>
    <s v="CM"/>
    <s v="N"/>
    <x v="15"/>
    <x v="22"/>
    <x v="906"/>
    <m/>
    <x v="348"/>
    <m/>
    <x v="3"/>
    <x v="0"/>
    <x v="592"/>
    <d v="2013-06-23T00:00:00"/>
    <x v="7"/>
    <x v="0"/>
    <m/>
    <m/>
    <x v="0"/>
    <x v="0"/>
    <m/>
    <x v="0"/>
    <x v="2"/>
    <x v="1754"/>
    <x v="3"/>
    <x v="0"/>
    <x v="1"/>
    <x v="592"/>
    <x v="4893"/>
  </r>
  <r>
    <x v="2"/>
    <n v="292"/>
    <x v="205"/>
    <x v="0"/>
    <s v="CM"/>
    <s v="S"/>
    <x v="38"/>
    <x v="1"/>
    <x v="895"/>
    <m/>
    <x v="425"/>
    <m/>
    <x v="0"/>
    <x v="0"/>
    <x v="597"/>
    <d v="2013-09-14T00:00:00"/>
    <x v="9"/>
    <x v="0"/>
    <m/>
    <s v="Mostra Portugal Contemporânei"/>
    <x v="0"/>
    <x v="0"/>
    <m/>
    <x v="0"/>
    <x v="0"/>
    <x v="207"/>
    <x v="0"/>
    <x v="0"/>
    <x v="0"/>
    <x v="597"/>
    <x v="4894"/>
  </r>
  <r>
    <x v="2"/>
    <n v="292"/>
    <x v="205"/>
    <x v="0"/>
    <s v="CM"/>
    <s v="S"/>
    <x v="38"/>
    <x v="1"/>
    <x v="890"/>
    <m/>
    <x v="319"/>
    <m/>
    <x v="1"/>
    <x v="0"/>
    <x v="594"/>
    <d v="2013-12-13T00:00:00"/>
    <x v="11"/>
    <x v="0"/>
    <m/>
    <s v="Curtametraxes: João Nicolau"/>
    <x v="0"/>
    <x v="1"/>
    <s v="No CGAI"/>
    <x v="0"/>
    <x v="0"/>
    <x v="207"/>
    <x v="1"/>
    <x v="0"/>
    <x v="0"/>
    <x v="594"/>
    <x v="4895"/>
  </r>
  <r>
    <x v="2"/>
    <n v="292"/>
    <x v="205"/>
    <x v="0"/>
    <s v="CM"/>
    <s v="S"/>
    <x v="38"/>
    <x v="1"/>
    <x v="851"/>
    <m/>
    <x v="58"/>
    <m/>
    <x v="17"/>
    <x v="0"/>
    <x v="546"/>
    <d v="2013-12-05T00:00:00"/>
    <x v="11"/>
    <x v="0"/>
    <m/>
    <m/>
    <x v="0"/>
    <x v="0"/>
    <m/>
    <x v="0"/>
    <x v="0"/>
    <x v="207"/>
    <x v="17"/>
    <x v="0"/>
    <x v="0"/>
    <x v="546"/>
    <x v="4896"/>
  </r>
  <r>
    <x v="2"/>
    <n v="1442"/>
    <x v="1042"/>
    <x v="1"/>
    <s v="CM"/>
    <s v="N"/>
    <x v="701"/>
    <x v="3"/>
    <x v="62"/>
    <m/>
    <x v="23"/>
    <m/>
    <x v="3"/>
    <x v="0"/>
    <x v="503"/>
    <d v="2013-03-10T00:00:00"/>
    <x v="19"/>
    <x v="1"/>
    <s v="Prémio de Cinema Português - Escolas de Cinema"/>
    <m/>
    <x v="0"/>
    <x v="0"/>
    <s v="Universidade Católica do Porto"/>
    <x v="0"/>
    <x v="2"/>
    <x v="1046"/>
    <x v="3"/>
    <x v="0"/>
    <x v="1"/>
    <x v="503"/>
    <x v="4897"/>
  </r>
  <r>
    <x v="2"/>
    <n v="1958"/>
    <x v="1738"/>
    <x v="1"/>
    <s v="CM"/>
    <s v="N"/>
    <x v="1136"/>
    <x v="2"/>
    <x v="316"/>
    <m/>
    <x v="11"/>
    <m/>
    <x v="3"/>
    <x v="0"/>
    <x v="500"/>
    <d v="2013-08-31T00:00:00"/>
    <x v="16"/>
    <x v="1"/>
    <s v="Documentário"/>
    <m/>
    <x v="0"/>
    <x v="0"/>
    <m/>
    <x v="0"/>
    <x v="2"/>
    <x v="1755"/>
    <x v="3"/>
    <x v="0"/>
    <x v="1"/>
    <x v="500"/>
    <x v="4898"/>
  </r>
  <r>
    <x v="2"/>
    <n v="294"/>
    <x v="207"/>
    <x v="0"/>
    <s v="CM"/>
    <s v="S"/>
    <x v="0"/>
    <x v="15"/>
    <x v="948"/>
    <m/>
    <x v="246"/>
    <m/>
    <x v="24"/>
    <x v="0"/>
    <x v="645"/>
    <d v="2013-08-23T00:00:00"/>
    <x v="16"/>
    <x v="0"/>
    <m/>
    <s v="Carte Blanche: Vila do Conde"/>
    <x v="0"/>
    <x v="0"/>
    <m/>
    <x v="0"/>
    <x v="0"/>
    <x v="209"/>
    <x v="24"/>
    <x v="0"/>
    <x v="0"/>
    <x v="645"/>
    <x v="4899"/>
  </r>
  <r>
    <x v="2"/>
    <n v="297"/>
    <x v="209"/>
    <x v="0"/>
    <s v="LM"/>
    <s v="S"/>
    <x v="142"/>
    <x v="20"/>
    <x v="895"/>
    <m/>
    <x v="425"/>
    <m/>
    <x v="0"/>
    <x v="0"/>
    <x v="597"/>
    <d v="2013-09-14T00:00:00"/>
    <x v="9"/>
    <x v="0"/>
    <m/>
    <s v="Mostra Homenagem a Maria de Medeiros"/>
    <x v="0"/>
    <x v="0"/>
    <m/>
    <x v="0"/>
    <x v="5"/>
    <x v="211"/>
    <x v="0"/>
    <x v="0"/>
    <x v="0"/>
    <x v="597"/>
    <x v="4900"/>
  </r>
  <r>
    <x v="2"/>
    <n v="1726"/>
    <x v="1739"/>
    <x v="2"/>
    <s v="CM"/>
    <s v="N"/>
    <x v="1137"/>
    <x v="41"/>
    <x v="26"/>
    <m/>
    <x v="24"/>
    <m/>
    <x v="3"/>
    <x v="0"/>
    <x v="571"/>
    <d v="2013-03-17T00:00:00"/>
    <x v="2"/>
    <x v="1"/>
    <s v="Competição Internacional Estudantes"/>
    <m/>
    <x v="0"/>
    <x v="0"/>
    <m/>
    <x v="0"/>
    <x v="4"/>
    <x v="1756"/>
    <x v="3"/>
    <x v="0"/>
    <x v="1"/>
    <x v="571"/>
    <x v="4901"/>
  </r>
  <r>
    <x v="2"/>
    <n v="2158"/>
    <x v="1740"/>
    <x v="1"/>
    <s v="LM"/>
    <s v="N"/>
    <x v="235"/>
    <x v="52"/>
    <x v="25"/>
    <m/>
    <x v="24"/>
    <m/>
    <x v="3"/>
    <x v="0"/>
    <x v="553"/>
    <d v="2013-11-03T00:00:00"/>
    <x v="0"/>
    <x v="1"/>
    <s v="Competição Portuguesa - Longas"/>
    <m/>
    <x v="0"/>
    <x v="0"/>
    <m/>
    <x v="0"/>
    <x v="1"/>
    <x v="1757"/>
    <x v="3"/>
    <x v="0"/>
    <x v="1"/>
    <x v="553"/>
    <x v="4902"/>
  </r>
  <r>
    <x v="2"/>
    <n v="298"/>
    <x v="210"/>
    <x v="0"/>
    <s v="CM"/>
    <s v="N"/>
    <x v="178"/>
    <x v="5"/>
    <x v="508"/>
    <m/>
    <x v="27"/>
    <m/>
    <x v="7"/>
    <x v="0"/>
    <x v="557"/>
    <d v="2013-03-17T00:00:00"/>
    <x v="2"/>
    <x v="0"/>
    <m/>
    <s v="Carte Blanche INDIELISBOA: Les nouveaux arrivants"/>
    <x v="0"/>
    <x v="0"/>
    <m/>
    <x v="0"/>
    <x v="0"/>
    <x v="212"/>
    <x v="7"/>
    <x v="0"/>
    <x v="0"/>
    <x v="557"/>
    <x v="4903"/>
  </r>
  <r>
    <x v="2"/>
    <n v="298"/>
    <x v="210"/>
    <x v="0"/>
    <s v="CM"/>
    <s v="N"/>
    <x v="178"/>
    <x v="5"/>
    <x v="854"/>
    <m/>
    <x v="24"/>
    <m/>
    <x v="3"/>
    <x v="0"/>
    <x v="550"/>
    <d v="2013-03-27T00:00:00"/>
    <x v="2"/>
    <x v="0"/>
    <m/>
    <m/>
    <x v="0"/>
    <x v="1"/>
    <m/>
    <x v="0"/>
    <x v="0"/>
    <x v="212"/>
    <x v="3"/>
    <x v="0"/>
    <x v="1"/>
    <x v="550"/>
    <x v="4904"/>
  </r>
  <r>
    <x v="2"/>
    <n v="1893"/>
    <x v="1741"/>
    <x v="3"/>
    <s v="CM"/>
    <s v="N"/>
    <x v="138"/>
    <x v="52"/>
    <x v="68"/>
    <m/>
    <x v="53"/>
    <m/>
    <x v="3"/>
    <x v="0"/>
    <x v="573"/>
    <d v="2013-07-14T00:00:00"/>
    <x v="8"/>
    <x v="1"/>
    <s v="Competição Nacional"/>
    <m/>
    <x v="463"/>
    <x v="0"/>
    <m/>
    <x v="1"/>
    <x v="6"/>
    <x v="1758"/>
    <x v="3"/>
    <x v="568"/>
    <x v="1"/>
    <x v="573"/>
    <x v="4905"/>
  </r>
  <r>
    <x v="2"/>
    <n v="1893"/>
    <x v="1741"/>
    <x v="3"/>
    <s v="CM"/>
    <s v="N"/>
    <x v="138"/>
    <x v="52"/>
    <x v="918"/>
    <m/>
    <x v="256"/>
    <m/>
    <x v="9"/>
    <x v="0"/>
    <x v="541"/>
    <d v="2013-09-08T00:00:00"/>
    <x v="9"/>
    <x v="0"/>
    <m/>
    <s v="The Way of All Flesh"/>
    <x v="0"/>
    <x v="0"/>
    <m/>
    <x v="0"/>
    <x v="6"/>
    <x v="1758"/>
    <x v="9"/>
    <x v="0"/>
    <x v="0"/>
    <x v="541"/>
    <x v="4906"/>
  </r>
  <r>
    <x v="2"/>
    <n v="1893"/>
    <x v="1741"/>
    <x v="3"/>
    <s v="CM"/>
    <s v="N"/>
    <x v="138"/>
    <x v="52"/>
    <x v="389"/>
    <m/>
    <x v="173"/>
    <m/>
    <x v="7"/>
    <x v="0"/>
    <x v="615"/>
    <d v="2013-10-20T00:00:00"/>
    <x v="14"/>
    <x v="1"/>
    <s v="Compétition Internationale Courts-Mètrages: Parcs d'attraction"/>
    <m/>
    <x v="0"/>
    <x v="0"/>
    <m/>
    <x v="0"/>
    <x v="6"/>
    <x v="1758"/>
    <x v="7"/>
    <x v="0"/>
    <x v="0"/>
    <x v="615"/>
    <x v="4907"/>
  </r>
  <r>
    <x v="2"/>
    <n v="1893"/>
    <x v="1741"/>
    <x v="3"/>
    <s v="CM"/>
    <s v="N"/>
    <x v="138"/>
    <x v="52"/>
    <x v="143"/>
    <m/>
    <x v="109"/>
    <m/>
    <x v="2"/>
    <x v="0"/>
    <x v="519"/>
    <d v="2013-11-16T00:00:00"/>
    <x v="13"/>
    <x v="0"/>
    <m/>
    <s v="Cartes Blanches: Vila do Conde"/>
    <x v="0"/>
    <x v="0"/>
    <m/>
    <x v="0"/>
    <x v="6"/>
    <x v="1758"/>
    <x v="2"/>
    <x v="0"/>
    <x v="0"/>
    <x v="519"/>
    <x v="4908"/>
  </r>
  <r>
    <x v="2"/>
    <n v="1893"/>
    <x v="1741"/>
    <x v="3"/>
    <s v="CM"/>
    <s v="N"/>
    <x v="138"/>
    <x v="52"/>
    <x v="133"/>
    <m/>
    <x v="101"/>
    <m/>
    <x v="3"/>
    <x v="0"/>
    <x v="502"/>
    <d v="2013-12-08T00:00:00"/>
    <x v="12"/>
    <x v="1"/>
    <s v="Sessão Competitiva de Curtas-Metragens 6"/>
    <m/>
    <x v="464"/>
    <x v="0"/>
    <m/>
    <x v="1"/>
    <x v="6"/>
    <x v="1758"/>
    <x v="3"/>
    <x v="569"/>
    <x v="1"/>
    <x v="502"/>
    <x v="4909"/>
  </r>
  <r>
    <x v="2"/>
    <n v="1885"/>
    <x v="1742"/>
    <x v="2"/>
    <s v="CM"/>
    <s v="S"/>
    <x v="1138"/>
    <x v="41"/>
    <x v="68"/>
    <m/>
    <x v="53"/>
    <m/>
    <x v="3"/>
    <x v="0"/>
    <x v="573"/>
    <d v="2013-07-14T00:00:00"/>
    <x v="8"/>
    <x v="1"/>
    <s v="Competição Nacional"/>
    <m/>
    <x v="0"/>
    <x v="0"/>
    <m/>
    <x v="0"/>
    <x v="4"/>
    <x v="1759"/>
    <x v="3"/>
    <x v="0"/>
    <x v="1"/>
    <x v="573"/>
    <x v="4910"/>
  </r>
  <r>
    <x v="2"/>
    <n v="1885"/>
    <x v="1742"/>
    <x v="2"/>
    <s v="CM"/>
    <s v="S"/>
    <x v="1138"/>
    <x v="41"/>
    <x v="192"/>
    <m/>
    <x v="140"/>
    <m/>
    <x v="3"/>
    <x v="0"/>
    <x v="334"/>
    <d v="2013-07-28T00:00:00"/>
    <x v="8"/>
    <x v="1"/>
    <s v="Prémio Competição Avanca"/>
    <m/>
    <x v="465"/>
    <x v="0"/>
    <m/>
    <x v="1"/>
    <x v="4"/>
    <x v="1759"/>
    <x v="3"/>
    <x v="570"/>
    <x v="1"/>
    <x v="334"/>
    <x v="4911"/>
  </r>
  <r>
    <x v="2"/>
    <n v="1885"/>
    <x v="1742"/>
    <x v="2"/>
    <s v="CM"/>
    <s v="S"/>
    <x v="1138"/>
    <x v="41"/>
    <x v="842"/>
    <m/>
    <x v="279"/>
    <m/>
    <x v="3"/>
    <x v="0"/>
    <x v="527"/>
    <d v="2013-09-29T00:00:00"/>
    <x v="9"/>
    <x v="1"/>
    <s v="1ª Manga Internacional/Nacional"/>
    <m/>
    <x v="0"/>
    <x v="0"/>
    <m/>
    <x v="0"/>
    <x v="4"/>
    <x v="1759"/>
    <x v="3"/>
    <x v="0"/>
    <x v="1"/>
    <x v="527"/>
    <x v="4912"/>
  </r>
  <r>
    <x v="2"/>
    <n v="1885"/>
    <x v="1742"/>
    <x v="2"/>
    <s v="CM"/>
    <s v="S"/>
    <x v="1138"/>
    <x v="41"/>
    <x v="870"/>
    <m/>
    <x v="59"/>
    <m/>
    <x v="3"/>
    <x v="0"/>
    <x v="568"/>
    <d v="2013-10-13T00:00:00"/>
    <x v="14"/>
    <x v="1"/>
    <s v="Competição Nacional"/>
    <m/>
    <x v="0"/>
    <x v="0"/>
    <m/>
    <x v="0"/>
    <x v="4"/>
    <x v="1759"/>
    <x v="3"/>
    <x v="0"/>
    <x v="1"/>
    <x v="568"/>
    <x v="4913"/>
  </r>
  <r>
    <x v="2"/>
    <n v="1885"/>
    <x v="1742"/>
    <x v="2"/>
    <s v="CM"/>
    <s v="S"/>
    <x v="1138"/>
    <x v="41"/>
    <x v="27"/>
    <m/>
    <x v="25"/>
    <m/>
    <x v="3"/>
    <x v="0"/>
    <x v="611"/>
    <d v="2013-11-17T00:00:00"/>
    <x v="13"/>
    <x v="1"/>
    <s v="Competição Nacional: Prémio António Gaio"/>
    <m/>
    <x v="7"/>
    <x v="0"/>
    <m/>
    <x v="1"/>
    <x v="4"/>
    <x v="1759"/>
    <x v="3"/>
    <x v="110"/>
    <x v="1"/>
    <x v="611"/>
    <x v="4914"/>
  </r>
  <r>
    <x v="2"/>
    <n v="299"/>
    <x v="211"/>
    <x v="1"/>
    <s v="LM"/>
    <s v="N"/>
    <x v="179"/>
    <x v="3"/>
    <x v="58"/>
    <m/>
    <x v="47"/>
    <m/>
    <x v="3"/>
    <x v="0"/>
    <x v="542"/>
    <d v="2013-09-08T00:00:00"/>
    <x v="9"/>
    <x v="0"/>
    <m/>
    <m/>
    <x v="0"/>
    <x v="1"/>
    <m/>
    <x v="0"/>
    <x v="1"/>
    <x v="213"/>
    <x v="3"/>
    <x v="0"/>
    <x v="1"/>
    <x v="542"/>
    <x v="4915"/>
  </r>
  <r>
    <x v="2"/>
    <n v="300"/>
    <x v="212"/>
    <x v="1"/>
    <s v="LM"/>
    <s v="S"/>
    <x v="180"/>
    <x v="2"/>
    <x v="949"/>
    <m/>
    <x v="91"/>
    <m/>
    <x v="28"/>
    <x v="0"/>
    <x v="78"/>
    <m/>
    <x v="24"/>
    <x v="0"/>
    <m/>
    <m/>
    <x v="0"/>
    <x v="4"/>
    <m/>
    <x v="0"/>
    <x v="1"/>
    <x v="214"/>
    <x v="28"/>
    <x v="0"/>
    <x v="0"/>
    <x v="78"/>
    <x v="4916"/>
  </r>
  <r>
    <x v="2"/>
    <n v="301"/>
    <x v="213"/>
    <x v="1"/>
    <s v="LM"/>
    <s v="S"/>
    <x v="181"/>
    <x v="5"/>
    <x v="950"/>
    <m/>
    <x v="321"/>
    <m/>
    <x v="3"/>
    <x v="0"/>
    <x v="509"/>
    <d v="2013-12-01T00:00:00"/>
    <x v="11"/>
    <x v="0"/>
    <m/>
    <m/>
    <x v="0"/>
    <x v="1"/>
    <m/>
    <x v="0"/>
    <x v="1"/>
    <x v="215"/>
    <x v="3"/>
    <x v="0"/>
    <x v="1"/>
    <x v="509"/>
    <x v="4917"/>
  </r>
  <r>
    <x v="2"/>
    <n v="2027"/>
    <x v="1743"/>
    <x v="1"/>
    <s v="CM"/>
    <s v="N"/>
    <x v="1139"/>
    <x v="52"/>
    <x v="826"/>
    <m/>
    <x v="24"/>
    <m/>
    <x v="3"/>
    <x v="0"/>
    <x v="505"/>
    <d v="2013-09-29T00:00:00"/>
    <x v="9"/>
    <x v="1"/>
    <m/>
    <m/>
    <x v="0"/>
    <x v="0"/>
    <m/>
    <x v="0"/>
    <x v="2"/>
    <x v="1760"/>
    <x v="3"/>
    <x v="0"/>
    <x v="1"/>
    <x v="505"/>
    <x v="4918"/>
  </r>
  <r>
    <x v="2"/>
    <n v="1458"/>
    <x v="1048"/>
    <x v="0"/>
    <s v="LM"/>
    <s v="S"/>
    <x v="348"/>
    <x v="39"/>
    <x v="846"/>
    <m/>
    <x v="417"/>
    <m/>
    <x v="11"/>
    <x v="0"/>
    <x v="535"/>
    <d v="2013-08-03T00:00:00"/>
    <x v="25"/>
    <x v="0"/>
    <m/>
    <s v="Focus Portugal: Pedro Costa"/>
    <x v="0"/>
    <x v="0"/>
    <m/>
    <x v="0"/>
    <x v="5"/>
    <x v="1052"/>
    <x v="11"/>
    <x v="0"/>
    <x v="0"/>
    <x v="535"/>
    <x v="4919"/>
  </r>
  <r>
    <x v="2"/>
    <n v="2175"/>
    <x v="1744"/>
    <x v="1"/>
    <s v="CM"/>
    <s v=""/>
    <x v="11"/>
    <x v="52"/>
    <x v="25"/>
    <m/>
    <x v="24"/>
    <m/>
    <x v="3"/>
    <x v="0"/>
    <x v="553"/>
    <d v="2013-11-03T00:00:00"/>
    <x v="0"/>
    <x v="0"/>
    <m/>
    <s v="Sessão Especial 5"/>
    <x v="0"/>
    <x v="0"/>
    <m/>
    <x v="0"/>
    <x v="2"/>
    <x v="1761"/>
    <x v="3"/>
    <x v="0"/>
    <x v="1"/>
    <x v="553"/>
    <x v="4920"/>
  </r>
  <r>
    <x v="2"/>
    <n v="306"/>
    <x v="217"/>
    <x v="0"/>
    <s v="CM"/>
    <s v="N"/>
    <x v="185"/>
    <x v="3"/>
    <x v="868"/>
    <m/>
    <x v="24"/>
    <m/>
    <x v="3"/>
    <x v="0"/>
    <x v="565"/>
    <m/>
    <x v="1"/>
    <x v="0"/>
    <m/>
    <m/>
    <x v="466"/>
    <x v="2"/>
    <m/>
    <x v="1"/>
    <x v="0"/>
    <x v="219"/>
    <x v="3"/>
    <x v="571"/>
    <x v="1"/>
    <x v="565"/>
    <x v="4921"/>
  </r>
  <r>
    <x v="2"/>
    <n v="306"/>
    <x v="217"/>
    <x v="0"/>
    <s v="CM"/>
    <s v="N"/>
    <x v="185"/>
    <x v="3"/>
    <x v="857"/>
    <m/>
    <x v="419"/>
    <m/>
    <x v="34"/>
    <x v="0"/>
    <x v="554"/>
    <d v="2013-08-25T00:00:00"/>
    <x v="16"/>
    <x v="1"/>
    <s v="Courts métrages 1"/>
    <m/>
    <x v="0"/>
    <x v="0"/>
    <m/>
    <x v="0"/>
    <x v="0"/>
    <x v="219"/>
    <x v="34"/>
    <x v="0"/>
    <x v="0"/>
    <x v="554"/>
    <x v="4922"/>
  </r>
  <r>
    <x v="2"/>
    <n v="306"/>
    <x v="217"/>
    <x v="0"/>
    <s v="CM"/>
    <s v="N"/>
    <x v="185"/>
    <x v="3"/>
    <x v="951"/>
    <m/>
    <x v="11"/>
    <m/>
    <x v="3"/>
    <x v="0"/>
    <x v="568"/>
    <d v="2013-10-12T00:00:00"/>
    <x v="14"/>
    <x v="1"/>
    <s v="Ficção"/>
    <m/>
    <x v="467"/>
    <x v="0"/>
    <m/>
    <x v="1"/>
    <x v="0"/>
    <x v="219"/>
    <x v="3"/>
    <x v="572"/>
    <x v="1"/>
    <x v="568"/>
    <x v="4923"/>
  </r>
  <r>
    <x v="2"/>
    <n v="1398"/>
    <x v="1052"/>
    <x v="1"/>
    <s v="LM"/>
    <s v=""/>
    <x v="182"/>
    <x v="41"/>
    <x v="952"/>
    <m/>
    <x v="135"/>
    <m/>
    <x v="2"/>
    <x v="0"/>
    <x v="646"/>
    <m/>
    <x v="6"/>
    <x v="0"/>
    <m/>
    <m/>
    <x v="468"/>
    <x v="2"/>
    <m/>
    <x v="1"/>
    <x v="1"/>
    <x v="1056"/>
    <x v="2"/>
    <x v="573"/>
    <x v="0"/>
    <x v="646"/>
    <x v="4924"/>
  </r>
  <r>
    <x v="2"/>
    <n v="1398"/>
    <x v="1052"/>
    <x v="1"/>
    <s v="LM"/>
    <s v=""/>
    <x v="182"/>
    <x v="41"/>
    <x v="669"/>
    <m/>
    <x v="190"/>
    <m/>
    <x v="0"/>
    <x v="0"/>
    <x v="538"/>
    <d v="2013-06-14T00:00:00"/>
    <x v="7"/>
    <x v="0"/>
    <m/>
    <s v="Novos Olhares"/>
    <x v="469"/>
    <x v="0"/>
    <m/>
    <x v="1"/>
    <x v="1"/>
    <x v="1056"/>
    <x v="0"/>
    <x v="574"/>
    <x v="0"/>
    <x v="538"/>
    <x v="4925"/>
  </r>
  <r>
    <x v="2"/>
    <n v="1398"/>
    <x v="1052"/>
    <x v="1"/>
    <s v="LM"/>
    <s v=""/>
    <x v="182"/>
    <x v="41"/>
    <x v="129"/>
    <m/>
    <x v="12"/>
    <m/>
    <x v="2"/>
    <x v="0"/>
    <x v="539"/>
    <d v="2013-07-08T00:00:00"/>
    <x v="8"/>
    <x v="0"/>
    <m/>
    <s v="Séances Spéciales: Doc Alliance"/>
    <x v="0"/>
    <x v="0"/>
    <m/>
    <x v="0"/>
    <x v="1"/>
    <x v="1056"/>
    <x v="2"/>
    <x v="0"/>
    <x v="0"/>
    <x v="539"/>
    <x v="4926"/>
  </r>
  <r>
    <x v="2"/>
    <n v="1398"/>
    <x v="1052"/>
    <x v="1"/>
    <s v="LM"/>
    <s v=""/>
    <x v="182"/>
    <x v="41"/>
    <x v="848"/>
    <m/>
    <x v="165"/>
    <m/>
    <x v="4"/>
    <x v="0"/>
    <x v="540"/>
    <d v="2013-09-01T00:00:00"/>
    <x v="20"/>
    <x v="0"/>
    <m/>
    <m/>
    <x v="0"/>
    <x v="1"/>
    <m/>
    <x v="0"/>
    <x v="1"/>
    <x v="1056"/>
    <x v="4"/>
    <x v="0"/>
    <x v="0"/>
    <x v="540"/>
    <x v="4927"/>
  </r>
  <r>
    <x v="2"/>
    <n v="1398"/>
    <x v="1052"/>
    <x v="1"/>
    <s v="LM"/>
    <s v=""/>
    <x v="182"/>
    <x v="41"/>
    <x v="157"/>
    <m/>
    <x v="120"/>
    <m/>
    <x v="1"/>
    <x v="0"/>
    <x v="647"/>
    <d v="2013-10-25T00:00:00"/>
    <x v="14"/>
    <x v="1"/>
    <s v="Documentales Transfronterizos"/>
    <m/>
    <x v="470"/>
    <x v="0"/>
    <m/>
    <x v="1"/>
    <x v="1"/>
    <x v="1056"/>
    <x v="1"/>
    <x v="575"/>
    <x v="0"/>
    <x v="647"/>
    <x v="4928"/>
  </r>
  <r>
    <x v="2"/>
    <n v="1398"/>
    <x v="1052"/>
    <x v="1"/>
    <s v="LM"/>
    <s v=""/>
    <x v="182"/>
    <x v="41"/>
    <x v="837"/>
    <m/>
    <x v="414"/>
    <m/>
    <x v="18"/>
    <x v="0"/>
    <x v="518"/>
    <d v="2013-10-23T00:00:00"/>
    <x v="14"/>
    <x v="1"/>
    <s v="International Competition"/>
    <m/>
    <x v="0"/>
    <x v="0"/>
    <m/>
    <x v="0"/>
    <x v="1"/>
    <x v="1056"/>
    <x v="18"/>
    <x v="0"/>
    <x v="0"/>
    <x v="518"/>
    <x v="4929"/>
  </r>
  <r>
    <x v="2"/>
    <n v="1398"/>
    <x v="1052"/>
    <x v="1"/>
    <s v="LM"/>
    <s v=""/>
    <x v="182"/>
    <x v="41"/>
    <x v="351"/>
    <m/>
    <x v="236"/>
    <m/>
    <x v="5"/>
    <x v="0"/>
    <x v="648"/>
    <d v="2013-11-03T00:00:00"/>
    <x v="0"/>
    <x v="0"/>
    <m/>
    <s v="Doc. Alliance Selection"/>
    <x v="0"/>
    <x v="0"/>
    <m/>
    <x v="0"/>
    <x v="1"/>
    <x v="1056"/>
    <x v="5"/>
    <x v="0"/>
    <x v="0"/>
    <x v="648"/>
    <x v="4930"/>
  </r>
  <r>
    <x v="2"/>
    <n v="1398"/>
    <x v="1052"/>
    <x v="1"/>
    <s v="LM"/>
    <s v=""/>
    <x v="182"/>
    <x v="41"/>
    <x v="150"/>
    <m/>
    <x v="115"/>
    <m/>
    <x v="36"/>
    <x v="0"/>
    <x v="574"/>
    <d v="2013-11-17T00:00:00"/>
    <x v="13"/>
    <x v="0"/>
    <m/>
    <s v="Top Dox"/>
    <x v="0"/>
    <x v="0"/>
    <m/>
    <x v="0"/>
    <x v="1"/>
    <x v="1056"/>
    <x v="36"/>
    <x v="0"/>
    <x v="0"/>
    <x v="574"/>
    <x v="4931"/>
  </r>
  <r>
    <x v="2"/>
    <n v="1398"/>
    <x v="1052"/>
    <x v="1"/>
    <s v="LM"/>
    <s v=""/>
    <x v="182"/>
    <x v="41"/>
    <x v="909"/>
    <m/>
    <x v="246"/>
    <m/>
    <x v="24"/>
    <x v="0"/>
    <x v="498"/>
    <d v="2013-11-18T00:00:00"/>
    <x v="13"/>
    <x v="1"/>
    <s v="Extra Muros: in Competition"/>
    <m/>
    <x v="0"/>
    <x v="0"/>
    <m/>
    <x v="0"/>
    <x v="1"/>
    <x v="1056"/>
    <x v="24"/>
    <x v="0"/>
    <x v="0"/>
    <x v="498"/>
    <x v="4932"/>
  </r>
  <r>
    <x v="2"/>
    <n v="1398"/>
    <x v="1052"/>
    <x v="1"/>
    <s v="LM"/>
    <s v=""/>
    <x v="182"/>
    <x v="41"/>
    <x v="860"/>
    <m/>
    <x v="6"/>
    <m/>
    <x v="4"/>
    <x v="0"/>
    <x v="467"/>
    <d v="2013-11-24T00:00:00"/>
    <x v="13"/>
    <x v="0"/>
    <m/>
    <s v="Portugal Alterado: Las últimas películas"/>
    <x v="0"/>
    <x v="0"/>
    <m/>
    <x v="0"/>
    <x v="1"/>
    <x v="1056"/>
    <x v="4"/>
    <x v="0"/>
    <x v="0"/>
    <x v="467"/>
    <x v="4933"/>
  </r>
  <r>
    <x v="2"/>
    <n v="1398"/>
    <x v="1052"/>
    <x v="1"/>
    <s v="LM"/>
    <s v=""/>
    <x v="182"/>
    <x v="41"/>
    <x v="905"/>
    <m/>
    <x v="61"/>
    <m/>
    <x v="2"/>
    <x v="0"/>
    <x v="509"/>
    <d v="2013-12-01T00:00:00"/>
    <x v="11"/>
    <x v="0"/>
    <m/>
    <s v="Ida e Volta: Hommage au Portugal - Carte Blanche au festival Doclisboa"/>
    <x v="0"/>
    <x v="0"/>
    <m/>
    <x v="0"/>
    <x v="1"/>
    <x v="1056"/>
    <x v="2"/>
    <x v="0"/>
    <x v="0"/>
    <x v="509"/>
    <x v="4934"/>
  </r>
  <r>
    <x v="2"/>
    <n v="1573"/>
    <x v="1053"/>
    <x v="2"/>
    <s v="CM"/>
    <s v="N"/>
    <x v="92"/>
    <x v="41"/>
    <x v="26"/>
    <m/>
    <x v="24"/>
    <m/>
    <x v="3"/>
    <x v="0"/>
    <x v="571"/>
    <d v="2013-03-17T00:00:00"/>
    <x v="2"/>
    <x v="0"/>
    <m/>
    <s v="Monstrinha - 3 aos 6"/>
    <x v="0"/>
    <x v="0"/>
    <m/>
    <x v="0"/>
    <x v="4"/>
    <x v="1057"/>
    <x v="3"/>
    <x v="0"/>
    <x v="1"/>
    <x v="571"/>
    <x v="4935"/>
  </r>
  <r>
    <x v="2"/>
    <n v="1837"/>
    <x v="1745"/>
    <x v="1"/>
    <s v="CM"/>
    <s v="N"/>
    <x v="1140"/>
    <x v="56"/>
    <x v="906"/>
    <m/>
    <x v="348"/>
    <m/>
    <x v="3"/>
    <x v="0"/>
    <x v="592"/>
    <d v="2013-06-23T00:00:00"/>
    <x v="7"/>
    <x v="0"/>
    <m/>
    <m/>
    <x v="0"/>
    <x v="0"/>
    <s v="Versão de 2009, sonorizada com música de Paula Praça e texto do escritor Valter Hugo Mãe"/>
    <x v="0"/>
    <x v="2"/>
    <x v="1762"/>
    <x v="3"/>
    <x v="0"/>
    <x v="1"/>
    <x v="592"/>
    <x v="4936"/>
  </r>
  <r>
    <x v="2"/>
    <n v="2088"/>
    <x v="1746"/>
    <x v="0"/>
    <s v="CM"/>
    <s v="N"/>
    <x v="1141"/>
    <x v="52"/>
    <x v="182"/>
    <m/>
    <x v="17"/>
    <m/>
    <x v="2"/>
    <x v="0"/>
    <x v="649"/>
    <d v="2013-03-31T00:00:00"/>
    <x v="2"/>
    <x v="1"/>
    <s v="Compétition Internationale Courts Métrages"/>
    <m/>
    <x v="0"/>
    <x v="0"/>
    <m/>
    <x v="0"/>
    <x v="0"/>
    <x v="1763"/>
    <x v="2"/>
    <x v="0"/>
    <x v="0"/>
    <x v="649"/>
    <x v="4937"/>
  </r>
  <r>
    <x v="2"/>
    <n v="2088"/>
    <x v="1746"/>
    <x v="0"/>
    <s v="CM"/>
    <s v="N"/>
    <x v="1141"/>
    <x v="52"/>
    <x v="146"/>
    <m/>
    <x v="24"/>
    <m/>
    <x v="3"/>
    <x v="0"/>
    <x v="537"/>
    <d v="2013-04-28T00:00:00"/>
    <x v="5"/>
    <x v="0"/>
    <m/>
    <s v="Observatório"/>
    <x v="0"/>
    <x v="0"/>
    <m/>
    <x v="0"/>
    <x v="0"/>
    <x v="1763"/>
    <x v="3"/>
    <x v="0"/>
    <x v="1"/>
    <x v="537"/>
    <x v="4938"/>
  </r>
  <r>
    <x v="2"/>
    <n v="2088"/>
    <x v="1746"/>
    <x v="0"/>
    <s v="CM"/>
    <s v="N"/>
    <x v="1141"/>
    <x v="52"/>
    <x v="560"/>
    <m/>
    <x v="209"/>
    <m/>
    <x v="51"/>
    <x v="0"/>
    <x v="576"/>
    <d v="2013-12-15T00:00:00"/>
    <x v="12"/>
    <x v="0"/>
    <m/>
    <s v="The Portuguese Cinematic Miracle"/>
    <x v="0"/>
    <x v="0"/>
    <m/>
    <x v="0"/>
    <x v="0"/>
    <x v="1763"/>
    <x v="51"/>
    <x v="0"/>
    <x v="0"/>
    <x v="576"/>
    <x v="4939"/>
  </r>
  <r>
    <x v="2"/>
    <n v="1526"/>
    <x v="1056"/>
    <x v="0"/>
    <s v="LM"/>
    <s v="N"/>
    <x v="711"/>
    <x v="41"/>
    <x v="90"/>
    <m/>
    <x v="69"/>
    <m/>
    <x v="8"/>
    <x v="0"/>
    <x v="602"/>
    <d v="2013-02-03T00:00:00"/>
    <x v="18"/>
    <x v="0"/>
    <m/>
    <s v="Spectrum"/>
    <x v="0"/>
    <x v="0"/>
    <m/>
    <x v="0"/>
    <x v="5"/>
    <x v="1060"/>
    <x v="8"/>
    <x v="0"/>
    <x v="0"/>
    <x v="602"/>
    <x v="4940"/>
  </r>
  <r>
    <x v="2"/>
    <n v="1526"/>
    <x v="1056"/>
    <x v="0"/>
    <s v="LM"/>
    <s v="N"/>
    <x v="711"/>
    <x v="41"/>
    <x v="953"/>
    <m/>
    <x v="436"/>
    <m/>
    <x v="60"/>
    <x v="0"/>
    <x v="650"/>
    <d v="2013-03-09T00:00:00"/>
    <x v="2"/>
    <x v="0"/>
    <m/>
    <s v="Galas Premier"/>
    <x v="0"/>
    <x v="0"/>
    <m/>
    <x v="0"/>
    <x v="5"/>
    <x v="1060"/>
    <x v="60"/>
    <x v="0"/>
    <x v="0"/>
    <x v="650"/>
    <x v="4941"/>
  </r>
  <r>
    <x v="2"/>
    <n v="1526"/>
    <x v="1056"/>
    <x v="0"/>
    <s v="LM"/>
    <s v="N"/>
    <x v="711"/>
    <x v="41"/>
    <x v="269"/>
    <m/>
    <x v="188"/>
    <m/>
    <x v="55"/>
    <x v="0"/>
    <x v="561"/>
    <d v="2013-04-06T00:00:00"/>
    <x v="3"/>
    <x v="0"/>
    <m/>
    <s v="Panorama: Largometrajes Internacionales"/>
    <x v="0"/>
    <x v="0"/>
    <m/>
    <x v="0"/>
    <x v="5"/>
    <x v="1060"/>
    <x v="55"/>
    <x v="0"/>
    <x v="0"/>
    <x v="561"/>
    <x v="4942"/>
  </r>
  <r>
    <x v="2"/>
    <n v="1526"/>
    <x v="1056"/>
    <x v="0"/>
    <s v="LM"/>
    <s v="N"/>
    <x v="711"/>
    <x v="41"/>
    <x v="888"/>
    <m/>
    <x v="103"/>
    <m/>
    <x v="31"/>
    <x v="0"/>
    <x v="589"/>
    <d v="2013-04-14T00:00:00"/>
    <x v="3"/>
    <x v="0"/>
    <m/>
    <s v="From the World Of Film Festivals"/>
    <x v="0"/>
    <x v="0"/>
    <m/>
    <x v="0"/>
    <x v="5"/>
    <x v="1060"/>
    <x v="31"/>
    <x v="0"/>
    <x v="0"/>
    <x v="589"/>
    <x v="4943"/>
  </r>
  <r>
    <x v="2"/>
    <n v="1526"/>
    <x v="1056"/>
    <x v="0"/>
    <s v="LM"/>
    <s v="N"/>
    <x v="711"/>
    <x v="41"/>
    <x v="522"/>
    <m/>
    <x v="165"/>
    <m/>
    <x v="4"/>
    <x v="0"/>
    <x v="590"/>
    <d v="2013-04-21T00:00:00"/>
    <x v="5"/>
    <x v="0"/>
    <m/>
    <s v="Panorama"/>
    <x v="0"/>
    <x v="0"/>
    <m/>
    <x v="0"/>
    <x v="5"/>
    <x v="1060"/>
    <x v="4"/>
    <x v="0"/>
    <x v="0"/>
    <x v="590"/>
    <x v="4944"/>
  </r>
  <r>
    <x v="2"/>
    <n v="1526"/>
    <x v="1056"/>
    <x v="0"/>
    <s v="LM"/>
    <s v="N"/>
    <x v="711"/>
    <x v="41"/>
    <x v="91"/>
    <m/>
    <x v="70"/>
    <m/>
    <x v="18"/>
    <x v="0"/>
    <x v="612"/>
    <d v="2013-05-03T00:00:00"/>
    <x v="4"/>
    <x v="0"/>
    <m/>
    <s v="World Cinemascape"/>
    <x v="0"/>
    <x v="0"/>
    <m/>
    <x v="0"/>
    <x v="5"/>
    <x v="1060"/>
    <x v="18"/>
    <x v="0"/>
    <x v="0"/>
    <x v="612"/>
    <x v="4945"/>
  </r>
  <r>
    <x v="2"/>
    <n v="1526"/>
    <x v="1056"/>
    <x v="0"/>
    <s v="LM"/>
    <s v="N"/>
    <x v="711"/>
    <x v="41"/>
    <x v="498"/>
    <m/>
    <x v="303"/>
    <m/>
    <x v="17"/>
    <x v="0"/>
    <x v="592"/>
    <d v="2013-06-30T00:00:00"/>
    <x v="7"/>
    <x v="0"/>
    <m/>
    <s v="Director's Showcase"/>
    <x v="0"/>
    <x v="0"/>
    <m/>
    <x v="0"/>
    <x v="5"/>
    <x v="1060"/>
    <x v="17"/>
    <x v="0"/>
    <x v="0"/>
    <x v="592"/>
    <x v="4946"/>
  </r>
  <r>
    <x v="2"/>
    <n v="1526"/>
    <x v="1056"/>
    <x v="0"/>
    <s v="LM"/>
    <s v="N"/>
    <x v="711"/>
    <x v="41"/>
    <x v="835"/>
    <m/>
    <x v="243"/>
    <m/>
    <x v="64"/>
    <x v="0"/>
    <x v="515"/>
    <d v="2013-06-29T00:00:00"/>
    <x v="7"/>
    <x v="0"/>
    <m/>
    <s v="Portugal Euphoria"/>
    <x v="0"/>
    <x v="0"/>
    <m/>
    <x v="0"/>
    <x v="5"/>
    <x v="1060"/>
    <x v="64"/>
    <x v="0"/>
    <x v="0"/>
    <x v="515"/>
    <x v="4947"/>
  </r>
  <r>
    <x v="2"/>
    <n v="1526"/>
    <x v="1056"/>
    <x v="0"/>
    <s v="LM"/>
    <s v="N"/>
    <x v="711"/>
    <x v="41"/>
    <x v="846"/>
    <m/>
    <x v="417"/>
    <m/>
    <x v="11"/>
    <x v="0"/>
    <x v="535"/>
    <d v="2013-08-03T00:00:00"/>
    <x v="25"/>
    <x v="0"/>
    <m/>
    <s v="Focus Portugal: Pedro Costa"/>
    <x v="0"/>
    <x v="0"/>
    <m/>
    <x v="0"/>
    <x v="5"/>
    <x v="1060"/>
    <x v="11"/>
    <x v="0"/>
    <x v="0"/>
    <x v="535"/>
    <x v="4948"/>
  </r>
  <r>
    <x v="2"/>
    <n v="1526"/>
    <x v="1056"/>
    <x v="0"/>
    <s v="LM"/>
    <s v="N"/>
    <x v="711"/>
    <x v="41"/>
    <x v="179"/>
    <m/>
    <x v="133"/>
    <m/>
    <x v="0"/>
    <x v="0"/>
    <x v="501"/>
    <d v="2013-10-31T00:00:00"/>
    <x v="14"/>
    <x v="0"/>
    <m/>
    <s v="Apresentação Especial"/>
    <x v="0"/>
    <x v="0"/>
    <m/>
    <x v="0"/>
    <x v="5"/>
    <x v="1060"/>
    <x v="0"/>
    <x v="0"/>
    <x v="0"/>
    <x v="501"/>
    <x v="4949"/>
  </r>
  <r>
    <x v="2"/>
    <n v="1526"/>
    <x v="1056"/>
    <x v="0"/>
    <s v="LM"/>
    <s v="N"/>
    <x v="711"/>
    <x v="41"/>
    <x v="286"/>
    <m/>
    <x v="197"/>
    <m/>
    <x v="1"/>
    <x v="0"/>
    <x v="631"/>
    <d v="2013-10-26T00:00:00"/>
    <x v="14"/>
    <x v="2"/>
    <m/>
    <s v="Selección Ofical - Fuera de Concurso"/>
    <x v="0"/>
    <x v="0"/>
    <m/>
    <x v="0"/>
    <x v="5"/>
    <x v="1060"/>
    <x v="1"/>
    <x v="0"/>
    <x v="0"/>
    <x v="631"/>
    <x v="4950"/>
  </r>
  <r>
    <x v="2"/>
    <n v="1526"/>
    <x v="1056"/>
    <x v="0"/>
    <s v="LM"/>
    <s v="N"/>
    <x v="711"/>
    <x v="41"/>
    <x v="149"/>
    <m/>
    <x v="114"/>
    <m/>
    <x v="35"/>
    <x v="0"/>
    <x v="553"/>
    <d v="2013-11-06T00:00:00"/>
    <x v="0"/>
    <x v="0"/>
    <m/>
    <s v="Spielfilme"/>
    <x v="0"/>
    <x v="0"/>
    <m/>
    <x v="0"/>
    <x v="5"/>
    <x v="1060"/>
    <x v="35"/>
    <x v="0"/>
    <x v="0"/>
    <x v="553"/>
    <x v="4951"/>
  </r>
  <r>
    <x v="2"/>
    <n v="1526"/>
    <x v="1056"/>
    <x v="0"/>
    <s v="LM"/>
    <s v="N"/>
    <x v="711"/>
    <x v="41"/>
    <x v="492"/>
    <m/>
    <x v="128"/>
    <m/>
    <x v="1"/>
    <x v="0"/>
    <x v="519"/>
    <d v="2013-11-16T00:00:00"/>
    <x v="13"/>
    <x v="0"/>
    <m/>
    <s v="Focus Europa: Portugal"/>
    <x v="0"/>
    <x v="0"/>
    <m/>
    <x v="0"/>
    <x v="5"/>
    <x v="1060"/>
    <x v="1"/>
    <x v="0"/>
    <x v="0"/>
    <x v="519"/>
    <x v="4952"/>
  </r>
  <r>
    <x v="2"/>
    <n v="1526"/>
    <x v="1056"/>
    <x v="0"/>
    <s v="LM"/>
    <s v="N"/>
    <x v="711"/>
    <x v="41"/>
    <x v="871"/>
    <m/>
    <x v="391"/>
    <m/>
    <x v="1"/>
    <x v="0"/>
    <x v="498"/>
    <d v="2013-11-19T00:00:00"/>
    <x v="13"/>
    <x v="0"/>
    <m/>
    <s v="Sección Oficial"/>
    <x v="0"/>
    <x v="1"/>
    <m/>
    <x v="0"/>
    <x v="5"/>
    <x v="1060"/>
    <x v="1"/>
    <x v="0"/>
    <x v="0"/>
    <x v="498"/>
    <x v="4953"/>
  </r>
  <r>
    <x v="2"/>
    <n v="1526"/>
    <x v="1056"/>
    <x v="0"/>
    <s v="LM"/>
    <s v="N"/>
    <x v="711"/>
    <x v="41"/>
    <x v="890"/>
    <m/>
    <x v="319"/>
    <m/>
    <x v="1"/>
    <x v="0"/>
    <x v="594"/>
    <d v="2013-12-13T00:00:00"/>
    <x v="11"/>
    <x v="0"/>
    <m/>
    <m/>
    <x v="0"/>
    <x v="1"/>
    <s v="No CGAI"/>
    <x v="0"/>
    <x v="5"/>
    <x v="1060"/>
    <x v="1"/>
    <x v="0"/>
    <x v="0"/>
    <x v="594"/>
    <x v="4954"/>
  </r>
  <r>
    <x v="2"/>
    <n v="1526"/>
    <x v="1056"/>
    <x v="0"/>
    <s v="LM"/>
    <s v="N"/>
    <x v="711"/>
    <x v="41"/>
    <x v="838"/>
    <m/>
    <x v="415"/>
    <m/>
    <x v="48"/>
    <x v="0"/>
    <x v="520"/>
    <d v="2013-12-13T00:00:00"/>
    <x v="12"/>
    <x v="0"/>
    <m/>
    <s v="World Cinema"/>
    <x v="0"/>
    <x v="0"/>
    <m/>
    <x v="0"/>
    <x v="5"/>
    <x v="1060"/>
    <x v="48"/>
    <x v="0"/>
    <x v="0"/>
    <x v="520"/>
    <x v="4955"/>
  </r>
  <r>
    <x v="2"/>
    <n v="309"/>
    <x v="219"/>
    <x v="0"/>
    <s v="CM"/>
    <s v="N"/>
    <x v="120"/>
    <x v="3"/>
    <x v="885"/>
    <m/>
    <x v="419"/>
    <m/>
    <x v="34"/>
    <x v="0"/>
    <x v="586"/>
    <d v="2013-01-27T00:00:00"/>
    <x v="15"/>
    <x v="0"/>
    <m/>
    <s v="Tous les garçons s'appellent João"/>
    <x v="0"/>
    <x v="0"/>
    <m/>
    <x v="0"/>
    <x v="0"/>
    <x v="221"/>
    <x v="34"/>
    <x v="0"/>
    <x v="0"/>
    <x v="586"/>
    <x v="4956"/>
  </r>
  <r>
    <x v="2"/>
    <n v="309"/>
    <x v="219"/>
    <x v="0"/>
    <s v="CM"/>
    <s v="N"/>
    <x v="120"/>
    <x v="3"/>
    <x v="162"/>
    <m/>
    <x v="124"/>
    <m/>
    <x v="3"/>
    <x v="0"/>
    <x v="616"/>
    <m/>
    <x v="1"/>
    <x v="0"/>
    <m/>
    <m/>
    <x v="0"/>
    <x v="1"/>
    <s v="O Cinema de João Salaviza"/>
    <x v="0"/>
    <x v="0"/>
    <x v="221"/>
    <x v="3"/>
    <x v="0"/>
    <x v="1"/>
    <x v="616"/>
    <x v="4957"/>
  </r>
  <r>
    <x v="2"/>
    <n v="309"/>
    <x v="219"/>
    <x v="0"/>
    <s v="CM"/>
    <s v="N"/>
    <x v="120"/>
    <x v="3"/>
    <x v="269"/>
    <m/>
    <x v="188"/>
    <m/>
    <x v="55"/>
    <x v="0"/>
    <x v="561"/>
    <d v="2013-04-06T00:00:00"/>
    <x v="3"/>
    <x v="0"/>
    <m/>
    <s v="Panorama: Cortometrajes Internacionales"/>
    <x v="0"/>
    <x v="0"/>
    <m/>
    <x v="0"/>
    <x v="0"/>
    <x v="221"/>
    <x v="55"/>
    <x v="0"/>
    <x v="0"/>
    <x v="561"/>
    <x v="4958"/>
  </r>
  <r>
    <x v="2"/>
    <n v="309"/>
    <x v="219"/>
    <x v="0"/>
    <s v="CM"/>
    <s v="N"/>
    <x v="120"/>
    <x v="3"/>
    <x v="921"/>
    <m/>
    <x v="24"/>
    <m/>
    <x v="3"/>
    <x v="0"/>
    <x v="617"/>
    <m/>
    <x v="2"/>
    <x v="0"/>
    <m/>
    <m/>
    <x v="0"/>
    <x v="1"/>
    <s v="ART e Cineclube de Telheiras na Bibioteca Municipal Orlando Ribeiro"/>
    <x v="0"/>
    <x v="0"/>
    <x v="221"/>
    <x v="3"/>
    <x v="0"/>
    <x v="1"/>
    <x v="617"/>
    <x v="4959"/>
  </r>
  <r>
    <x v="2"/>
    <n v="309"/>
    <x v="219"/>
    <x v="0"/>
    <s v="CM"/>
    <s v="N"/>
    <x v="120"/>
    <x v="3"/>
    <x v="432"/>
    <m/>
    <x v="39"/>
    <m/>
    <x v="3"/>
    <x v="0"/>
    <x v="582"/>
    <d v="2013-04-20T00:00:00"/>
    <x v="5"/>
    <x v="1"/>
    <s v="Competição Nacional - Sessão 3"/>
    <m/>
    <x v="471"/>
    <x v="0"/>
    <m/>
    <x v="1"/>
    <x v="0"/>
    <x v="221"/>
    <x v="3"/>
    <x v="576"/>
    <x v="1"/>
    <x v="582"/>
    <x v="4960"/>
  </r>
  <r>
    <x v="2"/>
    <n v="309"/>
    <x v="219"/>
    <x v="0"/>
    <s v="CM"/>
    <s v="N"/>
    <x v="120"/>
    <x v="3"/>
    <x v="846"/>
    <m/>
    <x v="417"/>
    <m/>
    <x v="11"/>
    <x v="0"/>
    <x v="535"/>
    <d v="2013-08-03T00:00:00"/>
    <x v="25"/>
    <x v="0"/>
    <m/>
    <s v="Focus Portugal: Contemporary Cinema"/>
    <x v="0"/>
    <x v="0"/>
    <m/>
    <x v="0"/>
    <x v="0"/>
    <x v="221"/>
    <x v="11"/>
    <x v="0"/>
    <x v="0"/>
    <x v="535"/>
    <x v="4961"/>
  </r>
  <r>
    <x v="2"/>
    <n v="309"/>
    <x v="219"/>
    <x v="0"/>
    <s v="CM"/>
    <s v="N"/>
    <x v="120"/>
    <x v="3"/>
    <x v="848"/>
    <m/>
    <x v="165"/>
    <m/>
    <x v="4"/>
    <x v="0"/>
    <x v="540"/>
    <d v="2013-09-01T00:00:00"/>
    <x v="20"/>
    <x v="0"/>
    <m/>
    <m/>
    <x v="0"/>
    <x v="1"/>
    <m/>
    <x v="0"/>
    <x v="0"/>
    <x v="221"/>
    <x v="4"/>
    <x v="0"/>
    <x v="0"/>
    <x v="540"/>
    <x v="4962"/>
  </r>
  <r>
    <x v="2"/>
    <n v="309"/>
    <x v="219"/>
    <x v="0"/>
    <s v="CM"/>
    <s v="N"/>
    <x v="120"/>
    <x v="3"/>
    <x v="627"/>
    <m/>
    <x v="24"/>
    <m/>
    <x v="3"/>
    <x v="0"/>
    <x v="651"/>
    <m/>
    <x v="14"/>
    <x v="0"/>
    <m/>
    <m/>
    <x v="472"/>
    <x v="2"/>
    <m/>
    <x v="1"/>
    <x v="0"/>
    <x v="221"/>
    <x v="3"/>
    <x v="577"/>
    <x v="1"/>
    <x v="651"/>
    <x v="4963"/>
  </r>
  <r>
    <x v="2"/>
    <n v="309"/>
    <x v="219"/>
    <x v="0"/>
    <s v="CM"/>
    <s v="N"/>
    <x v="120"/>
    <x v="3"/>
    <x v="882"/>
    <m/>
    <x v="14"/>
    <m/>
    <x v="3"/>
    <x v="0"/>
    <x v="544"/>
    <d v="2013-11-03T00:00:00"/>
    <x v="13"/>
    <x v="0"/>
    <m/>
    <m/>
    <x v="0"/>
    <x v="3"/>
    <m/>
    <x v="0"/>
    <x v="0"/>
    <x v="221"/>
    <x v="3"/>
    <x v="0"/>
    <x v="1"/>
    <x v="544"/>
    <x v="4964"/>
  </r>
  <r>
    <x v="2"/>
    <n v="309"/>
    <x v="219"/>
    <x v="0"/>
    <s v="CM"/>
    <s v="N"/>
    <x v="120"/>
    <x v="3"/>
    <x v="920"/>
    <m/>
    <x v="429"/>
    <m/>
    <x v="63"/>
    <x v="0"/>
    <x v="509"/>
    <d v="2013-11-30T00:00:00"/>
    <x v="13"/>
    <x v="0"/>
    <m/>
    <m/>
    <x v="0"/>
    <x v="0"/>
    <m/>
    <x v="0"/>
    <x v="0"/>
    <x v="221"/>
    <x v="63"/>
    <x v="0"/>
    <x v="0"/>
    <x v="509"/>
    <x v="4965"/>
  </r>
  <r>
    <x v="2"/>
    <n v="1951"/>
    <x v="1747"/>
    <x v="5"/>
    <s v="CM"/>
    <s v="N"/>
    <x v="1142"/>
    <x v="2"/>
    <x v="316"/>
    <m/>
    <x v="11"/>
    <m/>
    <x v="3"/>
    <x v="0"/>
    <x v="500"/>
    <d v="2013-08-31T00:00:00"/>
    <x v="16"/>
    <x v="1"/>
    <s v="Videoclip"/>
    <m/>
    <x v="473"/>
    <x v="0"/>
    <m/>
    <x v="1"/>
    <x v="15"/>
    <x v="1764"/>
    <x v="3"/>
    <x v="578"/>
    <x v="1"/>
    <x v="500"/>
    <x v="4966"/>
  </r>
  <r>
    <x v="2"/>
    <n v="1904"/>
    <x v="1748"/>
    <x v="1"/>
    <s v="CM"/>
    <s v="N"/>
    <x v="1143"/>
    <x v="41"/>
    <x v="146"/>
    <m/>
    <x v="24"/>
    <m/>
    <x v="3"/>
    <x v="0"/>
    <x v="537"/>
    <d v="2013-04-28T00:00:00"/>
    <x v="5"/>
    <x v="1"/>
    <s v="Novíssimos - Documentário"/>
    <m/>
    <x v="0"/>
    <x v="0"/>
    <m/>
    <x v="0"/>
    <x v="2"/>
    <x v="1765"/>
    <x v="3"/>
    <x v="0"/>
    <x v="1"/>
    <x v="537"/>
    <x v="4967"/>
  </r>
  <r>
    <x v="2"/>
    <n v="315"/>
    <x v="224"/>
    <x v="0"/>
    <s v="CM"/>
    <s v="S"/>
    <x v="106"/>
    <x v="18"/>
    <x v="895"/>
    <m/>
    <x v="425"/>
    <m/>
    <x v="0"/>
    <x v="0"/>
    <x v="597"/>
    <d v="2013-09-14T00:00:00"/>
    <x v="9"/>
    <x v="0"/>
    <m/>
    <s v="Mostra Portugal Contemporânei"/>
    <x v="0"/>
    <x v="0"/>
    <m/>
    <x v="0"/>
    <x v="0"/>
    <x v="226"/>
    <x v="0"/>
    <x v="0"/>
    <x v="0"/>
    <x v="597"/>
    <x v="4968"/>
  </r>
  <r>
    <x v="2"/>
    <n v="316"/>
    <x v="225"/>
    <x v="2"/>
    <s v="CM"/>
    <s v="N"/>
    <x v="191"/>
    <x v="2"/>
    <x v="621"/>
    <m/>
    <x v="212"/>
    <m/>
    <x v="9"/>
    <x v="0"/>
    <x v="609"/>
    <d v="2013-02-03T00:00:00"/>
    <x v="18"/>
    <x v="1"/>
    <s v="Short and Sweet"/>
    <m/>
    <x v="0"/>
    <x v="0"/>
    <m/>
    <x v="0"/>
    <x v="4"/>
    <x v="227"/>
    <x v="9"/>
    <x v="0"/>
    <x v="0"/>
    <x v="609"/>
    <x v="4969"/>
  </r>
  <r>
    <x v="2"/>
    <n v="1627"/>
    <x v="1749"/>
    <x v="0"/>
    <s v="CM"/>
    <s v="N"/>
    <x v="1144"/>
    <x v="41"/>
    <x v="884"/>
    <m/>
    <x v="24"/>
    <m/>
    <x v="3"/>
    <x v="0"/>
    <x v="584"/>
    <m/>
    <x v="15"/>
    <x v="1"/>
    <m/>
    <m/>
    <x v="0"/>
    <x v="1"/>
    <m/>
    <x v="0"/>
    <x v="0"/>
    <x v="1766"/>
    <x v="3"/>
    <x v="0"/>
    <x v="1"/>
    <x v="584"/>
    <x v="4970"/>
  </r>
  <r>
    <x v="2"/>
    <n v="1703"/>
    <x v="1750"/>
    <x v="0"/>
    <s v="CM"/>
    <s v="N"/>
    <x v="1145"/>
    <x v="41"/>
    <x v="62"/>
    <m/>
    <x v="23"/>
    <m/>
    <x v="3"/>
    <x v="0"/>
    <x v="503"/>
    <d v="2013-03-10T00:00:00"/>
    <x v="19"/>
    <x v="1"/>
    <s v="Prémio de Cinema Português - Escolas de Cinema"/>
    <m/>
    <x v="0"/>
    <x v="0"/>
    <s v="EPI/ETIC"/>
    <x v="0"/>
    <x v="0"/>
    <x v="1767"/>
    <x v="3"/>
    <x v="0"/>
    <x v="1"/>
    <x v="503"/>
    <x v="4971"/>
  </r>
  <r>
    <x v="2"/>
    <n v="2147"/>
    <x v="1751"/>
    <x v="2"/>
    <s v="CM"/>
    <s v="N"/>
    <x v="1146"/>
    <x v="21"/>
    <x v="220"/>
    <m/>
    <x v="154"/>
    <m/>
    <x v="0"/>
    <x v="0"/>
    <x v="566"/>
    <d v="2013-08-18T00:00:00"/>
    <x v="16"/>
    <x v="0"/>
    <m/>
    <s v="Papo Animado"/>
    <x v="0"/>
    <x v="0"/>
    <m/>
    <x v="0"/>
    <x v="4"/>
    <x v="1768"/>
    <x v="0"/>
    <x v="0"/>
    <x v="0"/>
    <x v="566"/>
    <x v="4972"/>
  </r>
  <r>
    <x v="2"/>
    <n v="2147"/>
    <x v="1751"/>
    <x v="2"/>
    <s v="CM"/>
    <s v="N"/>
    <x v="1146"/>
    <x v="21"/>
    <x v="880"/>
    <m/>
    <x v="298"/>
    <m/>
    <x v="15"/>
    <x v="0"/>
    <x v="553"/>
    <d v="2013-10-30T00:00:00"/>
    <x v="14"/>
    <x v="0"/>
    <m/>
    <s v="Regina Pessoa e Abi Feijó: la regina dell'animazione e il suo maestro - Su comissone"/>
    <x v="0"/>
    <x v="0"/>
    <m/>
    <x v="0"/>
    <x v="4"/>
    <x v="1768"/>
    <x v="15"/>
    <x v="0"/>
    <x v="0"/>
    <x v="553"/>
    <x v="4973"/>
  </r>
  <r>
    <x v="2"/>
    <n v="1731"/>
    <x v="1752"/>
    <x v="2"/>
    <s v="CM"/>
    <s v="N"/>
    <x v="100"/>
    <x v="41"/>
    <x v="26"/>
    <m/>
    <x v="24"/>
    <m/>
    <x v="3"/>
    <x v="0"/>
    <x v="571"/>
    <d v="2013-03-17T00:00:00"/>
    <x v="2"/>
    <x v="1"/>
    <s v="Competição de Curtíssimas"/>
    <m/>
    <x v="0"/>
    <x v="0"/>
    <s v="Spot TV"/>
    <x v="0"/>
    <x v="4"/>
    <x v="1769"/>
    <x v="3"/>
    <x v="0"/>
    <x v="1"/>
    <x v="571"/>
    <x v="4974"/>
  </r>
  <r>
    <x v="2"/>
    <n v="1888"/>
    <x v="1753"/>
    <x v="0"/>
    <s v="CM"/>
    <s v="S"/>
    <x v="1147"/>
    <x v="41"/>
    <x v="68"/>
    <m/>
    <x v="53"/>
    <m/>
    <x v="3"/>
    <x v="0"/>
    <x v="573"/>
    <d v="2013-07-14T00:00:00"/>
    <x v="8"/>
    <x v="1"/>
    <s v="Competição Nacional"/>
    <m/>
    <x v="0"/>
    <x v="0"/>
    <m/>
    <x v="0"/>
    <x v="0"/>
    <x v="1770"/>
    <x v="3"/>
    <x v="0"/>
    <x v="1"/>
    <x v="573"/>
    <x v="4975"/>
  </r>
  <r>
    <x v="2"/>
    <n v="1888"/>
    <x v="1753"/>
    <x v="0"/>
    <s v="CM"/>
    <s v="S"/>
    <x v="1147"/>
    <x v="41"/>
    <x v="353"/>
    <m/>
    <x v="237"/>
    <m/>
    <x v="17"/>
    <x v="0"/>
    <x v="543"/>
    <d v="2013-09-22T00:00:00"/>
    <x v="9"/>
    <x v="1"/>
    <s v="International 3: The Human Factor"/>
    <m/>
    <x v="0"/>
    <x v="0"/>
    <m/>
    <x v="0"/>
    <x v="0"/>
    <x v="1770"/>
    <x v="17"/>
    <x v="0"/>
    <x v="0"/>
    <x v="543"/>
    <x v="4976"/>
  </r>
  <r>
    <x v="2"/>
    <n v="1888"/>
    <x v="1753"/>
    <x v="0"/>
    <s v="CM"/>
    <s v="S"/>
    <x v="1147"/>
    <x v="41"/>
    <x v="954"/>
    <m/>
    <x v="437"/>
    <m/>
    <x v="9"/>
    <x v="0"/>
    <x v="568"/>
    <d v="2013-10-14T00:00:00"/>
    <x v="14"/>
    <x v="1"/>
    <s v="Golden Starfish Awards Short Film Competition"/>
    <m/>
    <x v="0"/>
    <x v="0"/>
    <m/>
    <x v="0"/>
    <x v="0"/>
    <x v="1770"/>
    <x v="9"/>
    <x v="0"/>
    <x v="0"/>
    <x v="568"/>
    <x v="4977"/>
  </r>
  <r>
    <x v="2"/>
    <n v="1888"/>
    <x v="1753"/>
    <x v="0"/>
    <s v="CM"/>
    <s v="S"/>
    <x v="1147"/>
    <x v="41"/>
    <x v="161"/>
    <m/>
    <x v="35"/>
    <m/>
    <x v="2"/>
    <x v="0"/>
    <x v="652"/>
    <d v="2013-11-02T00:00:00"/>
    <x v="0"/>
    <x v="0"/>
    <m/>
    <s v="Courts métrages Panorama"/>
    <x v="0"/>
    <x v="0"/>
    <m/>
    <x v="0"/>
    <x v="0"/>
    <x v="1770"/>
    <x v="2"/>
    <x v="0"/>
    <x v="0"/>
    <x v="652"/>
    <x v="4978"/>
  </r>
  <r>
    <x v="2"/>
    <n v="1888"/>
    <x v="1753"/>
    <x v="0"/>
    <s v="CM"/>
    <s v="S"/>
    <x v="1147"/>
    <x v="41"/>
    <x v="99"/>
    <m/>
    <x v="78"/>
    <m/>
    <x v="20"/>
    <x v="0"/>
    <x v="583"/>
    <d v="2013-11-17T00:00:00"/>
    <x v="13"/>
    <x v="1"/>
    <s v="World Shorts 1: World Shut your Mouth"/>
    <m/>
    <x v="0"/>
    <x v="0"/>
    <m/>
    <x v="0"/>
    <x v="0"/>
    <x v="1770"/>
    <x v="20"/>
    <x v="0"/>
    <x v="0"/>
    <x v="583"/>
    <x v="4979"/>
  </r>
  <r>
    <x v="2"/>
    <n v="1888"/>
    <x v="1753"/>
    <x v="0"/>
    <s v="CM"/>
    <s v="S"/>
    <x v="1147"/>
    <x v="41"/>
    <x v="955"/>
    <m/>
    <x v="438"/>
    <m/>
    <x v="58"/>
    <x v="0"/>
    <x v="653"/>
    <d v="2013-12-07T00:00:00"/>
    <x v="11"/>
    <x v="1"/>
    <s v="Europe in Shorts: Stranger Danger"/>
    <m/>
    <x v="0"/>
    <x v="0"/>
    <m/>
    <x v="0"/>
    <x v="0"/>
    <x v="1770"/>
    <x v="58"/>
    <x v="0"/>
    <x v="0"/>
    <x v="653"/>
    <x v="4980"/>
  </r>
  <r>
    <x v="2"/>
    <n v="319"/>
    <x v="228"/>
    <x v="0"/>
    <s v="LM"/>
    <s v="S"/>
    <x v="194"/>
    <x v="21"/>
    <x v="58"/>
    <m/>
    <x v="47"/>
    <m/>
    <x v="3"/>
    <x v="0"/>
    <x v="542"/>
    <d v="2013-09-08T00:00:00"/>
    <x v="9"/>
    <x v="0"/>
    <m/>
    <s v="Homenagem a Álvaro Cunhal"/>
    <x v="0"/>
    <x v="1"/>
    <m/>
    <x v="0"/>
    <x v="5"/>
    <x v="230"/>
    <x v="3"/>
    <x v="0"/>
    <x v="1"/>
    <x v="542"/>
    <x v="4981"/>
  </r>
  <r>
    <x v="2"/>
    <n v="1952"/>
    <x v="1754"/>
    <x v="5"/>
    <s v="CM"/>
    <s v="N"/>
    <x v="1148"/>
    <x v="52"/>
    <x v="316"/>
    <m/>
    <x v="11"/>
    <m/>
    <x v="3"/>
    <x v="0"/>
    <x v="500"/>
    <d v="2013-08-31T00:00:00"/>
    <x v="16"/>
    <x v="1"/>
    <s v="Videoclip"/>
    <m/>
    <x v="0"/>
    <x v="0"/>
    <m/>
    <x v="0"/>
    <x v="15"/>
    <x v="1771"/>
    <x v="3"/>
    <x v="0"/>
    <x v="1"/>
    <x v="500"/>
    <x v="4982"/>
  </r>
  <r>
    <x v="2"/>
    <n v="1670"/>
    <x v="1755"/>
    <x v="1"/>
    <s v="CM"/>
    <s v="N"/>
    <x v="384"/>
    <x v="41"/>
    <x v="62"/>
    <m/>
    <x v="23"/>
    <m/>
    <x v="3"/>
    <x v="0"/>
    <x v="503"/>
    <d v="2013-03-10T00:00:00"/>
    <x v="19"/>
    <x v="1"/>
    <s v="Prémio de Cinema Português - Melhor Filme"/>
    <m/>
    <x v="0"/>
    <x v="0"/>
    <m/>
    <x v="0"/>
    <x v="2"/>
    <x v="1772"/>
    <x v="3"/>
    <x v="0"/>
    <x v="1"/>
    <x v="503"/>
    <x v="4983"/>
  </r>
  <r>
    <x v="2"/>
    <n v="1452"/>
    <x v="1063"/>
    <x v="1"/>
    <s v="CM"/>
    <s v="N"/>
    <x v="716"/>
    <x v="41"/>
    <x v="30"/>
    <m/>
    <x v="28"/>
    <m/>
    <x v="8"/>
    <x v="0"/>
    <x v="557"/>
    <d v="2013-03-17T00:00:00"/>
    <x v="2"/>
    <x v="1"/>
    <s v="European Competition"/>
    <m/>
    <x v="0"/>
    <x v="0"/>
    <m/>
    <x v="0"/>
    <x v="2"/>
    <x v="1067"/>
    <x v="8"/>
    <x v="0"/>
    <x v="0"/>
    <x v="557"/>
    <x v="4984"/>
  </r>
  <r>
    <x v="2"/>
    <n v="1452"/>
    <x v="1063"/>
    <x v="1"/>
    <s v="CM"/>
    <s v="N"/>
    <x v="716"/>
    <x v="41"/>
    <x v="519"/>
    <m/>
    <x v="24"/>
    <m/>
    <x v="3"/>
    <x v="0"/>
    <x v="504"/>
    <d v="2013-05-11T00:00:00"/>
    <x v="6"/>
    <x v="0"/>
    <m/>
    <m/>
    <x v="0"/>
    <x v="1"/>
    <m/>
    <x v="0"/>
    <x v="2"/>
    <x v="1067"/>
    <x v="3"/>
    <x v="0"/>
    <x v="1"/>
    <x v="504"/>
    <x v="4985"/>
  </r>
  <r>
    <x v="2"/>
    <n v="1452"/>
    <x v="1063"/>
    <x v="1"/>
    <s v="CM"/>
    <s v="N"/>
    <x v="716"/>
    <x v="41"/>
    <x v="726"/>
    <m/>
    <x v="208"/>
    <m/>
    <x v="1"/>
    <x v="0"/>
    <x v="654"/>
    <d v="2013-06-16T00:00:00"/>
    <x v="7"/>
    <x v="1"/>
    <s v="Concurso Cortometrje documental - Programa V"/>
    <m/>
    <x v="0"/>
    <x v="0"/>
    <m/>
    <x v="0"/>
    <x v="2"/>
    <x v="1067"/>
    <x v="1"/>
    <x v="0"/>
    <x v="0"/>
    <x v="654"/>
    <x v="4986"/>
  </r>
  <r>
    <x v="2"/>
    <n v="1452"/>
    <x v="1063"/>
    <x v="1"/>
    <s v="CM"/>
    <s v="N"/>
    <x v="716"/>
    <x v="41"/>
    <x v="905"/>
    <m/>
    <x v="61"/>
    <m/>
    <x v="2"/>
    <x v="0"/>
    <x v="509"/>
    <d v="2013-12-01T00:00:00"/>
    <x v="11"/>
    <x v="0"/>
    <m/>
    <s v="Ida e Volta: Hommage au Portugal - Carte Blanche au festival Doclisboa"/>
    <x v="0"/>
    <x v="0"/>
    <m/>
    <x v="0"/>
    <x v="2"/>
    <x v="1067"/>
    <x v="2"/>
    <x v="0"/>
    <x v="0"/>
    <x v="509"/>
    <x v="4987"/>
  </r>
  <r>
    <x v="2"/>
    <n v="1643"/>
    <x v="1756"/>
    <x v="1"/>
    <s v="CM"/>
    <s v="N"/>
    <x v="1149"/>
    <x v="12"/>
    <x v="865"/>
    <m/>
    <x v="419"/>
    <m/>
    <x v="34"/>
    <x v="0"/>
    <x v="563"/>
    <d v="2013-02-28T00:00:00"/>
    <x v="18"/>
    <x v="0"/>
    <m/>
    <m/>
    <x v="0"/>
    <x v="1"/>
    <s v="Cinemathèque Suisse"/>
    <x v="0"/>
    <x v="2"/>
    <x v="1773"/>
    <x v="34"/>
    <x v="0"/>
    <x v="0"/>
    <x v="563"/>
    <x v="4988"/>
  </r>
  <r>
    <x v="2"/>
    <n v="322"/>
    <x v="231"/>
    <x v="0"/>
    <s v="LM"/>
    <s v="S"/>
    <x v="40"/>
    <x v="3"/>
    <x v="158"/>
    <m/>
    <x v="121"/>
    <m/>
    <x v="3"/>
    <x v="0"/>
    <x v="568"/>
    <d v="2013-10-13T00:00:00"/>
    <x v="14"/>
    <x v="0"/>
    <m/>
    <s v="Focus: Teresa Villaverde"/>
    <x v="0"/>
    <x v="0"/>
    <m/>
    <x v="0"/>
    <x v="5"/>
    <x v="233"/>
    <x v="3"/>
    <x v="0"/>
    <x v="1"/>
    <x v="568"/>
    <x v="4989"/>
  </r>
  <r>
    <x v="2"/>
    <n v="323"/>
    <x v="1064"/>
    <x v="2"/>
    <s v="CM"/>
    <s v="S"/>
    <x v="640"/>
    <x v="20"/>
    <x v="879"/>
    <m/>
    <x v="306"/>
    <m/>
    <x v="2"/>
    <x v="0"/>
    <x v="580"/>
    <m/>
    <x v="1"/>
    <x v="0"/>
    <m/>
    <s v="Regina Pessoa et Abi Feijó"/>
    <x v="0"/>
    <x v="1"/>
    <m/>
    <x v="0"/>
    <x v="4"/>
    <x v="1068"/>
    <x v="2"/>
    <x v="0"/>
    <x v="0"/>
    <x v="580"/>
    <x v="4990"/>
  </r>
  <r>
    <x v="2"/>
    <n v="323"/>
    <x v="1064"/>
    <x v="2"/>
    <s v="CM"/>
    <s v="S"/>
    <x v="640"/>
    <x v="20"/>
    <x v="220"/>
    <m/>
    <x v="154"/>
    <m/>
    <x v="0"/>
    <x v="0"/>
    <x v="566"/>
    <d v="2013-08-18T00:00:00"/>
    <x v="16"/>
    <x v="0"/>
    <m/>
    <s v="Papo Animado"/>
    <x v="0"/>
    <x v="0"/>
    <m/>
    <x v="0"/>
    <x v="4"/>
    <x v="1068"/>
    <x v="0"/>
    <x v="0"/>
    <x v="0"/>
    <x v="566"/>
    <x v="4991"/>
  </r>
  <r>
    <x v="2"/>
    <n v="323"/>
    <x v="1064"/>
    <x v="2"/>
    <s v="CM"/>
    <s v="S"/>
    <x v="640"/>
    <x v="20"/>
    <x v="880"/>
    <m/>
    <x v="298"/>
    <m/>
    <x v="15"/>
    <x v="0"/>
    <x v="553"/>
    <d v="2013-10-30T00:00:00"/>
    <x v="14"/>
    <x v="0"/>
    <m/>
    <s v="Regina Pessoa e Abi Feijó: la regina dell'animazione e il suo maestro - Il mio apprendistato"/>
    <x v="0"/>
    <x v="0"/>
    <m/>
    <x v="0"/>
    <x v="4"/>
    <x v="1068"/>
    <x v="15"/>
    <x v="0"/>
    <x v="0"/>
    <x v="553"/>
    <x v="4992"/>
  </r>
  <r>
    <x v="2"/>
    <n v="1558"/>
    <x v="1067"/>
    <x v="0"/>
    <s v="CM"/>
    <s v="N"/>
    <x v="677"/>
    <x v="3"/>
    <x v="840"/>
    <m/>
    <x v="24"/>
    <m/>
    <x v="3"/>
    <x v="0"/>
    <x v="522"/>
    <d v="2013-01-27T00:00:00"/>
    <x v="15"/>
    <x v="1"/>
    <s v="Competição Geral"/>
    <m/>
    <x v="7"/>
    <x v="0"/>
    <m/>
    <x v="1"/>
    <x v="0"/>
    <x v="1071"/>
    <x v="3"/>
    <x v="579"/>
    <x v="1"/>
    <x v="522"/>
    <x v="4993"/>
  </r>
  <r>
    <x v="2"/>
    <n v="1558"/>
    <x v="1067"/>
    <x v="0"/>
    <s v="CM"/>
    <s v="N"/>
    <x v="677"/>
    <x v="3"/>
    <x v="899"/>
    <m/>
    <x v="24"/>
    <m/>
    <x v="3"/>
    <x v="0"/>
    <x v="600"/>
    <m/>
    <x v="1"/>
    <x v="1"/>
    <m/>
    <m/>
    <x v="0"/>
    <x v="1"/>
    <m/>
    <x v="0"/>
    <x v="0"/>
    <x v="1071"/>
    <x v="3"/>
    <x v="0"/>
    <x v="1"/>
    <x v="600"/>
    <x v="4994"/>
  </r>
  <r>
    <x v="2"/>
    <n v="1558"/>
    <x v="1067"/>
    <x v="0"/>
    <s v="CM"/>
    <s v="N"/>
    <x v="677"/>
    <x v="3"/>
    <x v="34"/>
    <m/>
    <x v="32"/>
    <m/>
    <x v="3"/>
    <x v="0"/>
    <x v="525"/>
    <d v="2013-05-12T00:00:00"/>
    <x v="6"/>
    <x v="1"/>
    <s v="Ficção"/>
    <m/>
    <x v="0"/>
    <x v="0"/>
    <m/>
    <x v="0"/>
    <x v="0"/>
    <x v="1071"/>
    <x v="3"/>
    <x v="0"/>
    <x v="1"/>
    <x v="525"/>
    <x v="4995"/>
  </r>
  <r>
    <x v="2"/>
    <n v="2050"/>
    <x v="1757"/>
    <x v="1"/>
    <s v="CM"/>
    <s v="N"/>
    <x v="40"/>
    <x v="9"/>
    <x v="158"/>
    <m/>
    <x v="121"/>
    <m/>
    <x v="3"/>
    <x v="0"/>
    <x v="568"/>
    <d v="2013-10-13T00:00:00"/>
    <x v="14"/>
    <x v="0"/>
    <m/>
    <s v="Focus: Teresa Villaverde"/>
    <x v="0"/>
    <x v="0"/>
    <m/>
    <x v="0"/>
    <x v="2"/>
    <x v="1774"/>
    <x v="3"/>
    <x v="0"/>
    <x v="1"/>
    <x v="568"/>
    <x v="4996"/>
  </r>
  <r>
    <x v="2"/>
    <n v="333"/>
    <x v="238"/>
    <x v="0"/>
    <s v="LM"/>
    <s v="S"/>
    <x v="103"/>
    <x v="1"/>
    <x v="158"/>
    <m/>
    <x v="121"/>
    <m/>
    <x v="3"/>
    <x v="0"/>
    <x v="568"/>
    <d v="2013-10-13T00:00:00"/>
    <x v="14"/>
    <x v="0"/>
    <m/>
    <s v="Carta Branca: Joana de Verona"/>
    <x v="0"/>
    <x v="0"/>
    <m/>
    <x v="0"/>
    <x v="5"/>
    <x v="240"/>
    <x v="3"/>
    <x v="0"/>
    <x v="1"/>
    <x v="568"/>
    <x v="4997"/>
  </r>
  <r>
    <x v="2"/>
    <n v="1709"/>
    <x v="1758"/>
    <x v="0"/>
    <s v="CM"/>
    <s v="N"/>
    <x v="1150"/>
    <x v="41"/>
    <x v="831"/>
    <m/>
    <x v="348"/>
    <m/>
    <x v="3"/>
    <x v="0"/>
    <x v="511"/>
    <m/>
    <x v="2"/>
    <x v="1"/>
    <s v="Curta-metragem de ficção"/>
    <m/>
    <x v="0"/>
    <x v="0"/>
    <m/>
    <x v="0"/>
    <x v="0"/>
    <x v="1775"/>
    <x v="3"/>
    <x v="0"/>
    <x v="1"/>
    <x v="511"/>
    <x v="4998"/>
  </r>
  <r>
    <x v="2"/>
    <n v="1709"/>
    <x v="1758"/>
    <x v="0"/>
    <s v="CM"/>
    <s v="N"/>
    <x v="1150"/>
    <x v="41"/>
    <x v="67"/>
    <m/>
    <x v="23"/>
    <m/>
    <x v="3"/>
    <x v="0"/>
    <x v="526"/>
    <d v="2013-06-16T00:00:00"/>
    <x v="7"/>
    <x v="1"/>
    <s v="Ficção Nacional"/>
    <m/>
    <x v="0"/>
    <x v="0"/>
    <m/>
    <x v="0"/>
    <x v="0"/>
    <x v="1775"/>
    <x v="3"/>
    <x v="0"/>
    <x v="1"/>
    <x v="526"/>
    <x v="4999"/>
  </r>
  <r>
    <x v="2"/>
    <n v="1485"/>
    <x v="1072"/>
    <x v="2"/>
    <s v="CM"/>
    <s v="N"/>
    <x v="195"/>
    <x v="41"/>
    <x v="956"/>
    <m/>
    <x v="23"/>
    <m/>
    <x v="3"/>
    <x v="0"/>
    <x v="622"/>
    <m/>
    <x v="1"/>
    <x v="0"/>
    <m/>
    <s v="Convidado Festival Monstra 2013"/>
    <x v="0"/>
    <x v="1"/>
    <m/>
    <x v="0"/>
    <x v="4"/>
    <x v="1076"/>
    <x v="3"/>
    <x v="0"/>
    <x v="1"/>
    <x v="622"/>
    <x v="5000"/>
  </r>
  <r>
    <x v="2"/>
    <n v="1485"/>
    <x v="1072"/>
    <x v="2"/>
    <s v="CM"/>
    <s v="N"/>
    <x v="195"/>
    <x v="41"/>
    <x v="957"/>
    <m/>
    <x v="24"/>
    <m/>
    <x v="3"/>
    <x v="0"/>
    <x v="655"/>
    <m/>
    <x v="2"/>
    <x v="0"/>
    <m/>
    <s v="Convidado Festival Monstra 2013"/>
    <x v="0"/>
    <x v="1"/>
    <m/>
    <x v="0"/>
    <x v="4"/>
    <x v="1076"/>
    <x v="3"/>
    <x v="0"/>
    <x v="1"/>
    <x v="655"/>
    <x v="5001"/>
  </r>
  <r>
    <x v="2"/>
    <n v="1485"/>
    <x v="1072"/>
    <x v="2"/>
    <s v="CM"/>
    <s v="N"/>
    <x v="195"/>
    <x v="41"/>
    <x v="590"/>
    <m/>
    <x v="328"/>
    <m/>
    <x v="11"/>
    <x v="0"/>
    <x v="613"/>
    <d v="2013-05-01T00:00:00"/>
    <x v="4"/>
    <x v="1"/>
    <s v="Competition Short Film D"/>
    <m/>
    <x v="0"/>
    <x v="0"/>
    <m/>
    <x v="0"/>
    <x v="4"/>
    <x v="1076"/>
    <x v="11"/>
    <x v="0"/>
    <x v="0"/>
    <x v="613"/>
    <x v="5002"/>
  </r>
  <r>
    <x v="2"/>
    <n v="1485"/>
    <x v="1072"/>
    <x v="2"/>
    <s v="CM"/>
    <s v="N"/>
    <x v="195"/>
    <x v="41"/>
    <x v="958"/>
    <m/>
    <x v="311"/>
    <m/>
    <x v="61"/>
    <x v="0"/>
    <x v="633"/>
    <d v="2013-05-12T00:00:00"/>
    <x v="6"/>
    <x v="1"/>
    <s v="Competencia Cortometrajes Experimentales"/>
    <m/>
    <x v="0"/>
    <x v="0"/>
    <m/>
    <x v="0"/>
    <x v="4"/>
    <x v="1076"/>
    <x v="61"/>
    <x v="0"/>
    <x v="0"/>
    <x v="633"/>
    <x v="5003"/>
  </r>
  <r>
    <x v="2"/>
    <n v="1485"/>
    <x v="1072"/>
    <x v="2"/>
    <s v="CM"/>
    <s v="N"/>
    <x v="195"/>
    <x v="41"/>
    <x v="220"/>
    <m/>
    <x v="154"/>
    <m/>
    <x v="0"/>
    <x v="0"/>
    <x v="566"/>
    <d v="2013-08-18T00:00:00"/>
    <x v="16"/>
    <x v="0"/>
    <m/>
    <s v="Galeria"/>
    <x v="0"/>
    <x v="0"/>
    <m/>
    <x v="0"/>
    <x v="4"/>
    <x v="1076"/>
    <x v="0"/>
    <x v="0"/>
    <x v="0"/>
    <x v="566"/>
    <x v="5004"/>
  </r>
  <r>
    <x v="2"/>
    <n v="1886"/>
    <x v="1759"/>
    <x v="1"/>
    <s v="CM"/>
    <s v="N"/>
    <x v="37"/>
    <x v="41"/>
    <x v="946"/>
    <m/>
    <x v="24"/>
    <m/>
    <x v="3"/>
    <x v="0"/>
    <x v="635"/>
    <d v="2013-07-04T00:00:00"/>
    <x v="17"/>
    <x v="0"/>
    <m/>
    <m/>
    <x v="0"/>
    <x v="1"/>
    <m/>
    <x v="0"/>
    <x v="2"/>
    <x v="1776"/>
    <x v="3"/>
    <x v="0"/>
    <x v="1"/>
    <x v="635"/>
    <x v="5005"/>
  </r>
  <r>
    <x v="2"/>
    <n v="1886"/>
    <x v="1759"/>
    <x v="1"/>
    <s v="CM"/>
    <s v="N"/>
    <x v="37"/>
    <x v="41"/>
    <x v="68"/>
    <m/>
    <x v="53"/>
    <m/>
    <x v="3"/>
    <x v="0"/>
    <x v="573"/>
    <d v="2013-07-14T00:00:00"/>
    <x v="8"/>
    <x v="1"/>
    <s v="Competição Nacional"/>
    <m/>
    <x v="0"/>
    <x v="0"/>
    <m/>
    <x v="0"/>
    <x v="2"/>
    <x v="1776"/>
    <x v="3"/>
    <x v="0"/>
    <x v="1"/>
    <x v="573"/>
    <x v="5006"/>
  </r>
  <r>
    <x v="2"/>
    <n v="1734"/>
    <x v="1760"/>
    <x v="2"/>
    <s v="CM"/>
    <s v="N"/>
    <x v="1151"/>
    <x v="41"/>
    <x v="26"/>
    <m/>
    <x v="24"/>
    <m/>
    <x v="3"/>
    <x v="0"/>
    <x v="571"/>
    <d v="2013-03-17T00:00:00"/>
    <x v="2"/>
    <x v="1"/>
    <s v="Competição de Curtíssimas"/>
    <m/>
    <x v="0"/>
    <x v="0"/>
    <m/>
    <x v="0"/>
    <x v="4"/>
    <x v="1777"/>
    <x v="3"/>
    <x v="0"/>
    <x v="1"/>
    <x v="571"/>
    <x v="5007"/>
  </r>
  <r>
    <x v="2"/>
    <n v="2035"/>
    <x v="1761"/>
    <x v="0"/>
    <s v="CM"/>
    <s v="N"/>
    <x v="461"/>
    <x v="38"/>
    <x v="870"/>
    <m/>
    <x v="59"/>
    <m/>
    <x v="3"/>
    <x v="0"/>
    <x v="568"/>
    <d v="2013-10-13T00:00:00"/>
    <x v="14"/>
    <x v="0"/>
    <m/>
    <s v="Sessão de Abertura - Mostra Retrospectiva de curtas-metragens de João César Monteiro"/>
    <x v="0"/>
    <x v="0"/>
    <m/>
    <x v="0"/>
    <x v="0"/>
    <x v="1778"/>
    <x v="3"/>
    <x v="0"/>
    <x v="1"/>
    <x v="568"/>
    <x v="5008"/>
  </r>
  <r>
    <x v="2"/>
    <n v="348"/>
    <x v="248"/>
    <x v="1"/>
    <s v="LM"/>
    <s v=""/>
    <x v="212"/>
    <x v="22"/>
    <x v="906"/>
    <m/>
    <x v="348"/>
    <m/>
    <x v="3"/>
    <x v="0"/>
    <x v="592"/>
    <d v="2013-06-23T00:00:00"/>
    <x v="7"/>
    <x v="0"/>
    <m/>
    <m/>
    <x v="0"/>
    <x v="0"/>
    <m/>
    <x v="0"/>
    <x v="1"/>
    <x v="250"/>
    <x v="3"/>
    <x v="0"/>
    <x v="1"/>
    <x v="592"/>
    <x v="5009"/>
  </r>
  <r>
    <x v="2"/>
    <n v="349"/>
    <x v="249"/>
    <x v="2"/>
    <s v="CM"/>
    <s v="S"/>
    <x v="213"/>
    <x v="5"/>
    <x v="959"/>
    <m/>
    <x v="23"/>
    <m/>
    <x v="3"/>
    <x v="0"/>
    <x v="638"/>
    <m/>
    <x v="2"/>
    <x v="1"/>
    <m/>
    <m/>
    <x v="0"/>
    <x v="1"/>
    <m/>
    <x v="0"/>
    <x v="4"/>
    <x v="251"/>
    <x v="3"/>
    <x v="0"/>
    <x v="1"/>
    <x v="638"/>
    <x v="5010"/>
  </r>
  <r>
    <x v="2"/>
    <n v="349"/>
    <x v="249"/>
    <x v="2"/>
    <s v="CM"/>
    <s v="S"/>
    <x v="213"/>
    <x v="5"/>
    <x v="958"/>
    <m/>
    <x v="311"/>
    <m/>
    <x v="61"/>
    <x v="0"/>
    <x v="633"/>
    <d v="2013-05-12T00:00:00"/>
    <x v="6"/>
    <x v="1"/>
    <s v="Competencia Cortometrajes Internacionales"/>
    <m/>
    <x v="0"/>
    <x v="0"/>
    <m/>
    <x v="0"/>
    <x v="4"/>
    <x v="251"/>
    <x v="61"/>
    <x v="0"/>
    <x v="0"/>
    <x v="633"/>
    <x v="5011"/>
  </r>
  <r>
    <x v="2"/>
    <n v="349"/>
    <x v="249"/>
    <x v="2"/>
    <s v="CM"/>
    <s v="S"/>
    <x v="213"/>
    <x v="5"/>
    <x v="825"/>
    <m/>
    <x v="409"/>
    <m/>
    <x v="3"/>
    <x v="0"/>
    <x v="499"/>
    <m/>
    <x v="7"/>
    <x v="1"/>
    <m/>
    <m/>
    <x v="0"/>
    <x v="0"/>
    <m/>
    <x v="0"/>
    <x v="4"/>
    <x v="251"/>
    <x v="3"/>
    <x v="0"/>
    <x v="1"/>
    <x v="499"/>
    <x v="5012"/>
  </r>
  <r>
    <x v="2"/>
    <n v="349"/>
    <x v="249"/>
    <x v="2"/>
    <s v="CM"/>
    <s v="S"/>
    <x v="213"/>
    <x v="5"/>
    <x v="825"/>
    <m/>
    <x v="409"/>
    <m/>
    <x v="3"/>
    <x v="0"/>
    <x v="499"/>
    <m/>
    <x v="7"/>
    <x v="1"/>
    <m/>
    <m/>
    <x v="7"/>
    <x v="0"/>
    <m/>
    <x v="1"/>
    <x v="4"/>
    <x v="251"/>
    <x v="3"/>
    <x v="7"/>
    <x v="1"/>
    <x v="499"/>
    <x v="5013"/>
  </r>
  <r>
    <x v="2"/>
    <n v="349"/>
    <x v="249"/>
    <x v="2"/>
    <s v="CM"/>
    <s v="S"/>
    <x v="213"/>
    <x v="5"/>
    <x v="960"/>
    <m/>
    <x v="15"/>
    <m/>
    <x v="3"/>
    <x v="0"/>
    <x v="534"/>
    <m/>
    <x v="16"/>
    <x v="0"/>
    <m/>
    <m/>
    <x v="0"/>
    <x v="1"/>
    <s v="Sessão Especial integrada nos PALCOS LIVRES"/>
    <x v="0"/>
    <x v="4"/>
    <x v="251"/>
    <x v="3"/>
    <x v="0"/>
    <x v="1"/>
    <x v="534"/>
    <x v="5014"/>
  </r>
  <r>
    <x v="2"/>
    <n v="349"/>
    <x v="249"/>
    <x v="2"/>
    <s v="CM"/>
    <s v="S"/>
    <x v="213"/>
    <x v="5"/>
    <x v="316"/>
    <m/>
    <x v="11"/>
    <m/>
    <x v="3"/>
    <x v="0"/>
    <x v="500"/>
    <d v="2013-08-31T00:00:00"/>
    <x v="16"/>
    <x v="1"/>
    <s v="Animação"/>
    <m/>
    <x v="0"/>
    <x v="0"/>
    <m/>
    <x v="0"/>
    <x v="4"/>
    <x v="251"/>
    <x v="3"/>
    <x v="0"/>
    <x v="1"/>
    <x v="500"/>
    <x v="5015"/>
  </r>
  <r>
    <x v="2"/>
    <n v="1778"/>
    <x v="1762"/>
    <x v="1"/>
    <s v="CM"/>
    <s v="N"/>
    <x v="694"/>
    <x v="41"/>
    <x v="146"/>
    <m/>
    <x v="24"/>
    <m/>
    <x v="3"/>
    <x v="0"/>
    <x v="537"/>
    <d v="2013-04-28T00:00:00"/>
    <x v="5"/>
    <x v="1"/>
    <s v="Novíssimos - Documentário"/>
    <m/>
    <x v="0"/>
    <x v="0"/>
    <m/>
    <x v="0"/>
    <x v="2"/>
    <x v="1779"/>
    <x v="3"/>
    <x v="0"/>
    <x v="1"/>
    <x v="537"/>
    <x v="5016"/>
  </r>
  <r>
    <x v="2"/>
    <n v="1778"/>
    <x v="1762"/>
    <x v="1"/>
    <s v="CM"/>
    <s v="N"/>
    <x v="694"/>
    <x v="41"/>
    <x v="514"/>
    <m/>
    <x v="99"/>
    <m/>
    <x v="3"/>
    <x v="0"/>
    <x v="504"/>
    <d v="2013-05-11T00:00:00"/>
    <x v="6"/>
    <x v="1"/>
    <s v="Prémio Primeiro Olhar"/>
    <m/>
    <x v="474"/>
    <x v="0"/>
    <s v="ESTC"/>
    <x v="1"/>
    <x v="2"/>
    <x v="1779"/>
    <x v="3"/>
    <x v="580"/>
    <x v="1"/>
    <x v="504"/>
    <x v="5017"/>
  </r>
  <r>
    <x v="2"/>
    <n v="352"/>
    <x v="1077"/>
    <x v="0"/>
    <s v="CM"/>
    <s v="N"/>
    <x v="726"/>
    <x v="41"/>
    <x v="840"/>
    <m/>
    <x v="24"/>
    <m/>
    <x v="3"/>
    <x v="0"/>
    <x v="522"/>
    <d v="2013-01-27T00:00:00"/>
    <x v="15"/>
    <x v="1"/>
    <s v="Competição Geral"/>
    <m/>
    <x v="0"/>
    <x v="0"/>
    <m/>
    <x v="0"/>
    <x v="0"/>
    <x v="1081"/>
    <x v="3"/>
    <x v="0"/>
    <x v="1"/>
    <x v="522"/>
    <x v="5018"/>
  </r>
  <r>
    <x v="2"/>
    <n v="352"/>
    <x v="1077"/>
    <x v="0"/>
    <s v="CM"/>
    <s v="N"/>
    <x v="726"/>
    <x v="41"/>
    <x v="959"/>
    <m/>
    <x v="23"/>
    <m/>
    <x v="3"/>
    <x v="0"/>
    <x v="638"/>
    <m/>
    <x v="2"/>
    <x v="1"/>
    <m/>
    <m/>
    <x v="475"/>
    <x v="1"/>
    <m/>
    <x v="1"/>
    <x v="0"/>
    <x v="1081"/>
    <x v="3"/>
    <x v="581"/>
    <x v="1"/>
    <x v="638"/>
    <x v="5019"/>
  </r>
  <r>
    <x v="2"/>
    <n v="352"/>
    <x v="1077"/>
    <x v="0"/>
    <s v="CM"/>
    <s v="N"/>
    <x v="726"/>
    <x v="41"/>
    <x v="827"/>
    <m/>
    <x v="24"/>
    <m/>
    <x v="3"/>
    <x v="0"/>
    <x v="506"/>
    <m/>
    <x v="7"/>
    <x v="1"/>
    <m/>
    <m/>
    <x v="0"/>
    <x v="0"/>
    <m/>
    <x v="0"/>
    <x v="0"/>
    <x v="1081"/>
    <x v="3"/>
    <x v="0"/>
    <x v="1"/>
    <x v="506"/>
    <x v="5020"/>
  </r>
  <r>
    <x v="2"/>
    <n v="352"/>
    <x v="1077"/>
    <x v="0"/>
    <s v="CM"/>
    <s v="N"/>
    <x v="726"/>
    <x v="41"/>
    <x v="961"/>
    <m/>
    <x v="20"/>
    <m/>
    <x v="5"/>
    <x v="0"/>
    <x v="656"/>
    <m/>
    <x v="7"/>
    <x v="0"/>
    <m/>
    <m/>
    <x v="0"/>
    <x v="1"/>
    <m/>
    <x v="0"/>
    <x v="0"/>
    <x v="1081"/>
    <x v="5"/>
    <x v="0"/>
    <x v="0"/>
    <x v="656"/>
    <x v="5021"/>
  </r>
  <r>
    <x v="2"/>
    <n v="352"/>
    <x v="1077"/>
    <x v="0"/>
    <s v="CM"/>
    <s v="N"/>
    <x v="726"/>
    <x v="41"/>
    <x v="962"/>
    <m/>
    <x v="15"/>
    <m/>
    <x v="3"/>
    <x v="0"/>
    <x v="653"/>
    <m/>
    <x v="13"/>
    <x v="1"/>
    <m/>
    <m/>
    <x v="0"/>
    <x v="1"/>
    <m/>
    <x v="0"/>
    <x v="0"/>
    <x v="1081"/>
    <x v="3"/>
    <x v="0"/>
    <x v="1"/>
    <x v="653"/>
    <x v="5022"/>
  </r>
  <r>
    <x v="2"/>
    <n v="352"/>
    <x v="1077"/>
    <x v="0"/>
    <s v="CM"/>
    <s v="N"/>
    <x v="726"/>
    <x v="41"/>
    <x v="962"/>
    <m/>
    <x v="15"/>
    <m/>
    <x v="3"/>
    <x v="0"/>
    <x v="653"/>
    <m/>
    <x v="13"/>
    <x v="1"/>
    <m/>
    <m/>
    <x v="0"/>
    <x v="1"/>
    <m/>
    <x v="0"/>
    <x v="0"/>
    <x v="1081"/>
    <x v="3"/>
    <x v="0"/>
    <x v="1"/>
    <x v="653"/>
    <x v="5023"/>
  </r>
  <r>
    <x v="2"/>
    <n v="354"/>
    <x v="1078"/>
    <x v="2"/>
    <s v="CM"/>
    <s v="N"/>
    <x v="727"/>
    <x v="3"/>
    <x v="854"/>
    <m/>
    <x v="24"/>
    <m/>
    <x v="3"/>
    <x v="0"/>
    <x v="550"/>
    <d v="2013-03-27T00:00:00"/>
    <x v="2"/>
    <x v="0"/>
    <m/>
    <m/>
    <x v="0"/>
    <x v="1"/>
    <m/>
    <x v="0"/>
    <x v="4"/>
    <x v="1082"/>
    <x v="3"/>
    <x v="0"/>
    <x v="1"/>
    <x v="550"/>
    <x v="5024"/>
  </r>
  <r>
    <x v="2"/>
    <n v="1732"/>
    <x v="1763"/>
    <x v="2"/>
    <s v="CM"/>
    <s v="N"/>
    <x v="504"/>
    <x v="41"/>
    <x v="26"/>
    <m/>
    <x v="24"/>
    <m/>
    <x v="3"/>
    <x v="0"/>
    <x v="571"/>
    <d v="2013-03-17T00:00:00"/>
    <x v="2"/>
    <x v="1"/>
    <s v="Competição de Curtíssimas"/>
    <m/>
    <x v="13"/>
    <x v="0"/>
    <m/>
    <x v="1"/>
    <x v="4"/>
    <x v="1780"/>
    <x v="3"/>
    <x v="582"/>
    <x v="1"/>
    <x v="571"/>
    <x v="5025"/>
  </r>
  <r>
    <x v="2"/>
    <n v="356"/>
    <x v="254"/>
    <x v="0"/>
    <s v="CM"/>
    <s v="N"/>
    <x v="80"/>
    <x v="0"/>
    <x v="896"/>
    <m/>
    <x v="20"/>
    <m/>
    <x v="5"/>
    <x v="0"/>
    <x v="540"/>
    <d v="2013-08-30T00:00:00"/>
    <x v="16"/>
    <x v="0"/>
    <m/>
    <m/>
    <x v="0"/>
    <x v="1"/>
    <s v="Kino Arsenal"/>
    <x v="0"/>
    <x v="0"/>
    <x v="256"/>
    <x v="5"/>
    <x v="0"/>
    <x v="0"/>
    <x v="540"/>
    <x v="5026"/>
  </r>
  <r>
    <x v="2"/>
    <n v="358"/>
    <x v="1079"/>
    <x v="0"/>
    <s v="CM"/>
    <s v="N"/>
    <x v="282"/>
    <x v="4"/>
    <x v="854"/>
    <m/>
    <x v="24"/>
    <m/>
    <x v="3"/>
    <x v="0"/>
    <x v="550"/>
    <d v="2013-03-27T00:00:00"/>
    <x v="2"/>
    <x v="0"/>
    <m/>
    <m/>
    <x v="0"/>
    <x v="1"/>
    <m/>
    <x v="0"/>
    <x v="0"/>
    <x v="1083"/>
    <x v="3"/>
    <x v="0"/>
    <x v="1"/>
    <x v="550"/>
    <x v="5027"/>
  </r>
  <r>
    <x v="2"/>
    <n v="1897"/>
    <x v="1079"/>
    <x v="0"/>
    <s v="CM"/>
    <s v="N"/>
    <x v="843"/>
    <x v="52"/>
    <x v="68"/>
    <m/>
    <x v="53"/>
    <m/>
    <x v="3"/>
    <x v="0"/>
    <x v="573"/>
    <d v="2013-07-14T00:00:00"/>
    <x v="8"/>
    <x v="1"/>
    <s v="Competição Experimental"/>
    <m/>
    <x v="0"/>
    <x v="0"/>
    <m/>
    <x v="0"/>
    <x v="0"/>
    <x v="1781"/>
    <x v="3"/>
    <x v="0"/>
    <x v="1"/>
    <x v="573"/>
    <x v="5028"/>
  </r>
  <r>
    <x v="2"/>
    <n v="362"/>
    <x v="1082"/>
    <x v="1"/>
    <s v="CM"/>
    <s v="N"/>
    <x v="729"/>
    <x v="41"/>
    <x v="519"/>
    <m/>
    <x v="24"/>
    <m/>
    <x v="3"/>
    <x v="0"/>
    <x v="504"/>
    <d v="2013-05-11T00:00:00"/>
    <x v="6"/>
    <x v="0"/>
    <m/>
    <m/>
    <x v="0"/>
    <x v="1"/>
    <m/>
    <x v="0"/>
    <x v="2"/>
    <x v="1086"/>
    <x v="3"/>
    <x v="0"/>
    <x v="1"/>
    <x v="504"/>
    <x v="5029"/>
  </r>
  <r>
    <x v="2"/>
    <n v="362"/>
    <x v="1082"/>
    <x v="1"/>
    <s v="CM"/>
    <s v="N"/>
    <x v="729"/>
    <x v="41"/>
    <x v="70"/>
    <m/>
    <x v="38"/>
    <m/>
    <x v="3"/>
    <x v="0"/>
    <x v="510"/>
    <d v="2013-09-15T00:00:00"/>
    <x v="9"/>
    <x v="1"/>
    <s v="Sessão Competitiva 1"/>
    <m/>
    <x v="0"/>
    <x v="0"/>
    <m/>
    <x v="0"/>
    <x v="2"/>
    <x v="1086"/>
    <x v="3"/>
    <x v="0"/>
    <x v="1"/>
    <x v="510"/>
    <x v="5030"/>
  </r>
  <r>
    <x v="2"/>
    <n v="1741"/>
    <x v="1764"/>
    <x v="1"/>
    <s v="CM"/>
    <s v="N"/>
    <x v="247"/>
    <x v="41"/>
    <x v="831"/>
    <m/>
    <x v="348"/>
    <m/>
    <x v="3"/>
    <x v="0"/>
    <x v="511"/>
    <m/>
    <x v="2"/>
    <x v="1"/>
    <s v="Curta-metragem documental"/>
    <m/>
    <x v="0"/>
    <x v="0"/>
    <m/>
    <x v="0"/>
    <x v="2"/>
    <x v="1782"/>
    <x v="3"/>
    <x v="0"/>
    <x v="1"/>
    <x v="511"/>
    <x v="5031"/>
  </r>
  <r>
    <x v="2"/>
    <n v="1286"/>
    <x v="1086"/>
    <x v="1"/>
    <s v="CM"/>
    <s v="S"/>
    <x v="733"/>
    <x v="2"/>
    <x v="34"/>
    <m/>
    <x v="32"/>
    <m/>
    <x v="3"/>
    <x v="0"/>
    <x v="525"/>
    <d v="2013-05-12T00:00:00"/>
    <x v="6"/>
    <x v="1"/>
    <s v="Ficção"/>
    <m/>
    <x v="0"/>
    <x v="0"/>
    <m/>
    <x v="0"/>
    <x v="2"/>
    <x v="1090"/>
    <x v="3"/>
    <x v="0"/>
    <x v="1"/>
    <x v="525"/>
    <x v="5032"/>
  </r>
  <r>
    <x v="2"/>
    <n v="1970"/>
    <x v="1765"/>
    <x v="1"/>
    <s v="CM"/>
    <s v="N"/>
    <x v="894"/>
    <x v="52"/>
    <x v="316"/>
    <m/>
    <x v="11"/>
    <m/>
    <x v="3"/>
    <x v="0"/>
    <x v="500"/>
    <d v="2013-08-31T00:00:00"/>
    <x v="16"/>
    <x v="1"/>
    <s v="Documentário"/>
    <m/>
    <x v="445"/>
    <x v="0"/>
    <m/>
    <x v="1"/>
    <x v="2"/>
    <x v="1783"/>
    <x v="3"/>
    <x v="540"/>
    <x v="1"/>
    <x v="500"/>
    <x v="5033"/>
  </r>
  <r>
    <x v="2"/>
    <n v="1970"/>
    <x v="1765"/>
    <x v="1"/>
    <s v="CM"/>
    <s v="N"/>
    <x v="894"/>
    <x v="52"/>
    <x v="907"/>
    <m/>
    <x v="24"/>
    <m/>
    <x v="3"/>
    <x v="0"/>
    <x v="606"/>
    <d v="2013-12-15T00:00:00"/>
    <x v="12"/>
    <x v="1"/>
    <s v="Categoria Património Imaterial"/>
    <m/>
    <x v="7"/>
    <x v="2"/>
    <m/>
    <x v="1"/>
    <x v="2"/>
    <x v="1783"/>
    <x v="3"/>
    <x v="555"/>
    <x v="1"/>
    <x v="606"/>
    <x v="5034"/>
  </r>
  <r>
    <x v="2"/>
    <n v="1748"/>
    <x v="1766"/>
    <x v="5"/>
    <s v="CM"/>
    <s v="N"/>
    <x v="164"/>
    <x v="41"/>
    <x v="831"/>
    <m/>
    <x v="348"/>
    <m/>
    <x v="3"/>
    <x v="0"/>
    <x v="511"/>
    <m/>
    <x v="2"/>
    <x v="1"/>
    <s v="Videoclip"/>
    <m/>
    <x v="0"/>
    <x v="0"/>
    <m/>
    <x v="0"/>
    <x v="15"/>
    <x v="1784"/>
    <x v="3"/>
    <x v="0"/>
    <x v="1"/>
    <x v="511"/>
    <x v="5035"/>
  </r>
  <r>
    <x v="2"/>
    <n v="1655"/>
    <x v="1767"/>
    <x v="3"/>
    <s v="CM"/>
    <s v="N"/>
    <x v="37"/>
    <x v="41"/>
    <x v="375"/>
    <m/>
    <x v="20"/>
    <m/>
    <x v="5"/>
    <x v="0"/>
    <x v="496"/>
    <d v="2013-02-17T00:00:00"/>
    <x v="1"/>
    <x v="0"/>
    <m/>
    <s v="Forum Expanded Programm 6: Por Primera Vez - Cuba's Cinematic Legacies"/>
    <x v="0"/>
    <x v="0"/>
    <m/>
    <x v="0"/>
    <x v="6"/>
    <x v="1785"/>
    <x v="5"/>
    <x v="0"/>
    <x v="0"/>
    <x v="496"/>
    <x v="5036"/>
  </r>
  <r>
    <x v="2"/>
    <n v="1655"/>
    <x v="1767"/>
    <x v="3"/>
    <s v="CM"/>
    <s v="N"/>
    <x v="37"/>
    <x v="41"/>
    <x v="946"/>
    <m/>
    <x v="24"/>
    <m/>
    <x v="3"/>
    <x v="0"/>
    <x v="635"/>
    <d v="2013-07-04T00:00:00"/>
    <x v="17"/>
    <x v="0"/>
    <m/>
    <m/>
    <x v="0"/>
    <x v="1"/>
    <m/>
    <x v="0"/>
    <x v="6"/>
    <x v="1785"/>
    <x v="3"/>
    <x v="0"/>
    <x v="1"/>
    <x v="635"/>
    <x v="5037"/>
  </r>
  <r>
    <x v="2"/>
    <n v="2131"/>
    <x v="1768"/>
    <x v="2"/>
    <s v="CM"/>
    <s v="N"/>
    <x v="1152"/>
    <x v="41"/>
    <x v="932"/>
    <m/>
    <x v="15"/>
    <m/>
    <x v="3"/>
    <x v="0"/>
    <x v="630"/>
    <m/>
    <x v="12"/>
    <x v="1"/>
    <m/>
    <m/>
    <x v="239"/>
    <x v="1"/>
    <m/>
    <x v="1"/>
    <x v="4"/>
    <x v="1786"/>
    <x v="3"/>
    <x v="277"/>
    <x v="1"/>
    <x v="630"/>
    <x v="5038"/>
  </r>
  <r>
    <x v="2"/>
    <n v="2068"/>
    <x v="1769"/>
    <x v="1"/>
    <s v="CM"/>
    <s v="N"/>
    <x v="1153"/>
    <x v="52"/>
    <x v="88"/>
    <m/>
    <x v="67"/>
    <m/>
    <x v="3"/>
    <x v="0"/>
    <x v="528"/>
    <d v="2013-10-26T00:00:00"/>
    <x v="14"/>
    <x v="1"/>
    <s v="Lusofonia: Panorama Regional"/>
    <m/>
    <x v="0"/>
    <x v="0"/>
    <m/>
    <x v="0"/>
    <x v="2"/>
    <x v="1787"/>
    <x v="3"/>
    <x v="0"/>
    <x v="1"/>
    <x v="528"/>
    <x v="5039"/>
  </r>
  <r>
    <x v="2"/>
    <n v="1905"/>
    <x v="1770"/>
    <x v="2"/>
    <s v="CM"/>
    <s v="N"/>
    <x v="594"/>
    <x v="41"/>
    <x v="146"/>
    <m/>
    <x v="24"/>
    <m/>
    <x v="3"/>
    <x v="0"/>
    <x v="537"/>
    <d v="2013-04-28T00:00:00"/>
    <x v="5"/>
    <x v="1"/>
    <s v="Novíssimos - Animação"/>
    <m/>
    <x v="0"/>
    <x v="0"/>
    <m/>
    <x v="0"/>
    <x v="4"/>
    <x v="1788"/>
    <x v="3"/>
    <x v="0"/>
    <x v="1"/>
    <x v="537"/>
    <x v="5040"/>
  </r>
  <r>
    <x v="2"/>
    <n v="1644"/>
    <x v="1771"/>
    <x v="0"/>
    <s v="LM"/>
    <s v="S"/>
    <x v="83"/>
    <x v="10"/>
    <x v="865"/>
    <m/>
    <x v="419"/>
    <m/>
    <x v="34"/>
    <x v="0"/>
    <x v="563"/>
    <d v="2013-02-28T00:00:00"/>
    <x v="18"/>
    <x v="0"/>
    <m/>
    <m/>
    <x v="0"/>
    <x v="1"/>
    <s v="Cinemathèque Suisse"/>
    <x v="0"/>
    <x v="5"/>
    <x v="1789"/>
    <x v="34"/>
    <x v="0"/>
    <x v="0"/>
    <x v="563"/>
    <x v="5041"/>
  </r>
  <r>
    <x v="2"/>
    <n v="1766"/>
    <x v="1772"/>
    <x v="1"/>
    <s v="CM"/>
    <s v="N"/>
    <x v="1154"/>
    <x v="41"/>
    <x v="63"/>
    <m/>
    <x v="24"/>
    <m/>
    <x v="3"/>
    <x v="0"/>
    <x v="556"/>
    <d v="2013-04-10T00:00:00"/>
    <x v="5"/>
    <x v="0"/>
    <m/>
    <s v="Mostra de Inclusão Social"/>
    <x v="0"/>
    <x v="0"/>
    <m/>
    <x v="0"/>
    <x v="2"/>
    <x v="1790"/>
    <x v="3"/>
    <x v="0"/>
    <x v="1"/>
    <x v="556"/>
    <x v="5042"/>
  </r>
  <r>
    <x v="2"/>
    <n v="1719"/>
    <x v="1773"/>
    <x v="0"/>
    <s v="CM"/>
    <s v="N"/>
    <x v="1155"/>
    <x v="2"/>
    <x v="62"/>
    <m/>
    <x v="23"/>
    <m/>
    <x v="3"/>
    <x v="0"/>
    <x v="503"/>
    <d v="2013-03-10T00:00:00"/>
    <x v="19"/>
    <x v="1"/>
    <s v="Prémio de Cinema Português - Escolas de Cinema"/>
    <m/>
    <x v="0"/>
    <x v="0"/>
    <s v="Universidade do Minho"/>
    <x v="0"/>
    <x v="0"/>
    <x v="1791"/>
    <x v="3"/>
    <x v="0"/>
    <x v="1"/>
    <x v="503"/>
    <x v="5043"/>
  </r>
  <r>
    <x v="2"/>
    <n v="375"/>
    <x v="265"/>
    <x v="1"/>
    <s v="CM"/>
    <s v=""/>
    <x v="226"/>
    <x v="2"/>
    <x v="963"/>
    <m/>
    <x v="23"/>
    <m/>
    <x v="3"/>
    <x v="0"/>
    <x v="496"/>
    <m/>
    <x v="1"/>
    <x v="0"/>
    <m/>
    <m/>
    <x v="0"/>
    <x v="1"/>
    <m/>
    <x v="0"/>
    <x v="2"/>
    <x v="267"/>
    <x v="3"/>
    <x v="0"/>
    <x v="1"/>
    <x v="496"/>
    <x v="5044"/>
  </r>
  <r>
    <x v="2"/>
    <n v="1553"/>
    <x v="1093"/>
    <x v="0"/>
    <s v="CM"/>
    <s v="N"/>
    <x v="738"/>
    <x v="41"/>
    <x v="840"/>
    <m/>
    <x v="24"/>
    <m/>
    <x v="3"/>
    <x v="0"/>
    <x v="522"/>
    <d v="2013-01-27T00:00:00"/>
    <x v="15"/>
    <x v="1"/>
    <s v="Competição Geral"/>
    <m/>
    <x v="0"/>
    <x v="0"/>
    <m/>
    <x v="0"/>
    <x v="0"/>
    <x v="1097"/>
    <x v="3"/>
    <x v="0"/>
    <x v="1"/>
    <x v="522"/>
    <x v="5045"/>
  </r>
  <r>
    <x v="2"/>
    <n v="1553"/>
    <x v="1093"/>
    <x v="0"/>
    <s v="CM"/>
    <s v="N"/>
    <x v="738"/>
    <x v="41"/>
    <x v="957"/>
    <m/>
    <x v="24"/>
    <m/>
    <x v="3"/>
    <x v="0"/>
    <x v="655"/>
    <m/>
    <x v="2"/>
    <x v="1"/>
    <m/>
    <m/>
    <x v="0"/>
    <x v="1"/>
    <m/>
    <x v="0"/>
    <x v="0"/>
    <x v="1097"/>
    <x v="3"/>
    <x v="0"/>
    <x v="1"/>
    <x v="655"/>
    <x v="5046"/>
  </r>
  <r>
    <x v="2"/>
    <n v="1553"/>
    <x v="1093"/>
    <x v="0"/>
    <s v="CM"/>
    <s v="N"/>
    <x v="738"/>
    <x v="41"/>
    <x v="39"/>
    <m/>
    <x v="23"/>
    <m/>
    <x v="3"/>
    <x v="0"/>
    <x v="657"/>
    <m/>
    <x v="8"/>
    <x v="0"/>
    <m/>
    <m/>
    <x v="0"/>
    <x v="1"/>
    <s v="Cineclube do Porto"/>
    <x v="0"/>
    <x v="0"/>
    <x v="1097"/>
    <x v="3"/>
    <x v="0"/>
    <x v="1"/>
    <x v="657"/>
    <x v="5047"/>
  </r>
  <r>
    <x v="2"/>
    <n v="1906"/>
    <x v="1774"/>
    <x v="0"/>
    <s v="CM"/>
    <s v="N"/>
    <x v="1156"/>
    <x v="52"/>
    <x v="146"/>
    <m/>
    <x v="24"/>
    <m/>
    <x v="3"/>
    <x v="0"/>
    <x v="537"/>
    <d v="2013-04-28T00:00:00"/>
    <x v="5"/>
    <x v="1"/>
    <s v="Novíssimos - Ficção"/>
    <m/>
    <x v="0"/>
    <x v="0"/>
    <m/>
    <x v="0"/>
    <x v="0"/>
    <x v="1792"/>
    <x v="3"/>
    <x v="0"/>
    <x v="1"/>
    <x v="537"/>
    <x v="5048"/>
  </r>
  <r>
    <x v="2"/>
    <n v="1765"/>
    <x v="1775"/>
    <x v="0"/>
    <s v="CM"/>
    <s v="N"/>
    <x v="1157"/>
    <x v="41"/>
    <x v="63"/>
    <m/>
    <x v="24"/>
    <m/>
    <x v="3"/>
    <x v="0"/>
    <x v="556"/>
    <d v="2013-04-10T00:00:00"/>
    <x v="5"/>
    <x v="0"/>
    <m/>
    <s v="Mostra de Inclusão Social"/>
    <x v="0"/>
    <x v="0"/>
    <m/>
    <x v="0"/>
    <x v="0"/>
    <x v="1793"/>
    <x v="3"/>
    <x v="0"/>
    <x v="1"/>
    <x v="556"/>
    <x v="5049"/>
  </r>
  <r>
    <x v="2"/>
    <n v="1765"/>
    <x v="1775"/>
    <x v="0"/>
    <s v="CM"/>
    <s v="N"/>
    <x v="1157"/>
    <x v="41"/>
    <x v="192"/>
    <m/>
    <x v="140"/>
    <m/>
    <x v="3"/>
    <x v="0"/>
    <x v="334"/>
    <d v="2013-07-28T00:00:00"/>
    <x v="8"/>
    <x v="0"/>
    <m/>
    <s v="Panorama Cinema Português"/>
    <x v="0"/>
    <x v="0"/>
    <m/>
    <x v="0"/>
    <x v="0"/>
    <x v="1793"/>
    <x v="3"/>
    <x v="0"/>
    <x v="1"/>
    <x v="334"/>
    <x v="5050"/>
  </r>
  <r>
    <x v="2"/>
    <n v="1765"/>
    <x v="1775"/>
    <x v="0"/>
    <s v="CM"/>
    <s v="N"/>
    <x v="1157"/>
    <x v="41"/>
    <x v="827"/>
    <m/>
    <x v="24"/>
    <m/>
    <x v="3"/>
    <x v="0"/>
    <x v="555"/>
    <m/>
    <x v="16"/>
    <x v="1"/>
    <m/>
    <m/>
    <x v="0"/>
    <x v="0"/>
    <m/>
    <x v="0"/>
    <x v="0"/>
    <x v="1793"/>
    <x v="3"/>
    <x v="0"/>
    <x v="1"/>
    <x v="555"/>
    <x v="5051"/>
  </r>
  <r>
    <x v="2"/>
    <n v="1765"/>
    <x v="1775"/>
    <x v="0"/>
    <s v="CM"/>
    <s v="N"/>
    <x v="1157"/>
    <x v="41"/>
    <x v="767"/>
    <m/>
    <x v="65"/>
    <m/>
    <x v="9"/>
    <x v="0"/>
    <x v="542"/>
    <d v="2013-09-08T00:00:00"/>
    <x v="9"/>
    <x v="0"/>
    <m/>
    <m/>
    <x v="0"/>
    <x v="0"/>
    <m/>
    <x v="0"/>
    <x v="0"/>
    <x v="1793"/>
    <x v="9"/>
    <x v="0"/>
    <x v="0"/>
    <x v="542"/>
    <x v="5052"/>
  </r>
  <r>
    <x v="2"/>
    <n v="1765"/>
    <x v="1775"/>
    <x v="0"/>
    <s v="CM"/>
    <s v="N"/>
    <x v="1157"/>
    <x v="41"/>
    <x v="878"/>
    <m/>
    <x v="288"/>
    <m/>
    <x v="10"/>
    <x v="0"/>
    <x v="579"/>
    <d v="2013-09-29T00:00:00"/>
    <x v="9"/>
    <x v="1"/>
    <s v="Fiction"/>
    <m/>
    <x v="0"/>
    <x v="0"/>
    <m/>
    <x v="0"/>
    <x v="0"/>
    <x v="1793"/>
    <x v="10"/>
    <x v="0"/>
    <x v="0"/>
    <x v="579"/>
    <x v="5053"/>
  </r>
  <r>
    <x v="2"/>
    <n v="2020"/>
    <x v="1776"/>
    <x v="0"/>
    <s v="CM"/>
    <s v="N"/>
    <x v="351"/>
    <x v="52"/>
    <x v="68"/>
    <m/>
    <x v="53"/>
    <m/>
    <x v="3"/>
    <x v="0"/>
    <x v="573"/>
    <d v="2013-07-14T00:00:00"/>
    <x v="8"/>
    <x v="0"/>
    <m/>
    <s v="Estaleiro"/>
    <x v="0"/>
    <x v="0"/>
    <m/>
    <x v="0"/>
    <x v="0"/>
    <x v="1794"/>
    <x v="3"/>
    <x v="0"/>
    <x v="1"/>
    <x v="573"/>
    <x v="5054"/>
  </r>
  <r>
    <x v="2"/>
    <n v="2046"/>
    <x v="1777"/>
    <x v="3"/>
    <s v="CM"/>
    <s v="N"/>
    <x v="1158"/>
    <x v="52"/>
    <x v="951"/>
    <m/>
    <x v="11"/>
    <m/>
    <x v="3"/>
    <x v="0"/>
    <x v="568"/>
    <d v="2013-10-12T00:00:00"/>
    <x v="14"/>
    <x v="1"/>
    <s v="Experimental"/>
    <m/>
    <x v="476"/>
    <x v="0"/>
    <m/>
    <x v="1"/>
    <x v="6"/>
    <x v="1795"/>
    <x v="3"/>
    <x v="583"/>
    <x v="1"/>
    <x v="568"/>
    <x v="5055"/>
  </r>
  <r>
    <x v="2"/>
    <n v="1738"/>
    <x v="1778"/>
    <x v="1"/>
    <s v="CM"/>
    <s v="N"/>
    <x v="617"/>
    <x v="41"/>
    <x v="831"/>
    <m/>
    <x v="348"/>
    <m/>
    <x v="3"/>
    <x v="0"/>
    <x v="511"/>
    <m/>
    <x v="2"/>
    <x v="1"/>
    <s v="Curta-metragem documental"/>
    <m/>
    <x v="0"/>
    <x v="0"/>
    <m/>
    <x v="0"/>
    <x v="2"/>
    <x v="1796"/>
    <x v="3"/>
    <x v="0"/>
    <x v="1"/>
    <x v="511"/>
    <x v="5056"/>
  </r>
  <r>
    <x v="2"/>
    <n v="1738"/>
    <x v="1778"/>
    <x v="1"/>
    <s v="CM"/>
    <s v="N"/>
    <x v="617"/>
    <x v="41"/>
    <x v="146"/>
    <m/>
    <x v="24"/>
    <m/>
    <x v="3"/>
    <x v="0"/>
    <x v="537"/>
    <d v="2013-04-28T00:00:00"/>
    <x v="5"/>
    <x v="1"/>
    <s v="Novíssimos - Documentário"/>
    <m/>
    <x v="0"/>
    <x v="0"/>
    <m/>
    <x v="0"/>
    <x v="2"/>
    <x v="1796"/>
    <x v="3"/>
    <x v="0"/>
    <x v="1"/>
    <x v="537"/>
    <x v="5057"/>
  </r>
  <r>
    <x v="2"/>
    <n v="1792"/>
    <x v="1779"/>
    <x v="0"/>
    <s v="CM"/>
    <s v="N"/>
    <x v="1159"/>
    <x v="2"/>
    <x v="825"/>
    <m/>
    <x v="409"/>
    <m/>
    <x v="3"/>
    <x v="0"/>
    <x v="499"/>
    <m/>
    <x v="7"/>
    <x v="1"/>
    <m/>
    <m/>
    <x v="0"/>
    <x v="0"/>
    <m/>
    <x v="0"/>
    <x v="0"/>
    <x v="1797"/>
    <x v="3"/>
    <x v="0"/>
    <x v="1"/>
    <x v="499"/>
    <x v="5058"/>
  </r>
  <r>
    <x v="2"/>
    <n v="381"/>
    <x v="270"/>
    <x v="0"/>
    <s v="CM"/>
    <s v="N"/>
    <x v="215"/>
    <x v="2"/>
    <x v="39"/>
    <m/>
    <x v="23"/>
    <m/>
    <x v="3"/>
    <x v="0"/>
    <x v="629"/>
    <m/>
    <x v="8"/>
    <x v="0"/>
    <m/>
    <m/>
    <x v="0"/>
    <x v="1"/>
    <s v="Cineclube do Porto"/>
    <x v="0"/>
    <x v="0"/>
    <x v="272"/>
    <x v="3"/>
    <x v="0"/>
    <x v="1"/>
    <x v="629"/>
    <x v="5059"/>
  </r>
  <r>
    <x v="2"/>
    <n v="1356"/>
    <x v="1097"/>
    <x v="1"/>
    <s v="CM"/>
    <s v="N"/>
    <x v="742"/>
    <x v="2"/>
    <x v="964"/>
    <m/>
    <x v="23"/>
    <m/>
    <x v="3"/>
    <x v="0"/>
    <x v="603"/>
    <d v="2013-04-25T00:00:00"/>
    <x v="5"/>
    <x v="0"/>
    <m/>
    <m/>
    <x v="0"/>
    <x v="1"/>
    <m/>
    <x v="0"/>
    <x v="2"/>
    <x v="1101"/>
    <x v="3"/>
    <x v="0"/>
    <x v="1"/>
    <x v="603"/>
    <x v="5060"/>
  </r>
  <r>
    <x v="2"/>
    <n v="2018"/>
    <x v="1780"/>
    <x v="1"/>
    <s v="CM"/>
    <s v="N"/>
    <x v="1160"/>
    <x v="52"/>
    <x v="24"/>
    <m/>
    <x v="24"/>
    <m/>
    <x v="3"/>
    <x v="0"/>
    <x v="604"/>
    <d v="2013-09-28T00:00:00"/>
    <x v="9"/>
    <x v="1"/>
    <s v="In My Shorts"/>
    <m/>
    <x v="477"/>
    <x v="0"/>
    <m/>
    <x v="1"/>
    <x v="2"/>
    <x v="1798"/>
    <x v="3"/>
    <x v="584"/>
    <x v="1"/>
    <x v="604"/>
    <x v="5061"/>
  </r>
  <r>
    <x v="2"/>
    <n v="1836"/>
    <x v="1781"/>
    <x v="1"/>
    <s v="CM"/>
    <s v="N"/>
    <x v="1161"/>
    <x v="41"/>
    <x v="906"/>
    <m/>
    <x v="348"/>
    <m/>
    <x v="3"/>
    <x v="0"/>
    <x v="592"/>
    <d v="2013-06-23T00:00:00"/>
    <x v="7"/>
    <x v="0"/>
    <m/>
    <m/>
    <x v="0"/>
    <x v="0"/>
    <m/>
    <x v="0"/>
    <x v="2"/>
    <x v="1799"/>
    <x v="3"/>
    <x v="0"/>
    <x v="1"/>
    <x v="592"/>
    <x v="5062"/>
  </r>
  <r>
    <x v="2"/>
    <n v="1402"/>
    <x v="1098"/>
    <x v="1"/>
    <s v="LM"/>
    <s v=""/>
    <x v="579"/>
    <x v="41"/>
    <x v="182"/>
    <m/>
    <x v="17"/>
    <m/>
    <x v="2"/>
    <x v="0"/>
    <x v="649"/>
    <d v="2013-03-31T00:00:00"/>
    <x v="2"/>
    <x v="1"/>
    <s v="Compétition Internationale"/>
    <m/>
    <x v="0"/>
    <x v="0"/>
    <m/>
    <x v="0"/>
    <x v="1"/>
    <x v="1102"/>
    <x v="2"/>
    <x v="0"/>
    <x v="0"/>
    <x v="649"/>
    <x v="5063"/>
  </r>
  <r>
    <x v="2"/>
    <n v="1402"/>
    <x v="1098"/>
    <x v="1"/>
    <s v="LM"/>
    <s v=""/>
    <x v="579"/>
    <x v="41"/>
    <x v="432"/>
    <m/>
    <x v="39"/>
    <m/>
    <x v="3"/>
    <x v="0"/>
    <x v="582"/>
    <d v="2013-04-20T00:00:00"/>
    <x v="5"/>
    <x v="1"/>
    <s v="Competição Nacional - Sessão 11"/>
    <m/>
    <x v="478"/>
    <x v="0"/>
    <m/>
    <x v="1"/>
    <x v="1"/>
    <x v="1102"/>
    <x v="3"/>
    <x v="585"/>
    <x v="1"/>
    <x v="582"/>
    <x v="5064"/>
  </r>
  <r>
    <x v="2"/>
    <n v="1402"/>
    <x v="1098"/>
    <x v="1"/>
    <s v="LM"/>
    <s v=""/>
    <x v="579"/>
    <x v="41"/>
    <x v="905"/>
    <m/>
    <x v="61"/>
    <m/>
    <x v="2"/>
    <x v="0"/>
    <x v="509"/>
    <d v="2013-12-01T00:00:00"/>
    <x v="11"/>
    <x v="0"/>
    <m/>
    <s v="Ida e Volta: Hommage au Portugal - Carte Blanche au festival Doclisboa"/>
    <x v="0"/>
    <x v="0"/>
    <m/>
    <x v="0"/>
    <x v="1"/>
    <x v="1102"/>
    <x v="2"/>
    <x v="0"/>
    <x v="0"/>
    <x v="509"/>
    <x v="5065"/>
  </r>
  <r>
    <x v="2"/>
    <n v="2094"/>
    <x v="1782"/>
    <x v="1"/>
    <s v="LM"/>
    <s v="N"/>
    <x v="1094"/>
    <x v="41"/>
    <x v="904"/>
    <m/>
    <x v="99"/>
    <m/>
    <x v="3"/>
    <x v="0"/>
    <x v="605"/>
    <d v="2013-07-05T00:00:00"/>
    <x v="8"/>
    <x v="0"/>
    <m/>
    <m/>
    <x v="0"/>
    <x v="1"/>
    <m/>
    <x v="0"/>
    <x v="1"/>
    <x v="1800"/>
    <x v="3"/>
    <x v="0"/>
    <x v="1"/>
    <x v="605"/>
    <x v="5066"/>
  </r>
  <r>
    <x v="2"/>
    <n v="385"/>
    <x v="272"/>
    <x v="2"/>
    <s v="CM"/>
    <s v="S"/>
    <x v="232"/>
    <x v="1"/>
    <x v="885"/>
    <m/>
    <x v="419"/>
    <m/>
    <x v="34"/>
    <x v="0"/>
    <x v="586"/>
    <d v="2013-01-27T00:00:00"/>
    <x v="15"/>
    <x v="0"/>
    <m/>
    <s v="Petit Black Movie: Aigre-doux à la portugaise"/>
    <x v="0"/>
    <x v="0"/>
    <m/>
    <x v="0"/>
    <x v="4"/>
    <x v="274"/>
    <x v="34"/>
    <x v="0"/>
    <x v="0"/>
    <x v="586"/>
    <x v="5067"/>
  </r>
  <r>
    <x v="2"/>
    <n v="2000"/>
    <x v="1783"/>
    <x v="0"/>
    <s v="CM"/>
    <s v="N"/>
    <x v="673"/>
    <x v="52"/>
    <x v="48"/>
    <m/>
    <x v="24"/>
    <m/>
    <x v="3"/>
    <x v="0"/>
    <x v="569"/>
    <d v="2013-09-15T00:00:00"/>
    <x v="9"/>
    <x v="1"/>
    <s v="Prémio Yorn MOTELx"/>
    <m/>
    <x v="77"/>
    <x v="0"/>
    <m/>
    <x v="1"/>
    <x v="0"/>
    <x v="1801"/>
    <x v="3"/>
    <x v="586"/>
    <x v="1"/>
    <x v="569"/>
    <x v="5068"/>
  </r>
  <r>
    <x v="2"/>
    <n v="2000"/>
    <x v="1783"/>
    <x v="0"/>
    <s v="CM"/>
    <s v="N"/>
    <x v="673"/>
    <x v="52"/>
    <x v="965"/>
    <m/>
    <x v="23"/>
    <m/>
    <x v="3"/>
    <x v="0"/>
    <x v="639"/>
    <m/>
    <x v="13"/>
    <x v="1"/>
    <m/>
    <m/>
    <x v="341"/>
    <x v="1"/>
    <m/>
    <x v="1"/>
    <x v="0"/>
    <x v="1801"/>
    <x v="3"/>
    <x v="408"/>
    <x v="1"/>
    <x v="639"/>
    <x v="5069"/>
  </r>
  <r>
    <x v="2"/>
    <n v="389"/>
    <x v="275"/>
    <x v="1"/>
    <s v="LM"/>
    <s v="N"/>
    <x v="235"/>
    <x v="3"/>
    <x v="450"/>
    <m/>
    <x v="24"/>
    <m/>
    <x v="3"/>
    <x v="0"/>
    <x v="570"/>
    <m/>
    <x v="8"/>
    <x v="0"/>
    <m/>
    <m/>
    <x v="0"/>
    <x v="1"/>
    <s v="Sessões Especiais, extensão da XI Mostra de Documentários sobre Direitos Humanos da AI (2012)"/>
    <x v="0"/>
    <x v="1"/>
    <x v="277"/>
    <x v="3"/>
    <x v="0"/>
    <x v="1"/>
    <x v="570"/>
    <x v="5070"/>
  </r>
  <r>
    <x v="2"/>
    <n v="394"/>
    <x v="278"/>
    <x v="0"/>
    <s v="CM"/>
    <s v="S"/>
    <x v="238"/>
    <x v="5"/>
    <x v="825"/>
    <m/>
    <x v="409"/>
    <m/>
    <x v="3"/>
    <x v="0"/>
    <x v="499"/>
    <m/>
    <x v="7"/>
    <x v="1"/>
    <m/>
    <m/>
    <x v="0"/>
    <x v="0"/>
    <m/>
    <x v="0"/>
    <x v="0"/>
    <x v="280"/>
    <x v="3"/>
    <x v="0"/>
    <x v="1"/>
    <x v="499"/>
    <x v="5071"/>
  </r>
  <r>
    <x v="2"/>
    <n v="395"/>
    <x v="279"/>
    <x v="0"/>
    <s v="LM"/>
    <s v="S"/>
    <x v="239"/>
    <x v="5"/>
    <x v="966"/>
    <m/>
    <x v="11"/>
    <m/>
    <x v="3"/>
    <x v="0"/>
    <x v="572"/>
    <d v="2013-01-29T00:00:00"/>
    <x v="15"/>
    <x v="0"/>
    <m/>
    <m/>
    <x v="0"/>
    <x v="1"/>
    <m/>
    <x v="0"/>
    <x v="5"/>
    <x v="281"/>
    <x v="3"/>
    <x v="0"/>
    <x v="1"/>
    <x v="572"/>
    <x v="5072"/>
  </r>
  <r>
    <x v="2"/>
    <n v="395"/>
    <x v="279"/>
    <x v="0"/>
    <s v="LM"/>
    <s v="S"/>
    <x v="239"/>
    <x v="5"/>
    <x v="583"/>
    <m/>
    <x v="49"/>
    <m/>
    <x v="3"/>
    <x v="0"/>
    <x v="602"/>
    <m/>
    <x v="15"/>
    <x v="0"/>
    <m/>
    <m/>
    <x v="0"/>
    <x v="1"/>
    <m/>
    <x v="0"/>
    <x v="5"/>
    <x v="281"/>
    <x v="3"/>
    <x v="0"/>
    <x v="1"/>
    <x v="602"/>
    <x v="5073"/>
  </r>
  <r>
    <x v="2"/>
    <n v="395"/>
    <x v="279"/>
    <x v="0"/>
    <s v="LM"/>
    <s v="S"/>
    <x v="239"/>
    <x v="5"/>
    <x v="134"/>
    <m/>
    <x v="99"/>
    <m/>
    <x v="3"/>
    <x v="0"/>
    <x v="496"/>
    <m/>
    <x v="1"/>
    <x v="0"/>
    <m/>
    <m/>
    <x v="0"/>
    <x v="1"/>
    <m/>
    <x v="0"/>
    <x v="5"/>
    <x v="281"/>
    <x v="3"/>
    <x v="0"/>
    <x v="1"/>
    <x v="496"/>
    <x v="5074"/>
  </r>
  <r>
    <x v="2"/>
    <n v="395"/>
    <x v="279"/>
    <x v="0"/>
    <s v="LM"/>
    <s v="S"/>
    <x v="239"/>
    <x v="5"/>
    <x v="967"/>
    <m/>
    <x v="290"/>
    <m/>
    <x v="3"/>
    <x v="0"/>
    <x v="658"/>
    <m/>
    <x v="2"/>
    <x v="0"/>
    <m/>
    <m/>
    <x v="0"/>
    <x v="1"/>
    <m/>
    <x v="0"/>
    <x v="5"/>
    <x v="281"/>
    <x v="3"/>
    <x v="0"/>
    <x v="1"/>
    <x v="658"/>
    <x v="5075"/>
  </r>
  <r>
    <x v="2"/>
    <n v="395"/>
    <x v="279"/>
    <x v="0"/>
    <s v="LM"/>
    <s v="S"/>
    <x v="239"/>
    <x v="5"/>
    <x v="835"/>
    <m/>
    <x v="243"/>
    <m/>
    <x v="64"/>
    <x v="0"/>
    <x v="515"/>
    <d v="2013-06-29T00:00:00"/>
    <x v="7"/>
    <x v="0"/>
    <m/>
    <s v="Portugal Euphoria"/>
    <x v="0"/>
    <x v="0"/>
    <m/>
    <x v="0"/>
    <x v="5"/>
    <x v="281"/>
    <x v="64"/>
    <x v="0"/>
    <x v="0"/>
    <x v="515"/>
    <x v="5076"/>
  </r>
  <r>
    <x v="2"/>
    <n v="396"/>
    <x v="280"/>
    <x v="0"/>
    <s v="CM"/>
    <s v="S"/>
    <x v="240"/>
    <x v="2"/>
    <x v="964"/>
    <m/>
    <x v="23"/>
    <m/>
    <x v="3"/>
    <x v="0"/>
    <x v="603"/>
    <d v="2013-04-25T00:00:00"/>
    <x v="5"/>
    <x v="0"/>
    <m/>
    <m/>
    <x v="0"/>
    <x v="1"/>
    <m/>
    <x v="0"/>
    <x v="0"/>
    <x v="282"/>
    <x v="3"/>
    <x v="0"/>
    <x v="1"/>
    <x v="603"/>
    <x v="5077"/>
  </r>
  <r>
    <x v="2"/>
    <n v="1915"/>
    <x v="1784"/>
    <x v="0"/>
    <s v="LM"/>
    <s v="N"/>
    <x v="1162"/>
    <x v="52"/>
    <x v="968"/>
    <m/>
    <x v="439"/>
    <m/>
    <x v="15"/>
    <x v="0"/>
    <x v="601"/>
    <d v="2013-07-28T00:00:00"/>
    <x v="8"/>
    <x v="1"/>
    <s v="In Concorso Generator+13"/>
    <m/>
    <x v="0"/>
    <x v="0"/>
    <m/>
    <x v="0"/>
    <x v="5"/>
    <x v="1802"/>
    <x v="15"/>
    <x v="0"/>
    <x v="0"/>
    <x v="601"/>
    <x v="5078"/>
  </r>
  <r>
    <x v="2"/>
    <n v="1915"/>
    <x v="1784"/>
    <x v="0"/>
    <s v="LM"/>
    <s v="N"/>
    <x v="1162"/>
    <x v="52"/>
    <x v="246"/>
    <m/>
    <x v="173"/>
    <m/>
    <x v="7"/>
    <x v="0"/>
    <x v="516"/>
    <d v="2013-09-02T00:00:00"/>
    <x v="20"/>
    <x v="0"/>
    <m/>
    <s v="Regards sur les cinémas du monde (Longs métrages)"/>
    <x v="0"/>
    <x v="0"/>
    <m/>
    <x v="0"/>
    <x v="5"/>
    <x v="1802"/>
    <x v="7"/>
    <x v="0"/>
    <x v="0"/>
    <x v="516"/>
    <x v="5079"/>
  </r>
  <r>
    <x v="2"/>
    <n v="1915"/>
    <x v="1784"/>
    <x v="0"/>
    <s v="LM"/>
    <s v="N"/>
    <x v="1162"/>
    <x v="52"/>
    <x v="492"/>
    <m/>
    <x v="128"/>
    <m/>
    <x v="1"/>
    <x v="0"/>
    <x v="519"/>
    <d v="2013-11-16T00:00:00"/>
    <x v="13"/>
    <x v="2"/>
    <s v="Europa Junior"/>
    <m/>
    <x v="0"/>
    <x v="0"/>
    <m/>
    <x v="0"/>
    <x v="5"/>
    <x v="1802"/>
    <x v="1"/>
    <x v="0"/>
    <x v="0"/>
    <x v="519"/>
    <x v="5080"/>
  </r>
  <r>
    <x v="2"/>
    <n v="1889"/>
    <x v="1785"/>
    <x v="0"/>
    <s v="CM"/>
    <s v="N"/>
    <x v="1163"/>
    <x v="52"/>
    <x v="68"/>
    <m/>
    <x v="53"/>
    <m/>
    <x v="3"/>
    <x v="0"/>
    <x v="573"/>
    <d v="2013-07-14T00:00:00"/>
    <x v="8"/>
    <x v="1"/>
    <s v="Competição Nacional"/>
    <m/>
    <x v="0"/>
    <x v="0"/>
    <m/>
    <x v="0"/>
    <x v="0"/>
    <x v="1803"/>
    <x v="3"/>
    <x v="0"/>
    <x v="1"/>
    <x v="573"/>
    <x v="5081"/>
  </r>
  <r>
    <x v="2"/>
    <n v="404"/>
    <x v="286"/>
    <x v="0"/>
    <s v="CM"/>
    <s v="S"/>
    <x v="246"/>
    <x v="1"/>
    <x v="843"/>
    <m/>
    <x v="253"/>
    <m/>
    <x v="0"/>
    <x v="0"/>
    <x v="532"/>
    <d v="2013-05-26T00:00:00"/>
    <x v="6"/>
    <x v="0"/>
    <m/>
    <m/>
    <x v="0"/>
    <x v="1"/>
    <m/>
    <x v="0"/>
    <x v="0"/>
    <x v="288"/>
    <x v="0"/>
    <x v="0"/>
    <x v="0"/>
    <x v="532"/>
    <x v="5082"/>
  </r>
  <r>
    <x v="2"/>
    <n v="404"/>
    <x v="286"/>
    <x v="0"/>
    <s v="CM"/>
    <s v="S"/>
    <x v="246"/>
    <x v="1"/>
    <x v="844"/>
    <m/>
    <x v="0"/>
    <m/>
    <x v="0"/>
    <x v="0"/>
    <x v="533"/>
    <d v="2013-06-06T00:00:00"/>
    <x v="22"/>
    <x v="0"/>
    <m/>
    <m/>
    <x v="0"/>
    <x v="1"/>
    <m/>
    <x v="0"/>
    <x v="0"/>
    <x v="288"/>
    <x v="0"/>
    <x v="0"/>
    <x v="0"/>
    <x v="533"/>
    <x v="5083"/>
  </r>
  <r>
    <x v="2"/>
    <n v="1839"/>
    <x v="1786"/>
    <x v="1"/>
    <s v="CM"/>
    <s v="N"/>
    <x v="525"/>
    <x v="27"/>
    <x v="906"/>
    <m/>
    <x v="348"/>
    <m/>
    <x v="3"/>
    <x v="0"/>
    <x v="592"/>
    <d v="2013-06-23T00:00:00"/>
    <x v="7"/>
    <x v="0"/>
    <m/>
    <m/>
    <x v="0"/>
    <x v="0"/>
    <m/>
    <x v="0"/>
    <x v="2"/>
    <x v="1804"/>
    <x v="3"/>
    <x v="0"/>
    <x v="1"/>
    <x v="592"/>
    <x v="5084"/>
  </r>
  <r>
    <x v="2"/>
    <n v="1848"/>
    <x v="1787"/>
    <x v="0"/>
    <s v="CM"/>
    <s v="N"/>
    <x v="80"/>
    <x v="52"/>
    <x v="146"/>
    <m/>
    <x v="24"/>
    <m/>
    <x v="3"/>
    <x v="0"/>
    <x v="537"/>
    <d v="2013-04-28T00:00:00"/>
    <x v="5"/>
    <x v="1"/>
    <s v="Competição Nacional"/>
    <s v="Observatório"/>
    <x v="0"/>
    <x v="0"/>
    <m/>
    <x v="0"/>
    <x v="0"/>
    <x v="1805"/>
    <x v="3"/>
    <x v="0"/>
    <x v="1"/>
    <x v="537"/>
    <x v="5085"/>
  </r>
  <r>
    <x v="2"/>
    <n v="1848"/>
    <x v="1787"/>
    <x v="0"/>
    <s v="CM"/>
    <s v="N"/>
    <x v="80"/>
    <x v="52"/>
    <x v="68"/>
    <m/>
    <x v="53"/>
    <m/>
    <x v="3"/>
    <x v="0"/>
    <x v="573"/>
    <d v="2013-07-14T00:00:00"/>
    <x v="8"/>
    <x v="0"/>
    <m/>
    <s v="Panorama Nacional"/>
    <x v="0"/>
    <x v="0"/>
    <m/>
    <x v="0"/>
    <x v="0"/>
    <x v="1805"/>
    <x v="3"/>
    <x v="0"/>
    <x v="1"/>
    <x v="573"/>
    <x v="5086"/>
  </r>
  <r>
    <x v="2"/>
    <n v="1848"/>
    <x v="1787"/>
    <x v="0"/>
    <s v="CM"/>
    <s v="N"/>
    <x v="80"/>
    <x v="52"/>
    <x v="709"/>
    <m/>
    <x v="65"/>
    <m/>
    <x v="9"/>
    <x v="0"/>
    <x v="619"/>
    <d v="2013-10-13T00:00:00"/>
    <x v="10"/>
    <x v="0"/>
    <m/>
    <s v="Views from the Avant-Garde Program 7: Sandro Aguilar - Dive: Approach and Exit"/>
    <x v="0"/>
    <x v="0"/>
    <m/>
    <x v="0"/>
    <x v="0"/>
    <x v="1805"/>
    <x v="9"/>
    <x v="0"/>
    <x v="0"/>
    <x v="619"/>
    <x v="5087"/>
  </r>
  <r>
    <x v="2"/>
    <n v="1848"/>
    <x v="1787"/>
    <x v="0"/>
    <s v="CM"/>
    <s v="N"/>
    <x v="80"/>
    <x v="52"/>
    <x v="389"/>
    <m/>
    <x v="173"/>
    <m/>
    <x v="7"/>
    <x v="0"/>
    <x v="615"/>
    <d v="2013-10-20T00:00:00"/>
    <x v="14"/>
    <x v="1"/>
    <s v="Compétition Internationale Courts-Métrages: Jusqu'au bout du monde"/>
    <m/>
    <x v="0"/>
    <x v="0"/>
    <m/>
    <x v="0"/>
    <x v="0"/>
    <x v="1805"/>
    <x v="7"/>
    <x v="0"/>
    <x v="0"/>
    <x v="615"/>
    <x v="5088"/>
  </r>
  <r>
    <x v="2"/>
    <n v="1848"/>
    <x v="1787"/>
    <x v="0"/>
    <s v="CM"/>
    <s v="N"/>
    <x v="80"/>
    <x v="52"/>
    <x v="928"/>
    <m/>
    <x v="78"/>
    <m/>
    <x v="20"/>
    <x v="0"/>
    <x v="528"/>
    <d v="2013-10-20T00:00:00"/>
    <x v="14"/>
    <x v="1"/>
    <s v="World Shorts: Programme 2"/>
    <m/>
    <x v="479"/>
    <x v="0"/>
    <m/>
    <x v="1"/>
    <x v="0"/>
    <x v="1805"/>
    <x v="20"/>
    <x v="587"/>
    <x v="0"/>
    <x v="528"/>
    <x v="5089"/>
  </r>
  <r>
    <x v="2"/>
    <n v="1848"/>
    <x v="1787"/>
    <x v="0"/>
    <s v="CM"/>
    <s v="N"/>
    <x v="80"/>
    <x v="52"/>
    <x v="492"/>
    <m/>
    <x v="128"/>
    <m/>
    <x v="1"/>
    <x v="0"/>
    <x v="519"/>
    <d v="2013-11-16T00:00:00"/>
    <x v="13"/>
    <x v="0"/>
    <m/>
    <s v="Focus Europa: Portugal"/>
    <x v="0"/>
    <x v="0"/>
    <m/>
    <x v="0"/>
    <x v="0"/>
    <x v="1805"/>
    <x v="1"/>
    <x v="0"/>
    <x v="0"/>
    <x v="519"/>
    <x v="5090"/>
  </r>
  <r>
    <x v="2"/>
    <n v="1848"/>
    <x v="1787"/>
    <x v="0"/>
    <s v="CM"/>
    <s v="N"/>
    <x v="80"/>
    <x v="52"/>
    <x v="890"/>
    <m/>
    <x v="319"/>
    <m/>
    <x v="1"/>
    <x v="0"/>
    <x v="594"/>
    <d v="2013-12-13T00:00:00"/>
    <x v="11"/>
    <x v="0"/>
    <m/>
    <s v="Curtametraxes: Sandro Aguilar"/>
    <x v="0"/>
    <x v="1"/>
    <s v="No CGAI"/>
    <x v="0"/>
    <x v="0"/>
    <x v="1805"/>
    <x v="1"/>
    <x v="0"/>
    <x v="0"/>
    <x v="594"/>
    <x v="5091"/>
  </r>
  <r>
    <x v="2"/>
    <n v="406"/>
    <x v="1111"/>
    <x v="2"/>
    <s v="CM"/>
    <s v="N"/>
    <x v="517"/>
    <x v="41"/>
    <x v="26"/>
    <m/>
    <x v="24"/>
    <m/>
    <x v="3"/>
    <x v="0"/>
    <x v="571"/>
    <d v="2013-03-17T00:00:00"/>
    <x v="2"/>
    <x v="1"/>
    <s v="Competição SPAutores/Vasco Granja"/>
    <m/>
    <x v="0"/>
    <x v="0"/>
    <m/>
    <x v="0"/>
    <x v="4"/>
    <x v="1115"/>
    <x v="3"/>
    <x v="0"/>
    <x v="1"/>
    <x v="571"/>
    <x v="5092"/>
  </r>
  <r>
    <x v="2"/>
    <n v="406"/>
    <x v="1111"/>
    <x v="2"/>
    <s v="CM"/>
    <s v="N"/>
    <x v="517"/>
    <x v="41"/>
    <x v="34"/>
    <m/>
    <x v="32"/>
    <m/>
    <x v="3"/>
    <x v="0"/>
    <x v="525"/>
    <d v="2013-05-12T00:00:00"/>
    <x v="6"/>
    <x v="1"/>
    <s v="Animação"/>
    <m/>
    <x v="0"/>
    <x v="0"/>
    <m/>
    <x v="0"/>
    <x v="4"/>
    <x v="1115"/>
    <x v="3"/>
    <x v="0"/>
    <x v="1"/>
    <x v="525"/>
    <x v="5093"/>
  </r>
  <r>
    <x v="2"/>
    <n v="1489"/>
    <x v="1113"/>
    <x v="0"/>
    <s v="CM"/>
    <s v="N"/>
    <x v="265"/>
    <x v="3"/>
    <x v="316"/>
    <m/>
    <x v="11"/>
    <m/>
    <x v="3"/>
    <x v="0"/>
    <x v="500"/>
    <d v="2013-08-31T00:00:00"/>
    <x v="16"/>
    <x v="1"/>
    <s v="Ficção"/>
    <m/>
    <x v="0"/>
    <x v="0"/>
    <m/>
    <x v="0"/>
    <x v="0"/>
    <x v="1117"/>
    <x v="3"/>
    <x v="0"/>
    <x v="1"/>
    <x v="500"/>
    <x v="5094"/>
  </r>
  <r>
    <x v="2"/>
    <n v="1737"/>
    <x v="1788"/>
    <x v="1"/>
    <s v="CM"/>
    <s v="N"/>
    <x v="1164"/>
    <x v="41"/>
    <x v="831"/>
    <m/>
    <x v="348"/>
    <m/>
    <x v="3"/>
    <x v="0"/>
    <x v="511"/>
    <m/>
    <x v="2"/>
    <x v="1"/>
    <s v="Curta-metragem documental"/>
    <m/>
    <x v="0"/>
    <x v="0"/>
    <m/>
    <x v="0"/>
    <x v="2"/>
    <x v="1806"/>
    <x v="3"/>
    <x v="0"/>
    <x v="1"/>
    <x v="511"/>
    <x v="5095"/>
  </r>
  <r>
    <x v="2"/>
    <n v="2115"/>
    <x v="1788"/>
    <x v="2"/>
    <s v="CM"/>
    <s v="N"/>
    <x v="1165"/>
    <x v="2"/>
    <x v="969"/>
    <m/>
    <x v="40"/>
    <m/>
    <x v="3"/>
    <x v="0"/>
    <x v="659"/>
    <m/>
    <x v="12"/>
    <x v="0"/>
    <m/>
    <m/>
    <x v="0"/>
    <x v="1"/>
    <m/>
    <x v="0"/>
    <x v="4"/>
    <x v="1807"/>
    <x v="3"/>
    <x v="0"/>
    <x v="1"/>
    <x v="659"/>
    <x v="5096"/>
  </r>
  <r>
    <x v="2"/>
    <n v="1950"/>
    <x v="1789"/>
    <x v="1"/>
    <s v="CM"/>
    <s v="N"/>
    <x v="1166"/>
    <x v="18"/>
    <x v="316"/>
    <m/>
    <x v="11"/>
    <m/>
    <x v="3"/>
    <x v="0"/>
    <x v="500"/>
    <d v="2013-08-31T00:00:00"/>
    <x v="16"/>
    <x v="1"/>
    <s v="Documentário"/>
    <m/>
    <x v="0"/>
    <x v="0"/>
    <m/>
    <x v="0"/>
    <x v="2"/>
    <x v="1808"/>
    <x v="3"/>
    <x v="0"/>
    <x v="1"/>
    <x v="500"/>
    <x v="5097"/>
  </r>
  <r>
    <x v="2"/>
    <n v="410"/>
    <x v="289"/>
    <x v="2"/>
    <s v="Série"/>
    <s v="S"/>
    <x v="73"/>
    <x v="5"/>
    <x v="426"/>
    <m/>
    <x v="274"/>
    <m/>
    <x v="9"/>
    <x v="0"/>
    <x v="660"/>
    <d v="2013-02-19T00:00:00"/>
    <x v="1"/>
    <x v="0"/>
    <m/>
    <s v="The Best of New York Children's Film Festival 2012 - Kid Flix Mix"/>
    <x v="0"/>
    <x v="0"/>
    <m/>
    <x v="0"/>
    <x v="9"/>
    <x v="291"/>
    <x v="9"/>
    <x v="0"/>
    <x v="0"/>
    <x v="660"/>
    <x v="5098"/>
  </r>
  <r>
    <x v="2"/>
    <n v="410"/>
    <x v="289"/>
    <x v="2"/>
    <s v="Série"/>
    <s v="S"/>
    <x v="73"/>
    <x v="5"/>
    <x v="916"/>
    <m/>
    <x v="428"/>
    <m/>
    <x v="50"/>
    <x v="0"/>
    <x v="612"/>
    <d v="2013-04-28T00:00:00"/>
    <x v="5"/>
    <x v="0"/>
    <m/>
    <s v="The Best of Animfest"/>
    <x v="0"/>
    <x v="0"/>
    <m/>
    <x v="0"/>
    <x v="9"/>
    <x v="291"/>
    <x v="50"/>
    <x v="0"/>
    <x v="0"/>
    <x v="612"/>
    <x v="5099"/>
  </r>
  <r>
    <x v="2"/>
    <n v="410"/>
    <x v="289"/>
    <x v="2"/>
    <s v="Série"/>
    <s v="S"/>
    <x v="73"/>
    <x v="5"/>
    <x v="905"/>
    <m/>
    <x v="61"/>
    <m/>
    <x v="2"/>
    <x v="0"/>
    <x v="509"/>
    <d v="2013-12-01T00:00:00"/>
    <x v="11"/>
    <x v="0"/>
    <m/>
    <s v="Ida e Volta: Hommage au Portugal"/>
    <x v="0"/>
    <x v="0"/>
    <m/>
    <x v="0"/>
    <x v="9"/>
    <x v="291"/>
    <x v="2"/>
    <x v="0"/>
    <x v="0"/>
    <x v="509"/>
    <x v="5100"/>
  </r>
  <r>
    <x v="2"/>
    <n v="413"/>
    <x v="291"/>
    <x v="0"/>
    <s v="CM"/>
    <s v="N"/>
    <x v="249"/>
    <x v="3"/>
    <x v="192"/>
    <m/>
    <x v="140"/>
    <m/>
    <x v="3"/>
    <x v="0"/>
    <x v="334"/>
    <d v="2013-07-28T00:00:00"/>
    <x v="8"/>
    <x v="0"/>
    <m/>
    <m/>
    <x v="0"/>
    <x v="0"/>
    <m/>
    <x v="0"/>
    <x v="0"/>
    <x v="293"/>
    <x v="3"/>
    <x v="0"/>
    <x v="1"/>
    <x v="334"/>
    <x v="5101"/>
  </r>
  <r>
    <x v="2"/>
    <n v="415"/>
    <x v="292"/>
    <x v="1"/>
    <s v="CM"/>
    <s v="N"/>
    <x v="250"/>
    <x v="3"/>
    <x v="970"/>
    <m/>
    <x v="24"/>
    <m/>
    <x v="3"/>
    <x v="0"/>
    <x v="661"/>
    <m/>
    <x v="1"/>
    <x v="0"/>
    <m/>
    <m/>
    <x v="0"/>
    <x v="1"/>
    <s v="Espaço Nimas"/>
    <x v="0"/>
    <x v="2"/>
    <x v="294"/>
    <x v="3"/>
    <x v="0"/>
    <x v="1"/>
    <x v="661"/>
    <x v="5102"/>
  </r>
  <r>
    <x v="2"/>
    <n v="1883"/>
    <x v="1116"/>
    <x v="1"/>
    <s v="LM"/>
    <s v="N"/>
    <x v="1167"/>
    <x v="41"/>
    <x v="519"/>
    <m/>
    <x v="24"/>
    <m/>
    <x v="3"/>
    <x v="0"/>
    <x v="504"/>
    <d v="2013-05-11T00:00:00"/>
    <x v="6"/>
    <x v="0"/>
    <m/>
    <s v="Sessão Lisboa II"/>
    <x v="0"/>
    <x v="1"/>
    <m/>
    <x v="0"/>
    <x v="1"/>
    <x v="1809"/>
    <x v="3"/>
    <x v="0"/>
    <x v="1"/>
    <x v="504"/>
    <x v="5103"/>
  </r>
  <r>
    <x v="2"/>
    <n v="1532"/>
    <x v="1116"/>
    <x v="0"/>
    <s v="LM"/>
    <s v="N"/>
    <x v="105"/>
    <x v="44"/>
    <x v="846"/>
    <m/>
    <x v="417"/>
    <m/>
    <x v="11"/>
    <x v="0"/>
    <x v="535"/>
    <d v="2013-08-03T00:00:00"/>
    <x v="25"/>
    <x v="0"/>
    <m/>
    <s v="Focus Portugal: Novo Cinema"/>
    <x v="0"/>
    <x v="0"/>
    <m/>
    <x v="0"/>
    <x v="5"/>
    <x v="1120"/>
    <x v="11"/>
    <x v="0"/>
    <x v="0"/>
    <x v="535"/>
    <x v="5104"/>
  </r>
  <r>
    <x v="2"/>
    <n v="2082"/>
    <x v="1790"/>
    <x v="2"/>
    <s v="CM"/>
    <s v="N"/>
    <x v="1168"/>
    <x v="52"/>
    <x v="27"/>
    <m/>
    <x v="25"/>
    <m/>
    <x v="3"/>
    <x v="0"/>
    <x v="611"/>
    <d v="2013-11-17T00:00:00"/>
    <x v="13"/>
    <x v="1"/>
    <s v="Competição Nacional: Prémio Jovem Cineasta Porrtuguês (+18 anos)"/>
    <m/>
    <x v="7"/>
    <x v="0"/>
    <m/>
    <x v="1"/>
    <x v="4"/>
    <x v="1810"/>
    <x v="3"/>
    <x v="588"/>
    <x v="1"/>
    <x v="611"/>
    <x v="5105"/>
  </r>
  <r>
    <x v="2"/>
    <n v="1762"/>
    <x v="1791"/>
    <x v="1"/>
    <s v="CM"/>
    <s v="N"/>
    <x v="1169"/>
    <x v="41"/>
    <x v="63"/>
    <m/>
    <x v="24"/>
    <m/>
    <x v="3"/>
    <x v="0"/>
    <x v="556"/>
    <d v="2013-04-10T00:00:00"/>
    <x v="5"/>
    <x v="0"/>
    <m/>
    <s v="Maratona de documentários"/>
    <x v="0"/>
    <x v="0"/>
    <m/>
    <x v="0"/>
    <x v="2"/>
    <x v="1811"/>
    <x v="3"/>
    <x v="0"/>
    <x v="1"/>
    <x v="556"/>
    <x v="5106"/>
  </r>
  <r>
    <x v="2"/>
    <n v="1870"/>
    <x v="1118"/>
    <x v="1"/>
    <s v="CM"/>
    <s v="N"/>
    <x v="754"/>
    <x v="3"/>
    <x v="162"/>
    <m/>
    <x v="124"/>
    <m/>
    <x v="3"/>
    <x v="0"/>
    <x v="619"/>
    <m/>
    <x v="9"/>
    <x v="0"/>
    <m/>
    <m/>
    <x v="0"/>
    <x v="1"/>
    <m/>
    <x v="0"/>
    <x v="2"/>
    <x v="1122"/>
    <x v="3"/>
    <x v="0"/>
    <x v="1"/>
    <x v="619"/>
    <x v="5107"/>
  </r>
  <r>
    <x v="2"/>
    <n v="416"/>
    <x v="1119"/>
    <x v="0"/>
    <s v="LM"/>
    <s v="S"/>
    <x v="26"/>
    <x v="15"/>
    <x v="857"/>
    <m/>
    <x v="419"/>
    <m/>
    <x v="34"/>
    <x v="0"/>
    <x v="554"/>
    <d v="2013-08-25T00:00:00"/>
    <x v="16"/>
    <x v="0"/>
    <m/>
    <m/>
    <x v="0"/>
    <x v="0"/>
    <m/>
    <x v="0"/>
    <x v="5"/>
    <x v="1123"/>
    <x v="34"/>
    <x v="0"/>
    <x v="0"/>
    <x v="554"/>
    <x v="5108"/>
  </r>
  <r>
    <x v="2"/>
    <n v="417"/>
    <x v="293"/>
    <x v="1"/>
    <s v="CM"/>
    <s v="N"/>
    <x v="20"/>
    <x v="23"/>
    <x v="846"/>
    <m/>
    <x v="417"/>
    <m/>
    <x v="11"/>
    <x v="0"/>
    <x v="535"/>
    <d v="2013-08-03T00:00:00"/>
    <x v="25"/>
    <x v="0"/>
    <m/>
    <s v="Focus Portugal: Manoel de Oliveira"/>
    <x v="0"/>
    <x v="0"/>
    <m/>
    <x v="0"/>
    <x v="2"/>
    <x v="295"/>
    <x v="11"/>
    <x v="0"/>
    <x v="0"/>
    <x v="535"/>
    <x v="5109"/>
  </r>
  <r>
    <x v="2"/>
    <n v="417"/>
    <x v="293"/>
    <x v="1"/>
    <s v="CM"/>
    <s v="N"/>
    <x v="20"/>
    <x v="23"/>
    <x v="905"/>
    <m/>
    <x v="61"/>
    <m/>
    <x v="2"/>
    <x v="0"/>
    <x v="509"/>
    <d v="2013-12-01T00:00:00"/>
    <x v="11"/>
    <x v="0"/>
    <m/>
    <s v="Ida e Volta: Hommage au Portugal"/>
    <x v="0"/>
    <x v="0"/>
    <m/>
    <x v="0"/>
    <x v="2"/>
    <x v="295"/>
    <x v="2"/>
    <x v="0"/>
    <x v="0"/>
    <x v="509"/>
    <x v="5110"/>
  </r>
  <r>
    <x v="2"/>
    <n v="1747"/>
    <x v="1792"/>
    <x v="5"/>
    <s v="CM"/>
    <s v="N"/>
    <x v="1170"/>
    <x v="41"/>
    <x v="831"/>
    <m/>
    <x v="348"/>
    <m/>
    <x v="3"/>
    <x v="0"/>
    <x v="511"/>
    <m/>
    <x v="2"/>
    <x v="1"/>
    <s v="Videoclip"/>
    <m/>
    <x v="0"/>
    <x v="0"/>
    <m/>
    <x v="0"/>
    <x v="15"/>
    <x v="1812"/>
    <x v="3"/>
    <x v="0"/>
    <x v="1"/>
    <x v="511"/>
    <x v="5111"/>
  </r>
  <r>
    <x v="2"/>
    <n v="423"/>
    <x v="298"/>
    <x v="0"/>
    <s v="CM"/>
    <s v="N"/>
    <x v="255"/>
    <x v="3"/>
    <x v="951"/>
    <m/>
    <x v="11"/>
    <m/>
    <x v="3"/>
    <x v="0"/>
    <x v="568"/>
    <d v="2013-10-12T00:00:00"/>
    <x v="14"/>
    <x v="1"/>
    <s v="Ficção"/>
    <m/>
    <x v="0"/>
    <x v="0"/>
    <m/>
    <x v="0"/>
    <x v="0"/>
    <x v="300"/>
    <x v="3"/>
    <x v="0"/>
    <x v="1"/>
    <x v="568"/>
    <x v="5112"/>
  </r>
  <r>
    <x v="2"/>
    <n v="1607"/>
    <x v="1120"/>
    <x v="0"/>
    <s v="CM"/>
    <s v="N"/>
    <x v="756"/>
    <x v="41"/>
    <x v="62"/>
    <m/>
    <x v="23"/>
    <m/>
    <x v="3"/>
    <x v="0"/>
    <x v="503"/>
    <d v="2013-03-10T00:00:00"/>
    <x v="19"/>
    <x v="1"/>
    <s v="Prémio de Cinema Português - Escolas de Cinema"/>
    <m/>
    <x v="0"/>
    <x v="0"/>
    <s v="Escola Artística de Soares dos Reis"/>
    <x v="0"/>
    <x v="0"/>
    <x v="1125"/>
    <x v="3"/>
    <x v="0"/>
    <x v="1"/>
    <x v="503"/>
    <x v="5113"/>
  </r>
  <r>
    <x v="2"/>
    <n v="1943"/>
    <x v="1793"/>
    <x v="1"/>
    <s v="LM"/>
    <s v="S"/>
    <x v="1171"/>
    <x v="52"/>
    <x v="147"/>
    <m/>
    <x v="112"/>
    <m/>
    <x v="34"/>
    <x v="0"/>
    <x v="626"/>
    <d v="2013-08-17T00:00:00"/>
    <x v="16"/>
    <x v="1"/>
    <s v="Concorso Internazionale"/>
    <m/>
    <x v="480"/>
    <x v="0"/>
    <m/>
    <x v="1"/>
    <x v="1"/>
    <x v="1813"/>
    <x v="34"/>
    <x v="589"/>
    <x v="0"/>
    <x v="626"/>
    <x v="5114"/>
  </r>
  <r>
    <x v="2"/>
    <n v="1943"/>
    <x v="1793"/>
    <x v="1"/>
    <s v="LM"/>
    <s v="S"/>
    <x v="1171"/>
    <x v="52"/>
    <x v="938"/>
    <m/>
    <x v="165"/>
    <m/>
    <x v="4"/>
    <x v="0"/>
    <x v="636"/>
    <d v="2013-09-22T00:00:00"/>
    <x v="9"/>
    <x v="1"/>
    <s v="Competencia Largometrajes Internacionales"/>
    <m/>
    <x v="481"/>
    <x v="0"/>
    <m/>
    <x v="1"/>
    <x v="1"/>
    <x v="1813"/>
    <x v="4"/>
    <x v="590"/>
    <x v="0"/>
    <x v="636"/>
    <x v="5115"/>
  </r>
  <r>
    <x v="2"/>
    <n v="1943"/>
    <x v="1793"/>
    <x v="1"/>
    <s v="LM"/>
    <s v="S"/>
    <x v="1171"/>
    <x v="52"/>
    <x v="836"/>
    <m/>
    <x v="163"/>
    <m/>
    <x v="5"/>
    <x v="0"/>
    <x v="505"/>
    <d v="2013-10-05T00:00:00"/>
    <x v="10"/>
    <x v="0"/>
    <m/>
    <s v="Vitrina"/>
    <x v="0"/>
    <x v="0"/>
    <m/>
    <x v="0"/>
    <x v="1"/>
    <x v="1813"/>
    <x v="5"/>
    <x v="0"/>
    <x v="0"/>
    <x v="505"/>
    <x v="5116"/>
  </r>
  <r>
    <x v="2"/>
    <n v="1943"/>
    <x v="1793"/>
    <x v="1"/>
    <s v="LM"/>
    <s v="S"/>
    <x v="1171"/>
    <x v="52"/>
    <x v="709"/>
    <m/>
    <x v="65"/>
    <m/>
    <x v="9"/>
    <x v="0"/>
    <x v="619"/>
    <d v="2013-10-13T00:00:00"/>
    <x v="10"/>
    <x v="0"/>
    <m/>
    <s v="Motion Portraits"/>
    <x v="0"/>
    <x v="0"/>
    <m/>
    <x v="0"/>
    <x v="1"/>
    <x v="1813"/>
    <x v="9"/>
    <x v="0"/>
    <x v="0"/>
    <x v="619"/>
    <x v="5117"/>
  </r>
  <r>
    <x v="2"/>
    <n v="1943"/>
    <x v="1793"/>
    <x v="1"/>
    <s v="LM"/>
    <s v="S"/>
    <x v="1171"/>
    <x v="52"/>
    <x v="491"/>
    <m/>
    <x v="299"/>
    <m/>
    <x v="61"/>
    <x v="0"/>
    <x v="624"/>
    <d v="2013-10-13T00:00:00"/>
    <x v="14"/>
    <x v="1"/>
    <s v="Competencia Largometraje Internacional"/>
    <m/>
    <x v="482"/>
    <x v="0"/>
    <m/>
    <x v="1"/>
    <x v="1"/>
    <x v="1813"/>
    <x v="61"/>
    <x v="591"/>
    <x v="0"/>
    <x v="624"/>
    <x v="5118"/>
  </r>
  <r>
    <x v="2"/>
    <n v="1943"/>
    <x v="1793"/>
    <x v="1"/>
    <s v="LM"/>
    <s v="S"/>
    <x v="1171"/>
    <x v="52"/>
    <x v="179"/>
    <m/>
    <x v="133"/>
    <m/>
    <x v="0"/>
    <x v="0"/>
    <x v="501"/>
    <d v="2013-10-31T00:00:00"/>
    <x v="14"/>
    <x v="0"/>
    <m/>
    <s v="Perspectiva Internacional"/>
    <x v="0"/>
    <x v="0"/>
    <m/>
    <x v="0"/>
    <x v="1"/>
    <x v="1813"/>
    <x v="0"/>
    <x v="0"/>
    <x v="0"/>
    <x v="501"/>
    <x v="5119"/>
  </r>
  <r>
    <x v="2"/>
    <n v="1943"/>
    <x v="1793"/>
    <x v="1"/>
    <s v="LM"/>
    <s v="S"/>
    <x v="1171"/>
    <x v="52"/>
    <x v="149"/>
    <m/>
    <x v="114"/>
    <m/>
    <x v="35"/>
    <x v="0"/>
    <x v="553"/>
    <d v="2013-11-06T00:00:00"/>
    <x v="0"/>
    <x v="0"/>
    <m/>
    <s v="Dokumentarfilme"/>
    <x v="0"/>
    <x v="0"/>
    <m/>
    <x v="0"/>
    <x v="1"/>
    <x v="1813"/>
    <x v="35"/>
    <x v="0"/>
    <x v="0"/>
    <x v="553"/>
    <x v="5120"/>
  </r>
  <r>
    <x v="2"/>
    <n v="1943"/>
    <x v="1793"/>
    <x v="1"/>
    <s v="LM"/>
    <s v="S"/>
    <x v="1171"/>
    <x v="52"/>
    <x v="25"/>
    <m/>
    <x v="24"/>
    <m/>
    <x v="3"/>
    <x v="0"/>
    <x v="553"/>
    <d v="2013-11-03T00:00:00"/>
    <x v="0"/>
    <x v="1"/>
    <s v="Competição Internacional - Longas"/>
    <m/>
    <x v="483"/>
    <x v="0"/>
    <m/>
    <x v="1"/>
    <x v="1"/>
    <x v="1813"/>
    <x v="3"/>
    <x v="592"/>
    <x v="1"/>
    <x v="553"/>
    <x v="5121"/>
  </r>
  <r>
    <x v="2"/>
    <n v="1943"/>
    <x v="1793"/>
    <x v="1"/>
    <s v="LM"/>
    <s v="S"/>
    <x v="1171"/>
    <x v="52"/>
    <x v="150"/>
    <m/>
    <x v="115"/>
    <m/>
    <x v="36"/>
    <x v="0"/>
    <x v="574"/>
    <d v="2013-11-17T00:00:00"/>
    <x v="13"/>
    <x v="0"/>
    <m/>
    <s v="Auteurs"/>
    <x v="0"/>
    <x v="0"/>
    <m/>
    <x v="0"/>
    <x v="1"/>
    <x v="1813"/>
    <x v="36"/>
    <x v="0"/>
    <x v="0"/>
    <x v="574"/>
    <x v="5122"/>
  </r>
  <r>
    <x v="2"/>
    <n v="1943"/>
    <x v="1793"/>
    <x v="1"/>
    <s v="LM"/>
    <s v="S"/>
    <x v="1171"/>
    <x v="52"/>
    <x v="492"/>
    <m/>
    <x v="128"/>
    <m/>
    <x v="1"/>
    <x v="0"/>
    <x v="519"/>
    <d v="2013-11-16T00:00:00"/>
    <x v="13"/>
    <x v="1"/>
    <s v="Las Nuevas Olas: No Ficción"/>
    <m/>
    <x v="0"/>
    <x v="0"/>
    <m/>
    <x v="0"/>
    <x v="1"/>
    <x v="1813"/>
    <x v="1"/>
    <x v="0"/>
    <x v="0"/>
    <x v="519"/>
    <x v="5123"/>
  </r>
  <r>
    <x v="2"/>
    <n v="1943"/>
    <x v="1793"/>
    <x v="1"/>
    <s v="LM"/>
    <s v="S"/>
    <x v="1171"/>
    <x v="52"/>
    <x v="871"/>
    <m/>
    <x v="391"/>
    <m/>
    <x v="1"/>
    <x v="0"/>
    <x v="498"/>
    <d v="2013-11-19T00:00:00"/>
    <x v="13"/>
    <x v="0"/>
    <m/>
    <s v="Sección Oficial"/>
    <x v="0"/>
    <x v="1"/>
    <m/>
    <x v="0"/>
    <x v="1"/>
    <x v="1813"/>
    <x v="1"/>
    <x v="0"/>
    <x v="0"/>
    <x v="498"/>
    <x v="5124"/>
  </r>
  <r>
    <x v="2"/>
    <n v="1943"/>
    <x v="1793"/>
    <x v="1"/>
    <s v="LM"/>
    <s v="S"/>
    <x v="1171"/>
    <x v="52"/>
    <x v="875"/>
    <m/>
    <x v="173"/>
    <m/>
    <x v="7"/>
    <x v="0"/>
    <x v="498"/>
    <d v="2013-11-24T00:00:00"/>
    <x v="13"/>
    <x v="1"/>
    <s v="Compétition Internationale Longs Métrages"/>
    <m/>
    <x v="484"/>
    <x v="0"/>
    <m/>
    <x v="1"/>
    <x v="1"/>
    <x v="1813"/>
    <x v="7"/>
    <x v="593"/>
    <x v="0"/>
    <x v="498"/>
    <x v="5125"/>
  </r>
  <r>
    <x v="2"/>
    <n v="1943"/>
    <x v="1793"/>
    <x v="1"/>
    <s v="LM"/>
    <s v="S"/>
    <x v="1171"/>
    <x v="52"/>
    <x v="860"/>
    <m/>
    <x v="6"/>
    <m/>
    <x v="4"/>
    <x v="0"/>
    <x v="467"/>
    <d v="2013-11-24T00:00:00"/>
    <x v="13"/>
    <x v="0"/>
    <m/>
    <s v="Portugal Alterado: Las últimas películas"/>
    <x v="0"/>
    <x v="0"/>
    <m/>
    <x v="0"/>
    <x v="1"/>
    <x v="1813"/>
    <x v="4"/>
    <x v="0"/>
    <x v="0"/>
    <x v="467"/>
    <x v="5126"/>
  </r>
  <r>
    <x v="2"/>
    <n v="1943"/>
    <x v="1793"/>
    <x v="1"/>
    <s v="LM"/>
    <s v="S"/>
    <x v="1171"/>
    <x v="52"/>
    <x v="890"/>
    <m/>
    <x v="319"/>
    <m/>
    <x v="1"/>
    <x v="0"/>
    <x v="594"/>
    <d v="2013-12-13T00:00:00"/>
    <x v="11"/>
    <x v="0"/>
    <m/>
    <m/>
    <x v="0"/>
    <x v="1"/>
    <s v="No CGAI"/>
    <x v="0"/>
    <x v="1"/>
    <x v="1813"/>
    <x v="1"/>
    <x v="0"/>
    <x v="0"/>
    <x v="594"/>
    <x v="5127"/>
  </r>
  <r>
    <x v="2"/>
    <n v="1943"/>
    <x v="1793"/>
    <x v="1"/>
    <s v="LM"/>
    <s v="S"/>
    <x v="1171"/>
    <x v="52"/>
    <x v="133"/>
    <m/>
    <x v="101"/>
    <m/>
    <x v="3"/>
    <x v="0"/>
    <x v="502"/>
    <d v="2013-12-08T00:00:00"/>
    <x v="12"/>
    <x v="1"/>
    <s v="Longas-Metragens - SC6"/>
    <m/>
    <x v="485"/>
    <x v="0"/>
    <m/>
    <x v="1"/>
    <x v="1"/>
    <x v="1813"/>
    <x v="3"/>
    <x v="594"/>
    <x v="1"/>
    <x v="502"/>
    <x v="5128"/>
  </r>
  <r>
    <x v="2"/>
    <n v="431"/>
    <x v="303"/>
    <x v="1"/>
    <s v="LM"/>
    <s v="N"/>
    <x v="259"/>
    <x v="3"/>
    <x v="661"/>
    <m/>
    <x v="39"/>
    <m/>
    <x v="3"/>
    <x v="0"/>
    <x v="507"/>
    <m/>
    <x v="15"/>
    <x v="0"/>
    <m/>
    <m/>
    <x v="0"/>
    <x v="1"/>
    <m/>
    <x v="0"/>
    <x v="1"/>
    <x v="305"/>
    <x v="3"/>
    <x v="0"/>
    <x v="1"/>
    <x v="507"/>
    <x v="5129"/>
  </r>
  <r>
    <x v="2"/>
    <n v="431"/>
    <x v="303"/>
    <x v="1"/>
    <s v="LM"/>
    <s v="N"/>
    <x v="259"/>
    <x v="3"/>
    <x v="162"/>
    <m/>
    <x v="124"/>
    <m/>
    <x v="3"/>
    <x v="0"/>
    <x v="638"/>
    <m/>
    <x v="2"/>
    <x v="0"/>
    <m/>
    <m/>
    <x v="0"/>
    <x v="1"/>
    <m/>
    <x v="0"/>
    <x v="1"/>
    <x v="305"/>
    <x v="3"/>
    <x v="0"/>
    <x v="1"/>
    <x v="638"/>
    <x v="5130"/>
  </r>
  <r>
    <x v="2"/>
    <n v="431"/>
    <x v="303"/>
    <x v="1"/>
    <s v="LM"/>
    <s v="N"/>
    <x v="259"/>
    <x v="3"/>
    <x v="854"/>
    <m/>
    <x v="24"/>
    <m/>
    <x v="3"/>
    <x v="0"/>
    <x v="550"/>
    <d v="2013-03-27T00:00:00"/>
    <x v="2"/>
    <x v="0"/>
    <m/>
    <m/>
    <x v="0"/>
    <x v="1"/>
    <m/>
    <x v="0"/>
    <x v="1"/>
    <x v="305"/>
    <x v="3"/>
    <x v="0"/>
    <x v="1"/>
    <x v="550"/>
    <x v="5131"/>
  </r>
  <r>
    <x v="2"/>
    <n v="431"/>
    <x v="303"/>
    <x v="1"/>
    <s v="LM"/>
    <s v="N"/>
    <x v="259"/>
    <x v="3"/>
    <x v="843"/>
    <m/>
    <x v="253"/>
    <m/>
    <x v="0"/>
    <x v="0"/>
    <x v="532"/>
    <d v="2013-05-26T00:00:00"/>
    <x v="6"/>
    <x v="0"/>
    <m/>
    <m/>
    <x v="0"/>
    <x v="1"/>
    <m/>
    <x v="0"/>
    <x v="1"/>
    <x v="305"/>
    <x v="0"/>
    <x v="0"/>
    <x v="0"/>
    <x v="532"/>
    <x v="5132"/>
  </r>
  <r>
    <x v="2"/>
    <n v="431"/>
    <x v="303"/>
    <x v="1"/>
    <s v="LM"/>
    <s v="N"/>
    <x v="259"/>
    <x v="3"/>
    <x v="844"/>
    <m/>
    <x v="0"/>
    <m/>
    <x v="0"/>
    <x v="0"/>
    <x v="533"/>
    <d v="2013-06-06T00:00:00"/>
    <x v="22"/>
    <x v="0"/>
    <m/>
    <m/>
    <x v="0"/>
    <x v="1"/>
    <m/>
    <x v="0"/>
    <x v="1"/>
    <x v="305"/>
    <x v="0"/>
    <x v="0"/>
    <x v="0"/>
    <x v="533"/>
    <x v="5133"/>
  </r>
  <r>
    <x v="2"/>
    <n v="431"/>
    <x v="303"/>
    <x v="1"/>
    <s v="LM"/>
    <s v="N"/>
    <x v="259"/>
    <x v="3"/>
    <x v="58"/>
    <m/>
    <x v="47"/>
    <m/>
    <x v="3"/>
    <x v="0"/>
    <x v="541"/>
    <d v="2013-09-07T00:00:00"/>
    <x v="9"/>
    <x v="0"/>
    <m/>
    <m/>
    <x v="0"/>
    <x v="1"/>
    <m/>
    <x v="0"/>
    <x v="1"/>
    <x v="305"/>
    <x v="3"/>
    <x v="0"/>
    <x v="1"/>
    <x v="541"/>
    <x v="5134"/>
  </r>
  <r>
    <x v="2"/>
    <n v="431"/>
    <x v="303"/>
    <x v="1"/>
    <s v="LM"/>
    <s v="N"/>
    <x v="259"/>
    <x v="3"/>
    <x v="895"/>
    <m/>
    <x v="425"/>
    <m/>
    <x v="0"/>
    <x v="0"/>
    <x v="597"/>
    <d v="2013-09-14T00:00:00"/>
    <x v="9"/>
    <x v="0"/>
    <m/>
    <s v="Mostra Portugal Contemporânei"/>
    <x v="0"/>
    <x v="0"/>
    <m/>
    <x v="0"/>
    <x v="1"/>
    <x v="305"/>
    <x v="0"/>
    <x v="0"/>
    <x v="0"/>
    <x v="597"/>
    <x v="5135"/>
  </r>
  <r>
    <x v="2"/>
    <n v="431"/>
    <x v="303"/>
    <x v="1"/>
    <s v="LM"/>
    <s v="N"/>
    <x v="259"/>
    <x v="3"/>
    <x v="627"/>
    <m/>
    <x v="24"/>
    <m/>
    <x v="3"/>
    <x v="0"/>
    <x v="651"/>
    <m/>
    <x v="14"/>
    <x v="0"/>
    <m/>
    <m/>
    <x v="486"/>
    <x v="2"/>
    <m/>
    <x v="1"/>
    <x v="1"/>
    <x v="305"/>
    <x v="3"/>
    <x v="595"/>
    <x v="1"/>
    <x v="651"/>
    <x v="5136"/>
  </r>
  <r>
    <x v="2"/>
    <n v="431"/>
    <x v="303"/>
    <x v="1"/>
    <s v="LM"/>
    <s v="N"/>
    <x v="259"/>
    <x v="3"/>
    <x v="920"/>
    <m/>
    <x v="429"/>
    <m/>
    <x v="63"/>
    <x v="0"/>
    <x v="509"/>
    <d v="2013-11-30T00:00:00"/>
    <x v="13"/>
    <x v="0"/>
    <m/>
    <m/>
    <x v="0"/>
    <x v="0"/>
    <m/>
    <x v="0"/>
    <x v="1"/>
    <x v="305"/>
    <x v="63"/>
    <x v="0"/>
    <x v="0"/>
    <x v="509"/>
    <x v="5137"/>
  </r>
  <r>
    <x v="2"/>
    <n v="1772"/>
    <x v="1794"/>
    <x v="0"/>
    <s v="LM"/>
    <s v="S"/>
    <x v="289"/>
    <x v="52"/>
    <x v="146"/>
    <m/>
    <x v="24"/>
    <m/>
    <x v="3"/>
    <x v="0"/>
    <x v="537"/>
    <d v="2013-04-28T00:00:00"/>
    <x v="5"/>
    <x v="0"/>
    <m/>
    <s v="Observatório"/>
    <x v="487"/>
    <x v="0"/>
    <m/>
    <x v="1"/>
    <x v="5"/>
    <x v="1814"/>
    <x v="3"/>
    <x v="596"/>
    <x v="1"/>
    <x v="537"/>
    <x v="5138"/>
  </r>
  <r>
    <x v="2"/>
    <n v="1772"/>
    <x v="1794"/>
    <x v="0"/>
    <s v="LM"/>
    <s v="S"/>
    <x v="289"/>
    <x v="52"/>
    <x v="58"/>
    <m/>
    <x v="47"/>
    <m/>
    <x v="3"/>
    <x v="0"/>
    <x v="542"/>
    <d v="2013-09-08T00:00:00"/>
    <x v="9"/>
    <x v="0"/>
    <m/>
    <m/>
    <x v="0"/>
    <x v="1"/>
    <m/>
    <x v="0"/>
    <x v="5"/>
    <x v="1814"/>
    <x v="3"/>
    <x v="0"/>
    <x v="1"/>
    <x v="542"/>
    <x v="5139"/>
  </r>
  <r>
    <x v="2"/>
    <n v="1772"/>
    <x v="1794"/>
    <x v="0"/>
    <s v="LM"/>
    <s v="S"/>
    <x v="289"/>
    <x v="52"/>
    <x v="450"/>
    <m/>
    <x v="24"/>
    <m/>
    <x v="3"/>
    <x v="0"/>
    <x v="518"/>
    <m/>
    <x v="14"/>
    <x v="0"/>
    <m/>
    <m/>
    <x v="0"/>
    <x v="1"/>
    <m/>
    <x v="0"/>
    <x v="5"/>
    <x v="1814"/>
    <x v="3"/>
    <x v="0"/>
    <x v="1"/>
    <x v="518"/>
    <x v="5140"/>
  </r>
  <r>
    <x v="2"/>
    <n v="1772"/>
    <x v="1794"/>
    <x v="0"/>
    <s v="LM"/>
    <s v="S"/>
    <x v="289"/>
    <x v="52"/>
    <x v="860"/>
    <m/>
    <x v="6"/>
    <m/>
    <x v="4"/>
    <x v="0"/>
    <x v="467"/>
    <d v="2013-11-24T00:00:00"/>
    <x v="13"/>
    <x v="0"/>
    <m/>
    <s v="Portugal Alterado: Las últimas películas"/>
    <x v="0"/>
    <x v="0"/>
    <m/>
    <x v="0"/>
    <x v="5"/>
    <x v="1814"/>
    <x v="4"/>
    <x v="0"/>
    <x v="0"/>
    <x v="467"/>
    <x v="5141"/>
  </r>
  <r>
    <x v="2"/>
    <n v="1599"/>
    <x v="1127"/>
    <x v="3"/>
    <s v="CM"/>
    <s v="N"/>
    <x v="762"/>
    <x v="41"/>
    <x v="62"/>
    <m/>
    <x v="23"/>
    <m/>
    <x v="3"/>
    <x v="0"/>
    <x v="503"/>
    <d v="2013-03-10T00:00:00"/>
    <x v="19"/>
    <x v="1"/>
    <s v="Prémio de Cinema Português - Escolas de Cinema"/>
    <m/>
    <x v="0"/>
    <x v="0"/>
    <s v="Escola Artística de Soares dos Reis"/>
    <x v="0"/>
    <x v="6"/>
    <x v="1132"/>
    <x v="3"/>
    <x v="0"/>
    <x v="1"/>
    <x v="503"/>
    <x v="5142"/>
  </r>
  <r>
    <x v="2"/>
    <n v="1724"/>
    <x v="1130"/>
    <x v="2"/>
    <s v="CM"/>
    <s v="N"/>
    <x v="765"/>
    <x v="41"/>
    <x v="26"/>
    <m/>
    <x v="24"/>
    <m/>
    <x v="3"/>
    <x v="0"/>
    <x v="571"/>
    <d v="2013-03-17T00:00:00"/>
    <x v="2"/>
    <x v="1"/>
    <s v="Competição Internacional Estudantes"/>
    <m/>
    <x v="488"/>
    <x v="0"/>
    <m/>
    <x v="1"/>
    <x v="4"/>
    <x v="1135"/>
    <x v="3"/>
    <x v="597"/>
    <x v="1"/>
    <x v="571"/>
    <x v="5143"/>
  </r>
  <r>
    <x v="2"/>
    <n v="509"/>
    <x v="1131"/>
    <x v="0"/>
    <s v="CM"/>
    <s v="N"/>
    <x v="766"/>
    <x v="3"/>
    <x v="923"/>
    <m/>
    <x v="15"/>
    <m/>
    <x v="3"/>
    <x v="0"/>
    <x v="544"/>
    <m/>
    <x v="13"/>
    <x v="1"/>
    <m/>
    <m/>
    <x v="0"/>
    <x v="1"/>
    <m/>
    <x v="0"/>
    <x v="0"/>
    <x v="1136"/>
    <x v="3"/>
    <x v="0"/>
    <x v="1"/>
    <x v="544"/>
    <x v="5144"/>
  </r>
  <r>
    <x v="2"/>
    <n v="509"/>
    <x v="1131"/>
    <x v="0"/>
    <s v="CM"/>
    <s v="N"/>
    <x v="766"/>
    <x v="3"/>
    <x v="923"/>
    <m/>
    <x v="15"/>
    <m/>
    <x v="3"/>
    <x v="0"/>
    <x v="544"/>
    <m/>
    <x v="13"/>
    <x v="1"/>
    <m/>
    <m/>
    <x v="0"/>
    <x v="1"/>
    <m/>
    <x v="0"/>
    <x v="0"/>
    <x v="1136"/>
    <x v="3"/>
    <x v="0"/>
    <x v="1"/>
    <x v="544"/>
    <x v="5145"/>
  </r>
  <r>
    <x v="2"/>
    <n v="1733"/>
    <x v="1795"/>
    <x v="2"/>
    <s v="CM"/>
    <s v="N"/>
    <x v="327"/>
    <x v="41"/>
    <x v="26"/>
    <m/>
    <x v="24"/>
    <m/>
    <x v="3"/>
    <x v="0"/>
    <x v="571"/>
    <d v="2013-03-17T00:00:00"/>
    <x v="2"/>
    <x v="1"/>
    <s v="Competição de Curtíssimas"/>
    <m/>
    <x v="0"/>
    <x v="0"/>
    <m/>
    <x v="0"/>
    <x v="4"/>
    <x v="1815"/>
    <x v="3"/>
    <x v="0"/>
    <x v="1"/>
    <x v="571"/>
    <x v="5146"/>
  </r>
  <r>
    <x v="2"/>
    <n v="1745"/>
    <x v="1796"/>
    <x v="5"/>
    <s v="CM"/>
    <s v="N"/>
    <x v="1172"/>
    <x v="41"/>
    <x v="831"/>
    <m/>
    <x v="348"/>
    <m/>
    <x v="3"/>
    <x v="0"/>
    <x v="511"/>
    <m/>
    <x v="2"/>
    <x v="1"/>
    <s v="Videoclip"/>
    <m/>
    <x v="489"/>
    <x v="0"/>
    <m/>
    <x v="1"/>
    <x v="15"/>
    <x v="1816"/>
    <x v="3"/>
    <x v="598"/>
    <x v="1"/>
    <x v="511"/>
    <x v="5147"/>
  </r>
  <r>
    <x v="2"/>
    <n v="1745"/>
    <x v="1796"/>
    <x v="5"/>
    <s v="CM"/>
    <s v="N"/>
    <x v="1172"/>
    <x v="41"/>
    <x v="70"/>
    <m/>
    <x v="38"/>
    <m/>
    <x v="3"/>
    <x v="0"/>
    <x v="510"/>
    <d v="2013-09-15T00:00:00"/>
    <x v="9"/>
    <x v="1"/>
    <s v="Sessão Competitiva 2"/>
    <m/>
    <x v="490"/>
    <x v="0"/>
    <m/>
    <x v="1"/>
    <x v="15"/>
    <x v="1816"/>
    <x v="3"/>
    <x v="599"/>
    <x v="1"/>
    <x v="510"/>
    <x v="5148"/>
  </r>
  <r>
    <x v="2"/>
    <n v="1802"/>
    <x v="1797"/>
    <x v="0"/>
    <s v="CM"/>
    <s v="N"/>
    <x v="1173"/>
    <x v="52"/>
    <x v="869"/>
    <m/>
    <x v="24"/>
    <m/>
    <x v="3"/>
    <x v="0"/>
    <x v="567"/>
    <m/>
    <x v="6"/>
    <x v="1"/>
    <m/>
    <m/>
    <x v="5"/>
    <x v="2"/>
    <m/>
    <x v="1"/>
    <x v="0"/>
    <x v="1817"/>
    <x v="3"/>
    <x v="5"/>
    <x v="1"/>
    <x v="567"/>
    <x v="5149"/>
  </r>
  <r>
    <x v="2"/>
    <n v="1875"/>
    <x v="1798"/>
    <x v="1"/>
    <s v="CM"/>
    <s v="N"/>
    <x v="162"/>
    <x v="41"/>
    <x v="519"/>
    <m/>
    <x v="24"/>
    <m/>
    <x v="3"/>
    <x v="0"/>
    <x v="504"/>
    <d v="2013-05-11T00:00:00"/>
    <x v="6"/>
    <x v="0"/>
    <m/>
    <s v="Sessão Guimarães - Capital Europeia da Cultura I"/>
    <x v="0"/>
    <x v="1"/>
    <m/>
    <x v="0"/>
    <x v="2"/>
    <x v="1818"/>
    <x v="3"/>
    <x v="0"/>
    <x v="1"/>
    <x v="504"/>
    <x v="5150"/>
  </r>
  <r>
    <x v="2"/>
    <n v="444"/>
    <x v="310"/>
    <x v="0"/>
    <s v="CM"/>
    <s v="N"/>
    <x v="265"/>
    <x v="3"/>
    <x v="840"/>
    <m/>
    <x v="24"/>
    <m/>
    <x v="3"/>
    <x v="0"/>
    <x v="522"/>
    <d v="2013-01-27T00:00:00"/>
    <x v="15"/>
    <x v="1"/>
    <s v="Competição Geral"/>
    <m/>
    <x v="0"/>
    <x v="0"/>
    <m/>
    <x v="0"/>
    <x v="0"/>
    <x v="312"/>
    <x v="3"/>
    <x v="0"/>
    <x v="1"/>
    <x v="522"/>
    <x v="5151"/>
  </r>
  <r>
    <x v="2"/>
    <n v="444"/>
    <x v="310"/>
    <x v="0"/>
    <s v="CM"/>
    <s v="N"/>
    <x v="265"/>
    <x v="3"/>
    <x v="825"/>
    <m/>
    <x v="409"/>
    <m/>
    <x v="3"/>
    <x v="0"/>
    <x v="499"/>
    <m/>
    <x v="7"/>
    <x v="1"/>
    <m/>
    <m/>
    <x v="0"/>
    <x v="0"/>
    <m/>
    <x v="0"/>
    <x v="0"/>
    <x v="312"/>
    <x v="3"/>
    <x v="0"/>
    <x v="1"/>
    <x v="499"/>
    <x v="5152"/>
  </r>
  <r>
    <x v="2"/>
    <n v="444"/>
    <x v="310"/>
    <x v="0"/>
    <s v="CM"/>
    <s v="N"/>
    <x v="265"/>
    <x v="3"/>
    <x v="825"/>
    <m/>
    <x v="409"/>
    <m/>
    <x v="3"/>
    <x v="0"/>
    <x v="499"/>
    <m/>
    <x v="7"/>
    <x v="1"/>
    <m/>
    <m/>
    <x v="0"/>
    <x v="0"/>
    <m/>
    <x v="0"/>
    <x v="0"/>
    <x v="312"/>
    <x v="3"/>
    <x v="0"/>
    <x v="1"/>
    <x v="499"/>
    <x v="5153"/>
  </r>
  <r>
    <x v="2"/>
    <n v="444"/>
    <x v="310"/>
    <x v="0"/>
    <s v="CM"/>
    <s v="N"/>
    <x v="265"/>
    <x v="3"/>
    <x v="971"/>
    <m/>
    <x v="15"/>
    <m/>
    <x v="3"/>
    <x v="0"/>
    <x v="662"/>
    <m/>
    <x v="14"/>
    <x v="1"/>
    <m/>
    <m/>
    <x v="0"/>
    <x v="1"/>
    <m/>
    <x v="0"/>
    <x v="0"/>
    <x v="312"/>
    <x v="3"/>
    <x v="0"/>
    <x v="1"/>
    <x v="662"/>
    <x v="5154"/>
  </r>
  <r>
    <x v="2"/>
    <n v="449"/>
    <x v="315"/>
    <x v="0"/>
    <s v="LM"/>
    <s v="S"/>
    <x v="240"/>
    <x v="5"/>
    <x v="871"/>
    <m/>
    <x v="391"/>
    <m/>
    <x v="1"/>
    <x v="0"/>
    <x v="498"/>
    <d v="2013-11-19T00:00:00"/>
    <x v="13"/>
    <x v="0"/>
    <m/>
    <s v="Saramago y el cine"/>
    <x v="0"/>
    <x v="1"/>
    <m/>
    <x v="0"/>
    <x v="5"/>
    <x v="317"/>
    <x v="1"/>
    <x v="0"/>
    <x v="0"/>
    <x v="498"/>
    <x v="5155"/>
  </r>
  <r>
    <x v="2"/>
    <n v="1760"/>
    <x v="1799"/>
    <x v="0"/>
    <s v="CM"/>
    <s v="N"/>
    <x v="1174"/>
    <x v="41"/>
    <x v="63"/>
    <m/>
    <x v="24"/>
    <m/>
    <x v="3"/>
    <x v="0"/>
    <x v="556"/>
    <d v="2013-04-10T00:00:00"/>
    <x v="5"/>
    <x v="1"/>
    <s v="Competição Curta-metragem"/>
    <m/>
    <x v="0"/>
    <x v="0"/>
    <m/>
    <x v="0"/>
    <x v="0"/>
    <x v="1819"/>
    <x v="3"/>
    <x v="0"/>
    <x v="1"/>
    <x v="556"/>
    <x v="5156"/>
  </r>
  <r>
    <x v="2"/>
    <n v="454"/>
    <x v="1136"/>
    <x v="1"/>
    <s v="CM"/>
    <s v=""/>
    <x v="313"/>
    <x v="2"/>
    <x v="129"/>
    <m/>
    <x v="12"/>
    <m/>
    <x v="2"/>
    <x v="0"/>
    <x v="539"/>
    <d v="2013-07-08T00:00:00"/>
    <x v="8"/>
    <x v="0"/>
    <m/>
    <s v="Écrans Paralléles: Inferno"/>
    <x v="0"/>
    <x v="0"/>
    <m/>
    <x v="0"/>
    <x v="2"/>
    <x v="1141"/>
    <x v="2"/>
    <x v="0"/>
    <x v="0"/>
    <x v="539"/>
    <x v="5157"/>
  </r>
  <r>
    <x v="2"/>
    <n v="2151"/>
    <x v="1137"/>
    <x v="0"/>
    <s v="CM"/>
    <s v="N"/>
    <x v="770"/>
    <x v="41"/>
    <x v="972"/>
    <m/>
    <x v="77"/>
    <m/>
    <x v="3"/>
    <x v="0"/>
    <x v="663"/>
    <m/>
    <x v="5"/>
    <x v="0"/>
    <m/>
    <m/>
    <x v="0"/>
    <x v="1"/>
    <m/>
    <x v="0"/>
    <x v="0"/>
    <x v="1142"/>
    <x v="3"/>
    <x v="0"/>
    <x v="1"/>
    <x v="663"/>
    <x v="5158"/>
  </r>
  <r>
    <x v="2"/>
    <n v="456"/>
    <x v="320"/>
    <x v="3"/>
    <s v="CM"/>
    <s v="N"/>
    <x v="272"/>
    <x v="3"/>
    <x v="931"/>
    <m/>
    <x v="24"/>
    <m/>
    <x v="3"/>
    <x v="0"/>
    <x v="628"/>
    <m/>
    <x v="2"/>
    <x v="1"/>
    <m/>
    <m/>
    <x v="0"/>
    <x v="1"/>
    <m/>
    <x v="0"/>
    <x v="6"/>
    <x v="322"/>
    <x v="3"/>
    <x v="0"/>
    <x v="1"/>
    <x v="628"/>
    <x v="5159"/>
  </r>
  <r>
    <x v="2"/>
    <n v="456"/>
    <x v="320"/>
    <x v="3"/>
    <s v="CM"/>
    <s v="N"/>
    <x v="272"/>
    <x v="3"/>
    <x v="973"/>
    <m/>
    <x v="440"/>
    <m/>
    <x v="51"/>
    <x v="0"/>
    <x v="612"/>
    <d v="2013-04-28T00:00:00"/>
    <x v="5"/>
    <x v="1"/>
    <s v="Videorama"/>
    <m/>
    <x v="0"/>
    <x v="0"/>
    <m/>
    <x v="0"/>
    <x v="6"/>
    <x v="322"/>
    <x v="51"/>
    <x v="0"/>
    <x v="0"/>
    <x v="612"/>
    <x v="5160"/>
  </r>
  <r>
    <x v="2"/>
    <n v="1804"/>
    <x v="1800"/>
    <x v="1"/>
    <s v="LM"/>
    <s v="S"/>
    <x v="162"/>
    <x v="15"/>
    <x v="917"/>
    <m/>
    <x v="8"/>
    <m/>
    <x v="3"/>
    <x v="0"/>
    <x v="664"/>
    <m/>
    <x v="7"/>
    <x v="0"/>
    <m/>
    <m/>
    <x v="0"/>
    <x v="1"/>
    <s v="Actividade Paralela dos Festivais Gil Vicente 2013"/>
    <x v="0"/>
    <x v="1"/>
    <x v="1820"/>
    <x v="3"/>
    <x v="0"/>
    <x v="1"/>
    <x v="664"/>
    <x v="5161"/>
  </r>
  <r>
    <x v="2"/>
    <n v="1817"/>
    <x v="1801"/>
    <x v="0"/>
    <s v="CM"/>
    <s v="N"/>
    <x v="255"/>
    <x v="52"/>
    <x v="827"/>
    <m/>
    <x v="24"/>
    <m/>
    <x v="3"/>
    <x v="0"/>
    <x v="570"/>
    <m/>
    <x v="8"/>
    <x v="1"/>
    <m/>
    <m/>
    <x v="0"/>
    <x v="0"/>
    <m/>
    <x v="0"/>
    <x v="0"/>
    <x v="1821"/>
    <x v="3"/>
    <x v="0"/>
    <x v="1"/>
    <x v="570"/>
    <x v="5162"/>
  </r>
  <r>
    <x v="2"/>
    <n v="1817"/>
    <x v="1801"/>
    <x v="0"/>
    <s v="CM"/>
    <s v="N"/>
    <x v="255"/>
    <x v="52"/>
    <x v="767"/>
    <m/>
    <x v="65"/>
    <m/>
    <x v="9"/>
    <x v="0"/>
    <x v="542"/>
    <d v="2013-09-08T00:00:00"/>
    <x v="9"/>
    <x v="0"/>
    <m/>
    <m/>
    <x v="0"/>
    <x v="0"/>
    <m/>
    <x v="0"/>
    <x v="0"/>
    <x v="1821"/>
    <x v="9"/>
    <x v="0"/>
    <x v="0"/>
    <x v="542"/>
    <x v="5163"/>
  </r>
  <r>
    <x v="2"/>
    <n v="1959"/>
    <x v="1802"/>
    <x v="1"/>
    <s v="CM"/>
    <s v="N"/>
    <x v="399"/>
    <x v="41"/>
    <x v="316"/>
    <m/>
    <x v="11"/>
    <m/>
    <x v="3"/>
    <x v="0"/>
    <x v="500"/>
    <d v="2013-08-31T00:00:00"/>
    <x v="16"/>
    <x v="1"/>
    <s v="Documentário"/>
    <m/>
    <x v="0"/>
    <x v="0"/>
    <m/>
    <x v="0"/>
    <x v="2"/>
    <x v="1822"/>
    <x v="3"/>
    <x v="0"/>
    <x v="1"/>
    <x v="500"/>
    <x v="5164"/>
  </r>
  <r>
    <x v="2"/>
    <n v="1959"/>
    <x v="1802"/>
    <x v="1"/>
    <s v="CM"/>
    <s v="N"/>
    <x v="399"/>
    <x v="41"/>
    <x v="88"/>
    <m/>
    <x v="67"/>
    <m/>
    <x v="3"/>
    <x v="0"/>
    <x v="528"/>
    <d v="2013-10-26T00:00:00"/>
    <x v="14"/>
    <x v="1"/>
    <s v="Lusofonia: Curtas-Metragens"/>
    <m/>
    <x v="0"/>
    <x v="0"/>
    <m/>
    <x v="0"/>
    <x v="2"/>
    <x v="1822"/>
    <x v="3"/>
    <x v="0"/>
    <x v="1"/>
    <x v="528"/>
    <x v="5165"/>
  </r>
  <r>
    <x v="2"/>
    <n v="1849"/>
    <x v="1803"/>
    <x v="0"/>
    <s v="CM"/>
    <s v="N"/>
    <x v="1175"/>
    <x v="52"/>
    <x v="146"/>
    <m/>
    <x v="24"/>
    <m/>
    <x v="3"/>
    <x v="0"/>
    <x v="537"/>
    <d v="2013-04-28T00:00:00"/>
    <x v="5"/>
    <x v="1"/>
    <s v="Competição Nacional"/>
    <s v="Cinema Emetrgente Curtas"/>
    <x v="0"/>
    <x v="0"/>
    <m/>
    <x v="0"/>
    <x v="0"/>
    <x v="1823"/>
    <x v="3"/>
    <x v="0"/>
    <x v="1"/>
    <x v="537"/>
    <x v="5166"/>
  </r>
  <r>
    <x v="2"/>
    <n v="1849"/>
    <x v="1803"/>
    <x v="0"/>
    <s v="CM"/>
    <s v="N"/>
    <x v="1175"/>
    <x v="52"/>
    <x v="560"/>
    <m/>
    <x v="209"/>
    <m/>
    <x v="51"/>
    <x v="0"/>
    <x v="576"/>
    <d v="2013-12-15T00:00:00"/>
    <x v="12"/>
    <x v="0"/>
    <m/>
    <s v="The Portuguese Cinematic Miracle"/>
    <x v="0"/>
    <x v="0"/>
    <m/>
    <x v="0"/>
    <x v="0"/>
    <x v="1823"/>
    <x v="51"/>
    <x v="0"/>
    <x v="0"/>
    <x v="576"/>
    <x v="5167"/>
  </r>
  <r>
    <x v="2"/>
    <n v="462"/>
    <x v="1142"/>
    <x v="0"/>
    <s v="CM"/>
    <s v="S"/>
    <x v="772"/>
    <x v="41"/>
    <x v="83"/>
    <m/>
    <x v="63"/>
    <m/>
    <x v="2"/>
    <x v="0"/>
    <x v="586"/>
    <d v="2013-01-27T00:00:00"/>
    <x v="15"/>
    <x v="1"/>
    <s v="Courts Métrages Européens"/>
    <m/>
    <x v="0"/>
    <x v="0"/>
    <m/>
    <x v="0"/>
    <x v="0"/>
    <x v="1147"/>
    <x v="2"/>
    <x v="0"/>
    <x v="0"/>
    <x v="586"/>
    <x v="5168"/>
  </r>
  <r>
    <x v="2"/>
    <n v="462"/>
    <x v="1142"/>
    <x v="0"/>
    <s v="CM"/>
    <s v="S"/>
    <x v="772"/>
    <x v="41"/>
    <x v="403"/>
    <m/>
    <x v="263"/>
    <m/>
    <x v="2"/>
    <x v="0"/>
    <x v="585"/>
    <d v="2013-04-07T00:00:00"/>
    <x v="5"/>
    <x v="1"/>
    <s v="Compétition Européenne"/>
    <m/>
    <x v="0"/>
    <x v="0"/>
    <m/>
    <x v="0"/>
    <x v="0"/>
    <x v="1147"/>
    <x v="2"/>
    <x v="0"/>
    <x v="0"/>
    <x v="585"/>
    <x v="5169"/>
  </r>
  <r>
    <x v="2"/>
    <n v="462"/>
    <x v="1142"/>
    <x v="0"/>
    <s v="CM"/>
    <s v="S"/>
    <x v="772"/>
    <x v="41"/>
    <x v="432"/>
    <m/>
    <x v="39"/>
    <m/>
    <x v="3"/>
    <x v="0"/>
    <x v="582"/>
    <d v="2013-04-20T00:00:00"/>
    <x v="5"/>
    <x v="1"/>
    <s v="Competição Nacional - Sessão 3"/>
    <m/>
    <x v="0"/>
    <x v="0"/>
    <m/>
    <x v="0"/>
    <x v="0"/>
    <x v="1147"/>
    <x v="3"/>
    <x v="0"/>
    <x v="1"/>
    <x v="582"/>
    <x v="5170"/>
  </r>
  <r>
    <x v="2"/>
    <n v="462"/>
    <x v="1142"/>
    <x v="0"/>
    <s v="CM"/>
    <s v="S"/>
    <x v="772"/>
    <x v="41"/>
    <x v="857"/>
    <m/>
    <x v="419"/>
    <m/>
    <x v="34"/>
    <x v="0"/>
    <x v="554"/>
    <d v="2013-08-25T00:00:00"/>
    <x v="16"/>
    <x v="1"/>
    <s v="Courts métrages 4"/>
    <m/>
    <x v="0"/>
    <x v="0"/>
    <m/>
    <x v="0"/>
    <x v="0"/>
    <x v="1147"/>
    <x v="34"/>
    <x v="0"/>
    <x v="0"/>
    <x v="554"/>
    <x v="5171"/>
  </r>
  <r>
    <x v="2"/>
    <n v="462"/>
    <x v="1142"/>
    <x v="0"/>
    <s v="CM"/>
    <s v="S"/>
    <x v="772"/>
    <x v="41"/>
    <x v="859"/>
    <m/>
    <x v="420"/>
    <m/>
    <x v="0"/>
    <x v="0"/>
    <x v="559"/>
    <d v="2013-09-29T00:00:00"/>
    <x v="9"/>
    <x v="0"/>
    <m/>
    <s v="Mostra Juventude - Juv III"/>
    <x v="0"/>
    <x v="0"/>
    <m/>
    <x v="0"/>
    <x v="0"/>
    <x v="1147"/>
    <x v="0"/>
    <x v="0"/>
    <x v="0"/>
    <x v="559"/>
    <x v="5172"/>
  </r>
  <r>
    <x v="2"/>
    <n v="462"/>
    <x v="1142"/>
    <x v="0"/>
    <s v="CM"/>
    <s v="S"/>
    <x v="772"/>
    <x v="41"/>
    <x v="974"/>
    <m/>
    <x v="253"/>
    <m/>
    <x v="0"/>
    <x v="0"/>
    <x v="665"/>
    <d v="2013-10-20T00:00:00"/>
    <x v="14"/>
    <x v="1"/>
    <s v="Competição Internacional Curtas . Programa 4"/>
    <m/>
    <x v="0"/>
    <x v="0"/>
    <m/>
    <x v="0"/>
    <x v="0"/>
    <x v="1147"/>
    <x v="0"/>
    <x v="0"/>
    <x v="0"/>
    <x v="665"/>
    <x v="5173"/>
  </r>
  <r>
    <x v="2"/>
    <n v="1799"/>
    <x v="1804"/>
    <x v="0"/>
    <s v="CM"/>
    <s v="N"/>
    <x v="1176"/>
    <x v="41"/>
    <x v="975"/>
    <m/>
    <x v="441"/>
    <m/>
    <x v="75"/>
    <x v="0"/>
    <x v="666"/>
    <d v="2013-06-21T00:00:00"/>
    <x v="22"/>
    <x v="1"/>
    <m/>
    <m/>
    <x v="0"/>
    <x v="0"/>
    <m/>
    <x v="0"/>
    <x v="0"/>
    <x v="1824"/>
    <x v="75"/>
    <x v="0"/>
    <x v="0"/>
    <x v="666"/>
    <x v="5174"/>
  </r>
  <r>
    <x v="2"/>
    <n v="1799"/>
    <x v="1804"/>
    <x v="0"/>
    <s v="CM"/>
    <s v="N"/>
    <x v="1176"/>
    <x v="41"/>
    <x v="962"/>
    <m/>
    <x v="15"/>
    <m/>
    <x v="3"/>
    <x v="0"/>
    <x v="653"/>
    <m/>
    <x v="13"/>
    <x v="1"/>
    <m/>
    <m/>
    <x v="0"/>
    <x v="1"/>
    <m/>
    <x v="0"/>
    <x v="0"/>
    <x v="1824"/>
    <x v="3"/>
    <x v="0"/>
    <x v="1"/>
    <x v="653"/>
    <x v="5175"/>
  </r>
  <r>
    <x v="2"/>
    <n v="1799"/>
    <x v="1804"/>
    <x v="0"/>
    <s v="CM"/>
    <s v="N"/>
    <x v="1176"/>
    <x v="41"/>
    <x v="962"/>
    <m/>
    <x v="15"/>
    <m/>
    <x v="3"/>
    <x v="0"/>
    <x v="653"/>
    <m/>
    <x v="13"/>
    <x v="1"/>
    <m/>
    <m/>
    <x v="0"/>
    <x v="1"/>
    <m/>
    <x v="0"/>
    <x v="0"/>
    <x v="1824"/>
    <x v="3"/>
    <x v="0"/>
    <x v="1"/>
    <x v="653"/>
    <x v="5176"/>
  </r>
  <r>
    <x v="2"/>
    <n v="2081"/>
    <x v="1805"/>
    <x v="1"/>
    <s v="CM"/>
    <s v="N"/>
    <x v="1177"/>
    <x v="5"/>
    <x v="46"/>
    <m/>
    <x v="24"/>
    <m/>
    <x v="3"/>
    <x v="0"/>
    <x v="637"/>
    <d v="2013-11-26T00:00:00"/>
    <x v="13"/>
    <x v="1"/>
    <s v="Prémio de Cinema para Filmes sobre Arte"/>
    <m/>
    <x v="110"/>
    <x v="0"/>
    <m/>
    <x v="1"/>
    <x v="2"/>
    <x v="1825"/>
    <x v="3"/>
    <x v="121"/>
    <x v="1"/>
    <x v="637"/>
    <x v="5177"/>
  </r>
  <r>
    <x v="2"/>
    <n v="1695"/>
    <x v="1806"/>
    <x v="0"/>
    <s v="CM"/>
    <s v="N"/>
    <x v="1178"/>
    <x v="2"/>
    <x v="62"/>
    <m/>
    <x v="23"/>
    <m/>
    <x v="3"/>
    <x v="0"/>
    <x v="503"/>
    <d v="2013-03-10T00:00:00"/>
    <x v="19"/>
    <x v="1"/>
    <s v="Prémio de Cinema Português - Escolas de Cinema"/>
    <m/>
    <x v="0"/>
    <x v="0"/>
    <s v="Escola Artística de Soares dos Reis"/>
    <x v="0"/>
    <x v="0"/>
    <x v="1826"/>
    <x v="3"/>
    <x v="0"/>
    <x v="1"/>
    <x v="503"/>
    <x v="5178"/>
  </r>
  <r>
    <x v="2"/>
    <n v="1910"/>
    <x v="1806"/>
    <x v="3"/>
    <s v="CM"/>
    <s v="N"/>
    <x v="1179"/>
    <x v="41"/>
    <x v="68"/>
    <m/>
    <x v="53"/>
    <m/>
    <x v="3"/>
    <x v="0"/>
    <x v="573"/>
    <d v="2013-07-14T00:00:00"/>
    <x v="8"/>
    <x v="1"/>
    <s v="Competição Take One!"/>
    <m/>
    <x v="0"/>
    <x v="0"/>
    <m/>
    <x v="0"/>
    <x v="6"/>
    <x v="1827"/>
    <x v="3"/>
    <x v="0"/>
    <x v="1"/>
    <x v="573"/>
    <x v="5179"/>
  </r>
  <r>
    <x v="2"/>
    <n v="1671"/>
    <x v="1807"/>
    <x v="0"/>
    <s v="CM"/>
    <s v="N"/>
    <x v="1180"/>
    <x v="41"/>
    <x v="62"/>
    <m/>
    <x v="23"/>
    <m/>
    <x v="3"/>
    <x v="0"/>
    <x v="503"/>
    <d v="2013-03-10T00:00:00"/>
    <x v="19"/>
    <x v="1"/>
    <s v="Prémio de Cinema Português - Melhor Filme"/>
    <m/>
    <x v="0"/>
    <x v="0"/>
    <m/>
    <x v="0"/>
    <x v="0"/>
    <x v="1828"/>
    <x v="3"/>
    <x v="0"/>
    <x v="1"/>
    <x v="503"/>
    <x v="5180"/>
  </r>
  <r>
    <x v="2"/>
    <n v="1671"/>
    <x v="1807"/>
    <x v="0"/>
    <s v="CM"/>
    <s v="N"/>
    <x v="1180"/>
    <x v="41"/>
    <x v="192"/>
    <m/>
    <x v="140"/>
    <m/>
    <x v="3"/>
    <x v="0"/>
    <x v="334"/>
    <d v="2013-07-28T00:00:00"/>
    <x v="8"/>
    <x v="0"/>
    <m/>
    <s v="Panorama Cinema Português"/>
    <x v="0"/>
    <x v="0"/>
    <m/>
    <x v="0"/>
    <x v="0"/>
    <x v="1828"/>
    <x v="3"/>
    <x v="0"/>
    <x v="1"/>
    <x v="334"/>
    <x v="5181"/>
  </r>
  <r>
    <x v="2"/>
    <n v="1671"/>
    <x v="1807"/>
    <x v="0"/>
    <s v="CM"/>
    <s v="N"/>
    <x v="1180"/>
    <x v="41"/>
    <x v="316"/>
    <m/>
    <x v="11"/>
    <m/>
    <x v="3"/>
    <x v="0"/>
    <x v="500"/>
    <d v="2013-08-31T00:00:00"/>
    <x v="16"/>
    <x v="1"/>
    <s v="Ficção"/>
    <m/>
    <x v="0"/>
    <x v="0"/>
    <m/>
    <x v="0"/>
    <x v="0"/>
    <x v="1828"/>
    <x v="3"/>
    <x v="0"/>
    <x v="1"/>
    <x v="500"/>
    <x v="5182"/>
  </r>
  <r>
    <x v="2"/>
    <n v="1671"/>
    <x v="1807"/>
    <x v="0"/>
    <s v="CM"/>
    <s v="N"/>
    <x v="1180"/>
    <x v="41"/>
    <x v="976"/>
    <m/>
    <x v="442"/>
    <m/>
    <x v="3"/>
    <x v="0"/>
    <x v="667"/>
    <d v="2013-09-21T00:00:00"/>
    <x v="9"/>
    <x v="1"/>
    <s v="Curtas da Casa"/>
    <m/>
    <x v="0"/>
    <x v="0"/>
    <m/>
    <x v="0"/>
    <x v="0"/>
    <x v="1828"/>
    <x v="3"/>
    <x v="0"/>
    <x v="1"/>
    <x v="667"/>
    <x v="5183"/>
  </r>
  <r>
    <x v="2"/>
    <n v="1758"/>
    <x v="1808"/>
    <x v="0"/>
    <s v="CM"/>
    <s v="N"/>
    <x v="1181"/>
    <x v="41"/>
    <x v="929"/>
    <m/>
    <x v="23"/>
    <m/>
    <x v="3"/>
    <x v="0"/>
    <x v="557"/>
    <m/>
    <x v="2"/>
    <x v="1"/>
    <m/>
    <m/>
    <x v="0"/>
    <x v="1"/>
    <m/>
    <x v="0"/>
    <x v="0"/>
    <x v="1829"/>
    <x v="3"/>
    <x v="0"/>
    <x v="1"/>
    <x v="557"/>
    <x v="5184"/>
  </r>
  <r>
    <x v="2"/>
    <n v="1575"/>
    <x v="1145"/>
    <x v="1"/>
    <s v="CM"/>
    <s v="N"/>
    <x v="773"/>
    <x v="41"/>
    <x v="911"/>
    <m/>
    <x v="46"/>
    <m/>
    <x v="3"/>
    <x v="0"/>
    <x v="408"/>
    <d v="2013-01-28T00:00:00"/>
    <x v="33"/>
    <x v="0"/>
    <m/>
    <m/>
    <x v="0"/>
    <x v="1"/>
    <m/>
    <x v="0"/>
    <x v="2"/>
    <x v="1150"/>
    <x v="3"/>
    <x v="0"/>
    <x v="1"/>
    <x v="408"/>
    <x v="5185"/>
  </r>
  <r>
    <x v="2"/>
    <n v="465"/>
    <x v="327"/>
    <x v="0"/>
    <s v="CM"/>
    <s v="N"/>
    <x v="277"/>
    <x v="3"/>
    <x v="153"/>
    <m/>
    <x v="98"/>
    <m/>
    <x v="29"/>
    <x v="0"/>
    <x v="571"/>
    <d v="2013-03-17T00:00:00"/>
    <x v="2"/>
    <x v="0"/>
    <m/>
    <s v="Festival Shorts 2"/>
    <x v="0"/>
    <x v="0"/>
    <m/>
    <x v="0"/>
    <x v="0"/>
    <x v="329"/>
    <x v="29"/>
    <x v="0"/>
    <x v="0"/>
    <x v="571"/>
    <x v="5186"/>
  </r>
  <r>
    <x v="2"/>
    <n v="465"/>
    <x v="327"/>
    <x v="0"/>
    <s v="CM"/>
    <s v="N"/>
    <x v="277"/>
    <x v="3"/>
    <x v="831"/>
    <m/>
    <x v="348"/>
    <m/>
    <x v="3"/>
    <x v="0"/>
    <x v="511"/>
    <m/>
    <x v="2"/>
    <x v="1"/>
    <s v="Curta-metragem de ficção"/>
    <m/>
    <x v="0"/>
    <x v="0"/>
    <m/>
    <x v="0"/>
    <x v="0"/>
    <x v="329"/>
    <x v="3"/>
    <x v="0"/>
    <x v="1"/>
    <x v="511"/>
    <x v="5187"/>
  </r>
  <r>
    <x v="2"/>
    <n v="1696"/>
    <x v="1809"/>
    <x v="0"/>
    <s v="CM"/>
    <s v="N"/>
    <x v="1182"/>
    <x v="41"/>
    <x v="62"/>
    <m/>
    <x v="23"/>
    <m/>
    <x v="3"/>
    <x v="0"/>
    <x v="503"/>
    <d v="2013-03-10T00:00:00"/>
    <x v="19"/>
    <x v="1"/>
    <s v="Prémio de Cinema Português - Escolas de Cinema"/>
    <m/>
    <x v="0"/>
    <x v="0"/>
    <s v="Escola Artística de Soares dos Reis"/>
    <x v="0"/>
    <x v="0"/>
    <x v="1830"/>
    <x v="3"/>
    <x v="0"/>
    <x v="1"/>
    <x v="503"/>
    <x v="5188"/>
  </r>
  <r>
    <x v="2"/>
    <n v="2049"/>
    <x v="1810"/>
    <x v="0"/>
    <s v="LM"/>
    <s v="S"/>
    <x v="20"/>
    <x v="27"/>
    <x v="161"/>
    <m/>
    <x v="35"/>
    <m/>
    <x v="2"/>
    <x v="0"/>
    <x v="652"/>
    <d v="2013-11-02T00:00:00"/>
    <x v="0"/>
    <x v="0"/>
    <m/>
    <s v="Espagne: Hommage à Marisa Paredes"/>
    <x v="0"/>
    <x v="0"/>
    <m/>
    <x v="0"/>
    <x v="5"/>
    <x v="1831"/>
    <x v="2"/>
    <x v="0"/>
    <x v="0"/>
    <x v="652"/>
    <x v="5189"/>
  </r>
  <r>
    <x v="2"/>
    <n v="469"/>
    <x v="329"/>
    <x v="0"/>
    <s v="LM"/>
    <s v="S"/>
    <x v="240"/>
    <x v="2"/>
    <x v="369"/>
    <m/>
    <x v="175"/>
    <m/>
    <x v="3"/>
    <x v="0"/>
    <x v="574"/>
    <m/>
    <x v="13"/>
    <x v="0"/>
    <m/>
    <m/>
    <x v="0"/>
    <x v="1"/>
    <m/>
    <x v="0"/>
    <x v="5"/>
    <x v="331"/>
    <x v="3"/>
    <x v="0"/>
    <x v="1"/>
    <x v="574"/>
    <x v="5190"/>
  </r>
  <r>
    <x v="2"/>
    <n v="470"/>
    <x v="1151"/>
    <x v="1"/>
    <s v="CM"/>
    <s v="N"/>
    <x v="778"/>
    <x v="2"/>
    <x v="831"/>
    <m/>
    <x v="348"/>
    <m/>
    <x v="3"/>
    <x v="0"/>
    <x v="511"/>
    <m/>
    <x v="2"/>
    <x v="1"/>
    <s v="Curta-metragem documental"/>
    <m/>
    <x v="0"/>
    <x v="0"/>
    <m/>
    <x v="0"/>
    <x v="2"/>
    <x v="1156"/>
    <x v="3"/>
    <x v="0"/>
    <x v="1"/>
    <x v="511"/>
    <x v="5191"/>
  </r>
  <r>
    <x v="2"/>
    <n v="1788"/>
    <x v="1811"/>
    <x v="1"/>
    <s v="CM"/>
    <s v="N"/>
    <x v="566"/>
    <x v="52"/>
    <x v="34"/>
    <m/>
    <x v="32"/>
    <m/>
    <x v="3"/>
    <x v="0"/>
    <x v="525"/>
    <d v="2013-05-12T00:00:00"/>
    <x v="6"/>
    <x v="1"/>
    <s v="Documentário Regional"/>
    <m/>
    <x v="0"/>
    <x v="0"/>
    <m/>
    <x v="0"/>
    <x v="2"/>
    <x v="1832"/>
    <x v="3"/>
    <x v="0"/>
    <x v="1"/>
    <x v="525"/>
    <x v="5192"/>
  </r>
  <r>
    <x v="2"/>
    <n v="1788"/>
    <x v="1811"/>
    <x v="1"/>
    <s v="CM"/>
    <s v="N"/>
    <x v="566"/>
    <x v="52"/>
    <x v="977"/>
    <m/>
    <x v="32"/>
    <m/>
    <x v="3"/>
    <x v="0"/>
    <x v="541"/>
    <d v="2013-09-26T00:00:00"/>
    <x v="9"/>
    <x v="0"/>
    <m/>
    <m/>
    <x v="0"/>
    <x v="1"/>
    <s v="Clube de Cinema de Setúbal"/>
    <x v="0"/>
    <x v="2"/>
    <x v="1832"/>
    <x v="3"/>
    <x v="0"/>
    <x v="1"/>
    <x v="541"/>
    <x v="5193"/>
  </r>
  <r>
    <x v="2"/>
    <n v="1543"/>
    <x v="1154"/>
    <x v="0"/>
    <s v="CM"/>
    <s v="N"/>
    <x v="780"/>
    <x v="5"/>
    <x v="62"/>
    <m/>
    <x v="23"/>
    <m/>
    <x v="3"/>
    <x v="0"/>
    <x v="503"/>
    <d v="2013-03-10T00:00:00"/>
    <x v="19"/>
    <x v="1"/>
    <s v="Prémio de Cinema Português - Escolas de Cinema"/>
    <m/>
    <x v="0"/>
    <x v="0"/>
    <s v="EPI/ETIC"/>
    <x v="0"/>
    <x v="0"/>
    <x v="1159"/>
    <x v="3"/>
    <x v="0"/>
    <x v="1"/>
    <x v="503"/>
    <x v="5194"/>
  </r>
  <r>
    <x v="2"/>
    <n v="1869"/>
    <x v="1156"/>
    <x v="1"/>
    <s v="CM"/>
    <s v="N"/>
    <x v="782"/>
    <x v="5"/>
    <x v="628"/>
    <m/>
    <x v="24"/>
    <m/>
    <x v="3"/>
    <x v="0"/>
    <x v="587"/>
    <m/>
    <x v="1"/>
    <x v="0"/>
    <m/>
    <m/>
    <x v="0"/>
    <x v="1"/>
    <s v="Curtas de Diogo Pessoa de Andrade"/>
    <x v="0"/>
    <x v="2"/>
    <x v="1161"/>
    <x v="3"/>
    <x v="0"/>
    <x v="1"/>
    <x v="587"/>
    <x v="5195"/>
  </r>
  <r>
    <x v="2"/>
    <n v="476"/>
    <x v="333"/>
    <x v="0"/>
    <s v="LM"/>
    <s v="S"/>
    <x v="282"/>
    <x v="3"/>
    <x v="978"/>
    <m/>
    <x v="199"/>
    <m/>
    <x v="33"/>
    <x v="0"/>
    <x v="668"/>
    <d v="2013-03-03T00:00:00"/>
    <x v="19"/>
    <x v="1"/>
    <s v="Europe Out of Europe"/>
    <m/>
    <x v="0"/>
    <x v="0"/>
    <m/>
    <x v="0"/>
    <x v="5"/>
    <x v="335"/>
    <x v="33"/>
    <x v="0"/>
    <x v="0"/>
    <x v="668"/>
    <x v="5196"/>
  </r>
  <r>
    <x v="2"/>
    <n v="476"/>
    <x v="333"/>
    <x v="0"/>
    <s v="LM"/>
    <s v="S"/>
    <x v="282"/>
    <x v="3"/>
    <x v="979"/>
    <m/>
    <x v="24"/>
    <m/>
    <x v="3"/>
    <x v="0"/>
    <x v="669"/>
    <m/>
    <x v="8"/>
    <x v="0"/>
    <m/>
    <m/>
    <x v="491"/>
    <x v="2"/>
    <m/>
    <x v="1"/>
    <x v="5"/>
    <x v="335"/>
    <x v="3"/>
    <x v="600"/>
    <x v="1"/>
    <x v="669"/>
    <x v="5197"/>
  </r>
  <r>
    <x v="2"/>
    <n v="476"/>
    <x v="333"/>
    <x v="0"/>
    <s v="LM"/>
    <s v="S"/>
    <x v="282"/>
    <x v="3"/>
    <x v="627"/>
    <m/>
    <x v="24"/>
    <m/>
    <x v="3"/>
    <x v="0"/>
    <x v="651"/>
    <m/>
    <x v="14"/>
    <x v="0"/>
    <m/>
    <m/>
    <x v="492"/>
    <x v="2"/>
    <m/>
    <x v="1"/>
    <x v="5"/>
    <x v="335"/>
    <x v="3"/>
    <x v="601"/>
    <x v="1"/>
    <x v="651"/>
    <x v="5198"/>
  </r>
  <r>
    <x v="2"/>
    <n v="45"/>
    <x v="1158"/>
    <x v="0"/>
    <s v="CM"/>
    <s v="N"/>
    <x v="783"/>
    <x v="41"/>
    <x v="450"/>
    <m/>
    <x v="24"/>
    <m/>
    <x v="3"/>
    <x v="0"/>
    <x v="625"/>
    <m/>
    <x v="1"/>
    <x v="0"/>
    <m/>
    <m/>
    <x v="0"/>
    <x v="1"/>
    <m/>
    <x v="0"/>
    <x v="0"/>
    <x v="1163"/>
    <x v="3"/>
    <x v="0"/>
    <x v="1"/>
    <x v="625"/>
    <x v="5199"/>
  </r>
  <r>
    <x v="2"/>
    <n v="1715"/>
    <x v="1812"/>
    <x v="4"/>
    <s v="CM"/>
    <s v="N"/>
    <x v="1183"/>
    <x v="52"/>
    <x v="866"/>
    <m/>
    <x v="23"/>
    <m/>
    <x v="3"/>
    <x v="0"/>
    <x v="557"/>
    <m/>
    <x v="2"/>
    <x v="0"/>
    <m/>
    <s v="Mestrado de CAM - Comunicação Audiovisual e Multimedia"/>
    <x v="0"/>
    <x v="1"/>
    <m/>
    <x v="0"/>
    <x v="8"/>
    <x v="1833"/>
    <x v="3"/>
    <x v="0"/>
    <x v="1"/>
    <x v="557"/>
    <x v="5200"/>
  </r>
  <r>
    <x v="2"/>
    <n v="1440"/>
    <x v="1165"/>
    <x v="1"/>
    <s v="CM"/>
    <s v="N"/>
    <x v="786"/>
    <x v="41"/>
    <x v="62"/>
    <m/>
    <x v="23"/>
    <m/>
    <x v="3"/>
    <x v="0"/>
    <x v="503"/>
    <d v="2013-03-10T00:00:00"/>
    <x v="19"/>
    <x v="1"/>
    <s v="Prémio de Cinema Português - Escolas de Cinema"/>
    <m/>
    <x v="0"/>
    <x v="0"/>
    <s v="Universidade Católica do Porto"/>
    <x v="0"/>
    <x v="2"/>
    <x v="1170"/>
    <x v="3"/>
    <x v="0"/>
    <x v="1"/>
    <x v="503"/>
    <x v="5201"/>
  </r>
  <r>
    <x v="2"/>
    <n v="485"/>
    <x v="1166"/>
    <x v="2"/>
    <s v="CM"/>
    <s v="S"/>
    <x v="518"/>
    <x v="3"/>
    <x v="62"/>
    <m/>
    <x v="23"/>
    <m/>
    <x v="3"/>
    <x v="0"/>
    <x v="503"/>
    <d v="2013-03-10T00:00:00"/>
    <x v="19"/>
    <x v="0"/>
    <m/>
    <s v="Filmes CINANIMA - o melhor do Cinema de Animação 2012"/>
    <x v="0"/>
    <x v="0"/>
    <m/>
    <x v="0"/>
    <x v="4"/>
    <x v="1171"/>
    <x v="3"/>
    <x v="0"/>
    <x v="1"/>
    <x v="503"/>
    <x v="5202"/>
  </r>
  <r>
    <x v="2"/>
    <n v="485"/>
    <x v="1166"/>
    <x v="2"/>
    <s v="CM"/>
    <s v="S"/>
    <x v="518"/>
    <x v="3"/>
    <x v="854"/>
    <m/>
    <x v="24"/>
    <m/>
    <x v="3"/>
    <x v="0"/>
    <x v="550"/>
    <d v="2013-03-27T00:00:00"/>
    <x v="2"/>
    <x v="0"/>
    <m/>
    <m/>
    <x v="0"/>
    <x v="1"/>
    <m/>
    <x v="0"/>
    <x v="4"/>
    <x v="1171"/>
    <x v="3"/>
    <x v="0"/>
    <x v="1"/>
    <x v="550"/>
    <x v="5203"/>
  </r>
  <r>
    <x v="2"/>
    <n v="485"/>
    <x v="1166"/>
    <x v="2"/>
    <s v="CM"/>
    <s v="S"/>
    <x v="518"/>
    <x v="3"/>
    <x v="487"/>
    <m/>
    <x v="295"/>
    <m/>
    <x v="10"/>
    <x v="0"/>
    <x v="641"/>
    <d v="2013-04-07T00:00:00"/>
    <x v="5"/>
    <x v="1"/>
    <s v="Short Competition: Short Films D"/>
    <m/>
    <x v="0"/>
    <x v="0"/>
    <m/>
    <x v="0"/>
    <x v="4"/>
    <x v="1171"/>
    <x v="10"/>
    <x v="0"/>
    <x v="0"/>
    <x v="641"/>
    <x v="5204"/>
  </r>
  <r>
    <x v="2"/>
    <n v="485"/>
    <x v="1166"/>
    <x v="2"/>
    <s v="CM"/>
    <s v="S"/>
    <x v="518"/>
    <x v="3"/>
    <x v="751"/>
    <m/>
    <x v="240"/>
    <m/>
    <x v="58"/>
    <x v="0"/>
    <x v="603"/>
    <d v="2013-05-07T00:00:00"/>
    <x v="4"/>
    <x v="0"/>
    <m/>
    <s v="La Nuit du Court"/>
    <x v="0"/>
    <x v="0"/>
    <m/>
    <x v="0"/>
    <x v="4"/>
    <x v="1171"/>
    <x v="58"/>
    <x v="0"/>
    <x v="0"/>
    <x v="603"/>
    <x v="5205"/>
  </r>
  <r>
    <x v="2"/>
    <n v="485"/>
    <x v="1166"/>
    <x v="2"/>
    <s v="CM"/>
    <s v="S"/>
    <x v="518"/>
    <x v="3"/>
    <x v="34"/>
    <m/>
    <x v="32"/>
    <m/>
    <x v="3"/>
    <x v="0"/>
    <x v="525"/>
    <d v="2013-05-12T00:00:00"/>
    <x v="6"/>
    <x v="1"/>
    <s v="Animação"/>
    <m/>
    <x v="127"/>
    <x v="0"/>
    <m/>
    <x v="1"/>
    <x v="4"/>
    <x v="1171"/>
    <x v="3"/>
    <x v="283"/>
    <x v="1"/>
    <x v="525"/>
    <x v="5206"/>
  </r>
  <r>
    <x v="2"/>
    <n v="485"/>
    <x v="1166"/>
    <x v="2"/>
    <s v="CM"/>
    <s v="S"/>
    <x v="518"/>
    <x v="3"/>
    <x v="864"/>
    <m/>
    <x v="32"/>
    <m/>
    <x v="3"/>
    <x v="0"/>
    <x v="562"/>
    <d v="2013-06-16T00:00:00"/>
    <x v="7"/>
    <x v="0"/>
    <m/>
    <s v="Curtas Sadinas"/>
    <x v="0"/>
    <x v="0"/>
    <m/>
    <x v="0"/>
    <x v="4"/>
    <x v="1171"/>
    <x v="3"/>
    <x v="0"/>
    <x v="1"/>
    <x v="562"/>
    <x v="5207"/>
  </r>
  <r>
    <x v="2"/>
    <n v="485"/>
    <x v="1166"/>
    <x v="2"/>
    <s v="CM"/>
    <s v="S"/>
    <x v="518"/>
    <x v="3"/>
    <x v="846"/>
    <m/>
    <x v="417"/>
    <m/>
    <x v="11"/>
    <x v="0"/>
    <x v="535"/>
    <d v="2013-08-03T00:00:00"/>
    <x v="25"/>
    <x v="0"/>
    <m/>
    <s v="Focus Portugal: Fado"/>
    <x v="0"/>
    <x v="0"/>
    <m/>
    <x v="0"/>
    <x v="4"/>
    <x v="1171"/>
    <x v="11"/>
    <x v="0"/>
    <x v="0"/>
    <x v="535"/>
    <x v="5208"/>
  </r>
  <r>
    <x v="2"/>
    <n v="1505"/>
    <x v="1167"/>
    <x v="2"/>
    <s v="CM"/>
    <s v="S"/>
    <x v="640"/>
    <x v="42"/>
    <x v="879"/>
    <m/>
    <x v="306"/>
    <m/>
    <x v="2"/>
    <x v="0"/>
    <x v="580"/>
    <m/>
    <x v="1"/>
    <x v="0"/>
    <m/>
    <s v="Regina Pessoa et Abi Feijó"/>
    <x v="0"/>
    <x v="1"/>
    <m/>
    <x v="0"/>
    <x v="4"/>
    <x v="1172"/>
    <x v="2"/>
    <x v="0"/>
    <x v="0"/>
    <x v="580"/>
    <x v="5209"/>
  </r>
  <r>
    <x v="2"/>
    <n v="1505"/>
    <x v="1167"/>
    <x v="2"/>
    <s v="CM"/>
    <s v="S"/>
    <x v="640"/>
    <x v="42"/>
    <x v="846"/>
    <m/>
    <x v="417"/>
    <m/>
    <x v="11"/>
    <x v="0"/>
    <x v="535"/>
    <d v="2013-08-03T00:00:00"/>
    <x v="25"/>
    <x v="0"/>
    <m/>
    <s v="Focus Portugal: Fado"/>
    <x v="0"/>
    <x v="0"/>
    <m/>
    <x v="0"/>
    <x v="4"/>
    <x v="1172"/>
    <x v="11"/>
    <x v="0"/>
    <x v="0"/>
    <x v="535"/>
    <x v="5210"/>
  </r>
  <r>
    <x v="2"/>
    <n v="1505"/>
    <x v="1167"/>
    <x v="2"/>
    <s v="CM"/>
    <s v="S"/>
    <x v="640"/>
    <x v="42"/>
    <x v="220"/>
    <m/>
    <x v="154"/>
    <m/>
    <x v="0"/>
    <x v="0"/>
    <x v="566"/>
    <d v="2013-08-18T00:00:00"/>
    <x v="16"/>
    <x v="0"/>
    <m/>
    <s v="Papo Animado"/>
    <x v="0"/>
    <x v="0"/>
    <m/>
    <x v="0"/>
    <x v="4"/>
    <x v="1172"/>
    <x v="0"/>
    <x v="0"/>
    <x v="0"/>
    <x v="566"/>
    <x v="5211"/>
  </r>
  <r>
    <x v="2"/>
    <n v="1505"/>
    <x v="1167"/>
    <x v="2"/>
    <s v="CM"/>
    <s v="S"/>
    <x v="640"/>
    <x v="42"/>
    <x v="880"/>
    <m/>
    <x v="298"/>
    <m/>
    <x v="15"/>
    <x v="0"/>
    <x v="553"/>
    <d v="2013-10-30T00:00:00"/>
    <x v="14"/>
    <x v="0"/>
    <m/>
    <s v="Regina Pessoa e Abi Feijó: la regina dell'animazione e il suo maestro - Il mio apprendistato"/>
    <x v="0"/>
    <x v="0"/>
    <m/>
    <x v="0"/>
    <x v="4"/>
    <x v="1172"/>
    <x v="15"/>
    <x v="0"/>
    <x v="0"/>
    <x v="553"/>
    <x v="5212"/>
  </r>
  <r>
    <x v="2"/>
    <n v="1484"/>
    <x v="1168"/>
    <x v="2"/>
    <s v="CM"/>
    <s v="S"/>
    <x v="787"/>
    <x v="41"/>
    <x v="26"/>
    <m/>
    <x v="24"/>
    <m/>
    <x v="3"/>
    <x v="0"/>
    <x v="571"/>
    <d v="2013-03-17T00:00:00"/>
    <x v="2"/>
    <x v="1"/>
    <s v="Competição SPAutores/Vasco Granja"/>
    <m/>
    <x v="0"/>
    <x v="0"/>
    <m/>
    <x v="0"/>
    <x v="4"/>
    <x v="1173"/>
    <x v="3"/>
    <x v="0"/>
    <x v="1"/>
    <x v="571"/>
    <x v="5213"/>
  </r>
  <r>
    <x v="2"/>
    <n v="1484"/>
    <x v="1168"/>
    <x v="2"/>
    <s v="CM"/>
    <s v="S"/>
    <x v="787"/>
    <x v="41"/>
    <x v="854"/>
    <m/>
    <x v="24"/>
    <m/>
    <x v="3"/>
    <x v="0"/>
    <x v="550"/>
    <d v="2013-03-27T00:00:00"/>
    <x v="2"/>
    <x v="0"/>
    <m/>
    <m/>
    <x v="0"/>
    <x v="1"/>
    <m/>
    <x v="0"/>
    <x v="4"/>
    <x v="1173"/>
    <x v="3"/>
    <x v="0"/>
    <x v="1"/>
    <x v="550"/>
    <x v="5214"/>
  </r>
  <r>
    <x v="2"/>
    <n v="1484"/>
    <x v="1168"/>
    <x v="2"/>
    <s v="CM"/>
    <s v="S"/>
    <x v="787"/>
    <x v="41"/>
    <x v="34"/>
    <m/>
    <x v="32"/>
    <m/>
    <x v="3"/>
    <x v="0"/>
    <x v="525"/>
    <d v="2013-05-12T00:00:00"/>
    <x v="6"/>
    <x v="1"/>
    <s v="Animação"/>
    <m/>
    <x v="0"/>
    <x v="0"/>
    <m/>
    <x v="0"/>
    <x v="4"/>
    <x v="1173"/>
    <x v="3"/>
    <x v="0"/>
    <x v="1"/>
    <x v="525"/>
    <x v="5215"/>
  </r>
  <r>
    <x v="2"/>
    <n v="1484"/>
    <x v="1168"/>
    <x v="2"/>
    <s v="CM"/>
    <s v="S"/>
    <x v="787"/>
    <x v="41"/>
    <x v="864"/>
    <m/>
    <x v="32"/>
    <m/>
    <x v="3"/>
    <x v="0"/>
    <x v="562"/>
    <d v="2013-06-16T00:00:00"/>
    <x v="7"/>
    <x v="0"/>
    <m/>
    <s v="Mostra do Cinema Português"/>
    <x v="0"/>
    <x v="0"/>
    <m/>
    <x v="0"/>
    <x v="4"/>
    <x v="1173"/>
    <x v="3"/>
    <x v="0"/>
    <x v="1"/>
    <x v="562"/>
    <x v="5216"/>
  </r>
  <r>
    <x v="2"/>
    <n v="1484"/>
    <x v="1168"/>
    <x v="2"/>
    <s v="CM"/>
    <s v="S"/>
    <x v="787"/>
    <x v="41"/>
    <x v="846"/>
    <m/>
    <x v="417"/>
    <m/>
    <x v="11"/>
    <x v="0"/>
    <x v="535"/>
    <d v="2013-08-03T00:00:00"/>
    <x v="25"/>
    <x v="0"/>
    <m/>
    <s v="Focus Portugal: Fado"/>
    <x v="0"/>
    <x v="0"/>
    <m/>
    <x v="0"/>
    <x v="4"/>
    <x v="1173"/>
    <x v="11"/>
    <x v="0"/>
    <x v="0"/>
    <x v="535"/>
    <x v="5217"/>
  </r>
  <r>
    <x v="2"/>
    <n v="488"/>
    <x v="339"/>
    <x v="0"/>
    <s v="LM"/>
    <s v="N"/>
    <x v="287"/>
    <x v="24"/>
    <x v="846"/>
    <m/>
    <x v="417"/>
    <m/>
    <x v="11"/>
    <x v="0"/>
    <x v="535"/>
    <d v="2013-08-03T00:00:00"/>
    <x v="25"/>
    <x v="0"/>
    <m/>
    <s v="Focus Portugal: Fado"/>
    <x v="0"/>
    <x v="0"/>
    <m/>
    <x v="0"/>
    <x v="5"/>
    <x v="341"/>
    <x v="11"/>
    <x v="0"/>
    <x v="0"/>
    <x v="535"/>
    <x v="5218"/>
  </r>
  <r>
    <x v="2"/>
    <n v="489"/>
    <x v="1169"/>
    <x v="1"/>
    <s v="LM"/>
    <s v="N"/>
    <x v="788"/>
    <x v="18"/>
    <x v="846"/>
    <m/>
    <x v="417"/>
    <m/>
    <x v="11"/>
    <x v="0"/>
    <x v="535"/>
    <d v="2013-08-03T00:00:00"/>
    <x v="25"/>
    <x v="0"/>
    <m/>
    <s v="Focus Portugal: Fado"/>
    <x v="0"/>
    <x v="0"/>
    <m/>
    <x v="0"/>
    <x v="1"/>
    <x v="1174"/>
    <x v="11"/>
    <x v="0"/>
    <x v="0"/>
    <x v="535"/>
    <x v="5219"/>
  </r>
  <r>
    <x v="2"/>
    <n v="489"/>
    <x v="1169"/>
    <x v="1"/>
    <s v="LM"/>
    <s v="N"/>
    <x v="788"/>
    <x v="18"/>
    <x v="857"/>
    <m/>
    <x v="419"/>
    <m/>
    <x v="34"/>
    <x v="0"/>
    <x v="554"/>
    <d v="2013-08-25T00:00:00"/>
    <x v="16"/>
    <x v="0"/>
    <m/>
    <m/>
    <x v="0"/>
    <x v="0"/>
    <m/>
    <x v="0"/>
    <x v="1"/>
    <x v="1174"/>
    <x v="34"/>
    <x v="0"/>
    <x v="0"/>
    <x v="554"/>
    <x v="5220"/>
  </r>
  <r>
    <x v="2"/>
    <n v="1290"/>
    <x v="1170"/>
    <x v="1"/>
    <s v="CM"/>
    <s v="N"/>
    <x v="247"/>
    <x v="2"/>
    <x v="831"/>
    <m/>
    <x v="348"/>
    <m/>
    <x v="3"/>
    <x v="0"/>
    <x v="511"/>
    <m/>
    <x v="2"/>
    <x v="1"/>
    <s v="Curta-metragem documental"/>
    <m/>
    <x v="0"/>
    <x v="0"/>
    <m/>
    <x v="0"/>
    <x v="2"/>
    <x v="1175"/>
    <x v="3"/>
    <x v="0"/>
    <x v="1"/>
    <x v="511"/>
    <x v="5221"/>
  </r>
  <r>
    <x v="2"/>
    <n v="490"/>
    <x v="340"/>
    <x v="1"/>
    <s v="LM"/>
    <s v=""/>
    <x v="288"/>
    <x v="1"/>
    <x v="906"/>
    <m/>
    <x v="348"/>
    <m/>
    <x v="3"/>
    <x v="0"/>
    <x v="592"/>
    <d v="2013-06-23T00:00:00"/>
    <x v="7"/>
    <x v="0"/>
    <m/>
    <m/>
    <x v="0"/>
    <x v="0"/>
    <m/>
    <x v="0"/>
    <x v="1"/>
    <x v="342"/>
    <x v="3"/>
    <x v="0"/>
    <x v="1"/>
    <x v="592"/>
    <x v="5222"/>
  </r>
  <r>
    <x v="2"/>
    <n v="492"/>
    <x v="1171"/>
    <x v="0"/>
    <s v="CM"/>
    <s v="N"/>
    <x v="62"/>
    <x v="41"/>
    <x v="898"/>
    <m/>
    <x v="23"/>
    <m/>
    <x v="3"/>
    <x v="0"/>
    <x v="599"/>
    <m/>
    <x v="15"/>
    <x v="1"/>
    <m/>
    <m/>
    <x v="493"/>
    <x v="1"/>
    <m/>
    <x v="1"/>
    <x v="0"/>
    <x v="1176"/>
    <x v="3"/>
    <x v="602"/>
    <x v="1"/>
    <x v="599"/>
    <x v="5223"/>
  </r>
  <r>
    <x v="2"/>
    <n v="492"/>
    <x v="1171"/>
    <x v="0"/>
    <s v="CM"/>
    <s v="N"/>
    <x v="62"/>
    <x v="41"/>
    <x v="193"/>
    <m/>
    <x v="17"/>
    <m/>
    <x v="2"/>
    <x v="0"/>
    <x v="670"/>
    <d v="2013-03-31T00:00:00"/>
    <x v="2"/>
    <x v="1"/>
    <s v="Court Métrage Dramatique Européen"/>
    <m/>
    <x v="0"/>
    <x v="0"/>
    <m/>
    <x v="0"/>
    <x v="0"/>
    <x v="1176"/>
    <x v="2"/>
    <x v="0"/>
    <x v="0"/>
    <x v="670"/>
    <x v="5224"/>
  </r>
  <r>
    <x v="2"/>
    <n v="492"/>
    <x v="1171"/>
    <x v="0"/>
    <s v="CM"/>
    <s v="N"/>
    <x v="62"/>
    <x v="41"/>
    <x v="975"/>
    <m/>
    <x v="441"/>
    <m/>
    <x v="75"/>
    <x v="0"/>
    <x v="666"/>
    <d v="2013-06-21T00:00:00"/>
    <x v="22"/>
    <x v="1"/>
    <m/>
    <m/>
    <x v="0"/>
    <x v="0"/>
    <m/>
    <x v="0"/>
    <x v="0"/>
    <x v="1176"/>
    <x v="75"/>
    <x v="0"/>
    <x v="0"/>
    <x v="666"/>
    <x v="5225"/>
  </r>
  <r>
    <x v="2"/>
    <n v="492"/>
    <x v="1171"/>
    <x v="0"/>
    <s v="CM"/>
    <s v="N"/>
    <x v="62"/>
    <x v="41"/>
    <x v="829"/>
    <m/>
    <x v="411"/>
    <m/>
    <x v="0"/>
    <x v="0"/>
    <x v="508"/>
    <d v="2013-06-08T00:00:00"/>
    <x v="7"/>
    <x v="1"/>
    <s v="Competição Mostra Estrangeira"/>
    <m/>
    <x v="0"/>
    <x v="0"/>
    <m/>
    <x v="0"/>
    <x v="0"/>
    <x v="1176"/>
    <x v="0"/>
    <x v="0"/>
    <x v="0"/>
    <x v="508"/>
    <x v="5226"/>
  </r>
  <r>
    <x v="2"/>
    <n v="492"/>
    <x v="1171"/>
    <x v="0"/>
    <s v="CM"/>
    <s v="N"/>
    <x v="62"/>
    <x v="41"/>
    <x v="767"/>
    <m/>
    <x v="65"/>
    <m/>
    <x v="9"/>
    <x v="0"/>
    <x v="542"/>
    <d v="2013-09-08T00:00:00"/>
    <x v="9"/>
    <x v="0"/>
    <m/>
    <m/>
    <x v="0"/>
    <x v="0"/>
    <m/>
    <x v="0"/>
    <x v="0"/>
    <x v="1176"/>
    <x v="9"/>
    <x v="0"/>
    <x v="0"/>
    <x v="542"/>
    <x v="5227"/>
  </r>
  <r>
    <x v="2"/>
    <n v="1831"/>
    <x v="1813"/>
    <x v="5"/>
    <s v="CM"/>
    <s v="N"/>
    <x v="351"/>
    <x v="2"/>
    <x v="67"/>
    <m/>
    <x v="23"/>
    <m/>
    <x v="3"/>
    <x v="0"/>
    <x v="526"/>
    <d v="2013-06-16T00:00:00"/>
    <x v="7"/>
    <x v="1"/>
    <s v="Music-Video"/>
    <m/>
    <x v="494"/>
    <x v="0"/>
    <m/>
    <x v="1"/>
    <x v="15"/>
    <x v="1834"/>
    <x v="3"/>
    <x v="603"/>
    <x v="1"/>
    <x v="526"/>
    <x v="5228"/>
  </r>
  <r>
    <x v="2"/>
    <n v="493"/>
    <x v="1172"/>
    <x v="0"/>
    <s v="CM"/>
    <s v="N"/>
    <x v="789"/>
    <x v="3"/>
    <x v="951"/>
    <m/>
    <x v="11"/>
    <m/>
    <x v="3"/>
    <x v="0"/>
    <x v="568"/>
    <d v="2013-10-12T00:00:00"/>
    <x v="14"/>
    <x v="1"/>
    <s v="Ficção"/>
    <m/>
    <x v="495"/>
    <x v="0"/>
    <m/>
    <x v="1"/>
    <x v="0"/>
    <x v="1177"/>
    <x v="3"/>
    <x v="604"/>
    <x v="1"/>
    <x v="568"/>
    <x v="5229"/>
  </r>
  <r>
    <x v="2"/>
    <n v="494"/>
    <x v="342"/>
    <x v="1"/>
    <s v="LM"/>
    <s v="S"/>
    <x v="289"/>
    <x v="5"/>
    <x v="214"/>
    <m/>
    <x v="5"/>
    <m/>
    <x v="3"/>
    <x v="0"/>
    <x v="557"/>
    <m/>
    <x v="2"/>
    <x v="0"/>
    <m/>
    <m/>
    <x v="0"/>
    <x v="1"/>
    <m/>
    <x v="0"/>
    <x v="1"/>
    <x v="344"/>
    <x v="3"/>
    <x v="0"/>
    <x v="1"/>
    <x v="557"/>
    <x v="5230"/>
  </r>
  <r>
    <x v="2"/>
    <n v="494"/>
    <x v="342"/>
    <x v="1"/>
    <s v="LM"/>
    <s v="S"/>
    <x v="289"/>
    <x v="5"/>
    <x v="906"/>
    <m/>
    <x v="348"/>
    <m/>
    <x v="3"/>
    <x v="0"/>
    <x v="592"/>
    <d v="2013-06-23T00:00:00"/>
    <x v="7"/>
    <x v="0"/>
    <m/>
    <m/>
    <x v="0"/>
    <x v="0"/>
    <m/>
    <x v="0"/>
    <x v="1"/>
    <x v="344"/>
    <x v="3"/>
    <x v="0"/>
    <x v="1"/>
    <x v="592"/>
    <x v="5231"/>
  </r>
  <r>
    <x v="2"/>
    <n v="1861"/>
    <x v="1814"/>
    <x v="1"/>
    <s v="CM"/>
    <s v="N"/>
    <x v="834"/>
    <x v="1"/>
    <x v="854"/>
    <m/>
    <x v="24"/>
    <m/>
    <x v="3"/>
    <x v="0"/>
    <x v="550"/>
    <d v="2013-03-27T00:00:00"/>
    <x v="2"/>
    <x v="0"/>
    <m/>
    <m/>
    <x v="0"/>
    <x v="1"/>
    <m/>
    <x v="0"/>
    <x v="2"/>
    <x v="1835"/>
    <x v="3"/>
    <x v="0"/>
    <x v="1"/>
    <x v="550"/>
    <x v="5232"/>
  </r>
  <r>
    <x v="2"/>
    <n v="503"/>
    <x v="346"/>
    <x v="3"/>
    <s v="Série"/>
    <s v="N"/>
    <x v="35"/>
    <x v="5"/>
    <x v="970"/>
    <m/>
    <x v="24"/>
    <m/>
    <x v="3"/>
    <x v="0"/>
    <x v="661"/>
    <m/>
    <x v="1"/>
    <x v="0"/>
    <m/>
    <m/>
    <x v="0"/>
    <x v="1"/>
    <m/>
    <x v="0"/>
    <x v="12"/>
    <x v="348"/>
    <x v="3"/>
    <x v="0"/>
    <x v="1"/>
    <x v="661"/>
    <x v="5233"/>
  </r>
  <r>
    <x v="2"/>
    <n v="2005"/>
    <x v="1815"/>
    <x v="0"/>
    <s v="CM"/>
    <s v="N"/>
    <x v="1184"/>
    <x v="52"/>
    <x v="68"/>
    <m/>
    <x v="53"/>
    <m/>
    <x v="3"/>
    <x v="0"/>
    <x v="573"/>
    <d v="2013-07-14T00:00:00"/>
    <x v="8"/>
    <x v="0"/>
    <m/>
    <s v="Estaleiro"/>
    <x v="0"/>
    <x v="0"/>
    <m/>
    <x v="0"/>
    <x v="0"/>
    <x v="1836"/>
    <x v="3"/>
    <x v="0"/>
    <x v="1"/>
    <x v="573"/>
    <x v="5234"/>
  </r>
  <r>
    <x v="2"/>
    <n v="2005"/>
    <x v="1815"/>
    <x v="0"/>
    <s v="CM"/>
    <s v="N"/>
    <x v="1184"/>
    <x v="52"/>
    <x v="980"/>
    <m/>
    <x v="207"/>
    <m/>
    <x v="0"/>
    <x v="0"/>
    <x v="543"/>
    <d v="2013-09-24T00:00:00"/>
    <x v="9"/>
    <x v="1"/>
    <s v="Mostra Competitiva - Curtas-Metragens Ficção"/>
    <m/>
    <x v="496"/>
    <x v="0"/>
    <m/>
    <x v="1"/>
    <x v="0"/>
    <x v="1836"/>
    <x v="0"/>
    <x v="605"/>
    <x v="0"/>
    <x v="543"/>
    <x v="5235"/>
  </r>
  <r>
    <x v="2"/>
    <n v="2059"/>
    <x v="1816"/>
    <x v="1"/>
    <s v="CM"/>
    <s v="N"/>
    <x v="1185"/>
    <x v="2"/>
    <x v="971"/>
    <m/>
    <x v="15"/>
    <m/>
    <x v="3"/>
    <x v="0"/>
    <x v="662"/>
    <m/>
    <x v="14"/>
    <x v="0"/>
    <m/>
    <s v="Curta Convidada, Moita Mostra - Encontro de Artes em Meio Rural"/>
    <x v="0"/>
    <x v="1"/>
    <m/>
    <x v="0"/>
    <x v="2"/>
    <x v="1837"/>
    <x v="3"/>
    <x v="0"/>
    <x v="1"/>
    <x v="662"/>
    <x v="5236"/>
  </r>
  <r>
    <x v="2"/>
    <n v="2087"/>
    <x v="1817"/>
    <x v="3"/>
    <s v="CM"/>
    <s v="N"/>
    <x v="1186"/>
    <x v="3"/>
    <x v="560"/>
    <m/>
    <x v="209"/>
    <m/>
    <x v="51"/>
    <x v="0"/>
    <x v="576"/>
    <d v="2013-12-15T00:00:00"/>
    <x v="12"/>
    <x v="0"/>
    <m/>
    <s v="The Portuguese Cinematic Miracle"/>
    <x v="0"/>
    <x v="0"/>
    <m/>
    <x v="0"/>
    <x v="6"/>
    <x v="1838"/>
    <x v="51"/>
    <x v="0"/>
    <x v="0"/>
    <x v="576"/>
    <x v="5237"/>
  </r>
  <r>
    <x v="2"/>
    <n v="506"/>
    <x v="348"/>
    <x v="0"/>
    <s v="LM"/>
    <s v="S"/>
    <x v="29"/>
    <x v="5"/>
    <x v="981"/>
    <m/>
    <x v="443"/>
    <m/>
    <x v="9"/>
    <x v="0"/>
    <x v="671"/>
    <d v="2013-04-17T00:00:00"/>
    <x v="5"/>
    <x v="0"/>
    <m/>
    <m/>
    <x v="0"/>
    <x v="1"/>
    <s v="Exibições no MoMA, Anthology Film Archives e Rutgers University (New Jersey)"/>
    <x v="0"/>
    <x v="5"/>
    <x v="350"/>
    <x v="9"/>
    <x v="0"/>
    <x v="0"/>
    <x v="671"/>
    <x v="5238"/>
  </r>
  <r>
    <x v="2"/>
    <n v="506"/>
    <x v="348"/>
    <x v="0"/>
    <s v="LM"/>
    <s v="S"/>
    <x v="29"/>
    <x v="5"/>
    <x v="843"/>
    <m/>
    <x v="253"/>
    <m/>
    <x v="0"/>
    <x v="0"/>
    <x v="532"/>
    <d v="2013-05-26T00:00:00"/>
    <x v="6"/>
    <x v="0"/>
    <m/>
    <m/>
    <x v="0"/>
    <x v="1"/>
    <m/>
    <x v="0"/>
    <x v="5"/>
    <x v="350"/>
    <x v="0"/>
    <x v="0"/>
    <x v="0"/>
    <x v="532"/>
    <x v="5239"/>
  </r>
  <r>
    <x v="2"/>
    <n v="506"/>
    <x v="348"/>
    <x v="0"/>
    <s v="LM"/>
    <s v="S"/>
    <x v="29"/>
    <x v="5"/>
    <x v="844"/>
    <m/>
    <x v="0"/>
    <m/>
    <x v="0"/>
    <x v="0"/>
    <x v="533"/>
    <d v="2013-06-06T00:00:00"/>
    <x v="22"/>
    <x v="0"/>
    <m/>
    <m/>
    <x v="0"/>
    <x v="1"/>
    <m/>
    <x v="0"/>
    <x v="5"/>
    <x v="350"/>
    <x v="0"/>
    <x v="0"/>
    <x v="0"/>
    <x v="533"/>
    <x v="5240"/>
  </r>
  <r>
    <x v="2"/>
    <n v="1653"/>
    <x v="1818"/>
    <x v="1"/>
    <s v="CM"/>
    <s v="N"/>
    <x v="1187"/>
    <x v="41"/>
    <x v="982"/>
    <m/>
    <x v="444"/>
    <m/>
    <x v="48"/>
    <x v="0"/>
    <x v="672"/>
    <d v="2013-02-03T00:00:00"/>
    <x v="1"/>
    <x v="0"/>
    <m/>
    <m/>
    <x v="0"/>
    <x v="0"/>
    <m/>
    <x v="0"/>
    <x v="2"/>
    <x v="1839"/>
    <x v="48"/>
    <x v="0"/>
    <x v="0"/>
    <x v="672"/>
    <x v="5241"/>
  </r>
  <r>
    <x v="2"/>
    <n v="1653"/>
    <x v="1818"/>
    <x v="1"/>
    <s v="CM"/>
    <s v="N"/>
    <x v="1187"/>
    <x v="41"/>
    <x v="192"/>
    <m/>
    <x v="140"/>
    <m/>
    <x v="3"/>
    <x v="0"/>
    <x v="334"/>
    <d v="2013-07-28T00:00:00"/>
    <x v="8"/>
    <x v="1"/>
    <s v="Prémio Competição Avanca"/>
    <m/>
    <x v="497"/>
    <x v="0"/>
    <m/>
    <x v="1"/>
    <x v="2"/>
    <x v="1839"/>
    <x v="3"/>
    <x v="606"/>
    <x v="1"/>
    <x v="334"/>
    <x v="5242"/>
  </r>
  <r>
    <x v="2"/>
    <n v="2184"/>
    <x v="1819"/>
    <x v="1"/>
    <s v="CM"/>
    <s v="N"/>
    <x v="1188"/>
    <x v="52"/>
    <x v="25"/>
    <m/>
    <x v="24"/>
    <m/>
    <x v="3"/>
    <x v="0"/>
    <x v="553"/>
    <d v="2013-11-03T00:00:00"/>
    <x v="0"/>
    <x v="0"/>
    <m/>
    <s v="Verdes Anoa"/>
    <x v="0"/>
    <x v="0"/>
    <m/>
    <x v="0"/>
    <x v="2"/>
    <x v="1840"/>
    <x v="3"/>
    <x v="0"/>
    <x v="1"/>
    <x v="553"/>
    <x v="5243"/>
  </r>
  <r>
    <x v="2"/>
    <n v="2086"/>
    <x v="1820"/>
    <x v="2"/>
    <s v="CM"/>
    <s v="N"/>
    <x v="1189"/>
    <x v="52"/>
    <x v="983"/>
    <m/>
    <x v="293"/>
    <m/>
    <x v="64"/>
    <x v="0"/>
    <x v="544"/>
    <d v="2013-11-09T00:00:00"/>
    <x v="13"/>
    <x v="1"/>
    <s v="Films made by children in competition"/>
    <m/>
    <x v="0"/>
    <x v="0"/>
    <m/>
    <x v="0"/>
    <x v="4"/>
    <x v="1841"/>
    <x v="64"/>
    <x v="0"/>
    <x v="0"/>
    <x v="544"/>
    <x v="5244"/>
  </r>
  <r>
    <x v="2"/>
    <n v="2178"/>
    <x v="1821"/>
    <x v="3"/>
    <s v="CM"/>
    <s v=""/>
    <x v="16"/>
    <x v="52"/>
    <x v="25"/>
    <m/>
    <x v="24"/>
    <m/>
    <x v="3"/>
    <x v="0"/>
    <x v="553"/>
    <d v="2013-11-03T00:00:00"/>
    <x v="0"/>
    <x v="1"/>
    <s v="Competição Portuguesa - Curtas"/>
    <m/>
    <x v="0"/>
    <x v="0"/>
    <m/>
    <x v="0"/>
    <x v="6"/>
    <x v="1842"/>
    <x v="3"/>
    <x v="0"/>
    <x v="1"/>
    <x v="553"/>
    <x v="5245"/>
  </r>
  <r>
    <x v="2"/>
    <n v="2120"/>
    <x v="1822"/>
    <x v="2"/>
    <s v="CM"/>
    <s v="N"/>
    <x v="1190"/>
    <x v="2"/>
    <x v="969"/>
    <m/>
    <x v="40"/>
    <m/>
    <x v="3"/>
    <x v="0"/>
    <x v="659"/>
    <m/>
    <x v="12"/>
    <x v="0"/>
    <m/>
    <m/>
    <x v="0"/>
    <x v="1"/>
    <m/>
    <x v="0"/>
    <x v="4"/>
    <x v="1843"/>
    <x v="3"/>
    <x v="0"/>
    <x v="1"/>
    <x v="659"/>
    <x v="5246"/>
  </r>
  <r>
    <x v="2"/>
    <n v="1359"/>
    <x v="1184"/>
    <x v="0"/>
    <s v="LM"/>
    <s v="S"/>
    <x v="184"/>
    <x v="3"/>
    <x v="628"/>
    <m/>
    <x v="24"/>
    <m/>
    <x v="3"/>
    <x v="0"/>
    <x v="673"/>
    <m/>
    <x v="15"/>
    <x v="0"/>
    <m/>
    <m/>
    <x v="0"/>
    <x v="1"/>
    <m/>
    <x v="0"/>
    <x v="5"/>
    <x v="1189"/>
    <x v="3"/>
    <x v="0"/>
    <x v="1"/>
    <x v="673"/>
    <x v="5247"/>
  </r>
  <r>
    <x v="2"/>
    <n v="1359"/>
    <x v="1184"/>
    <x v="0"/>
    <s v="LM"/>
    <s v="S"/>
    <x v="184"/>
    <x v="3"/>
    <x v="984"/>
    <m/>
    <x v="200"/>
    <m/>
    <x v="3"/>
    <x v="0"/>
    <x v="609"/>
    <m/>
    <x v="15"/>
    <x v="0"/>
    <m/>
    <m/>
    <x v="0"/>
    <x v="1"/>
    <m/>
    <x v="0"/>
    <x v="5"/>
    <x v="1189"/>
    <x v="3"/>
    <x v="0"/>
    <x v="1"/>
    <x v="609"/>
    <x v="5248"/>
  </r>
  <r>
    <x v="2"/>
    <n v="1359"/>
    <x v="1184"/>
    <x v="0"/>
    <s v="LM"/>
    <s v="S"/>
    <x v="184"/>
    <x v="3"/>
    <x v="979"/>
    <m/>
    <x v="24"/>
    <m/>
    <x v="3"/>
    <x v="0"/>
    <x v="669"/>
    <m/>
    <x v="8"/>
    <x v="0"/>
    <m/>
    <m/>
    <x v="498"/>
    <x v="2"/>
    <m/>
    <x v="1"/>
    <x v="5"/>
    <x v="1189"/>
    <x v="3"/>
    <x v="607"/>
    <x v="1"/>
    <x v="669"/>
    <x v="5249"/>
  </r>
  <r>
    <x v="2"/>
    <n v="1359"/>
    <x v="1184"/>
    <x v="0"/>
    <s v="LM"/>
    <s v="S"/>
    <x v="184"/>
    <x v="3"/>
    <x v="627"/>
    <m/>
    <x v="24"/>
    <m/>
    <x v="3"/>
    <x v="0"/>
    <x v="651"/>
    <m/>
    <x v="14"/>
    <x v="0"/>
    <m/>
    <m/>
    <x v="499"/>
    <x v="2"/>
    <m/>
    <x v="1"/>
    <x v="5"/>
    <x v="1189"/>
    <x v="3"/>
    <x v="608"/>
    <x v="1"/>
    <x v="651"/>
    <x v="5250"/>
  </r>
  <r>
    <x v="2"/>
    <n v="1359"/>
    <x v="1184"/>
    <x v="0"/>
    <s v="LM"/>
    <s v="S"/>
    <x v="184"/>
    <x v="3"/>
    <x v="985"/>
    <m/>
    <x v="126"/>
    <m/>
    <x v="37"/>
    <x v="0"/>
    <x v="528"/>
    <d v="2013-10-24T00:00:00"/>
    <x v="14"/>
    <x v="1"/>
    <s v="Largometraje Competencia"/>
    <m/>
    <x v="500"/>
    <x v="0"/>
    <m/>
    <x v="1"/>
    <x v="5"/>
    <x v="1189"/>
    <x v="37"/>
    <x v="609"/>
    <x v="0"/>
    <x v="528"/>
    <x v="5251"/>
  </r>
  <r>
    <x v="2"/>
    <n v="1359"/>
    <x v="1184"/>
    <x v="0"/>
    <s v="LM"/>
    <s v="S"/>
    <x v="184"/>
    <x v="3"/>
    <x v="871"/>
    <m/>
    <x v="391"/>
    <m/>
    <x v="1"/>
    <x v="0"/>
    <x v="498"/>
    <d v="2013-11-19T00:00:00"/>
    <x v="13"/>
    <x v="0"/>
    <m/>
    <s v="País Invitado"/>
    <x v="0"/>
    <x v="1"/>
    <m/>
    <x v="0"/>
    <x v="5"/>
    <x v="1189"/>
    <x v="1"/>
    <x v="0"/>
    <x v="0"/>
    <x v="498"/>
    <x v="5252"/>
  </r>
  <r>
    <x v="2"/>
    <n v="1785"/>
    <x v="1823"/>
    <x v="1"/>
    <s v="CM"/>
    <s v="N"/>
    <x v="1191"/>
    <x v="2"/>
    <x v="34"/>
    <m/>
    <x v="32"/>
    <m/>
    <x v="3"/>
    <x v="0"/>
    <x v="525"/>
    <d v="2013-05-12T00:00:00"/>
    <x v="6"/>
    <x v="1"/>
    <s v="Documentário Regional"/>
    <m/>
    <x v="0"/>
    <x v="0"/>
    <m/>
    <x v="0"/>
    <x v="2"/>
    <x v="1844"/>
    <x v="3"/>
    <x v="0"/>
    <x v="1"/>
    <x v="525"/>
    <x v="5253"/>
  </r>
  <r>
    <x v="2"/>
    <n v="1601"/>
    <x v="1187"/>
    <x v="0"/>
    <s v="CM"/>
    <s v="N"/>
    <x v="798"/>
    <x v="41"/>
    <x v="62"/>
    <m/>
    <x v="23"/>
    <m/>
    <x v="3"/>
    <x v="0"/>
    <x v="503"/>
    <d v="2013-03-10T00:00:00"/>
    <x v="19"/>
    <x v="1"/>
    <s v="Prémio de Cinema Português - Escolas de Cinema"/>
    <m/>
    <x v="0"/>
    <x v="0"/>
    <s v="Escola Artística de Soares dos Reis"/>
    <x v="0"/>
    <x v="0"/>
    <x v="1192"/>
    <x v="3"/>
    <x v="0"/>
    <x v="1"/>
    <x v="503"/>
    <x v="5254"/>
  </r>
  <r>
    <x v="2"/>
    <n v="1879"/>
    <x v="1824"/>
    <x v="1"/>
    <s v="CM"/>
    <s v="N"/>
    <x v="1192"/>
    <x v="41"/>
    <x v="519"/>
    <m/>
    <x v="24"/>
    <m/>
    <x v="3"/>
    <x v="0"/>
    <x v="504"/>
    <d v="2013-05-11T00:00:00"/>
    <x v="6"/>
    <x v="0"/>
    <m/>
    <m/>
    <x v="0"/>
    <x v="1"/>
    <m/>
    <x v="0"/>
    <x v="2"/>
    <x v="1845"/>
    <x v="3"/>
    <x v="0"/>
    <x v="1"/>
    <x v="504"/>
    <x v="5255"/>
  </r>
  <r>
    <x v="2"/>
    <n v="1908"/>
    <x v="1825"/>
    <x v="1"/>
    <s v="CM"/>
    <s v="N"/>
    <x v="1193"/>
    <x v="52"/>
    <x v="112"/>
    <m/>
    <x v="23"/>
    <m/>
    <x v="3"/>
    <x v="0"/>
    <x v="674"/>
    <d v="2013-05-25T00:00:00"/>
    <x v="6"/>
    <x v="1"/>
    <s v="Competição Vídeo 3"/>
    <m/>
    <x v="501"/>
    <x v="0"/>
    <m/>
    <x v="1"/>
    <x v="2"/>
    <x v="1846"/>
    <x v="3"/>
    <x v="610"/>
    <x v="1"/>
    <x v="674"/>
    <x v="5256"/>
  </r>
  <r>
    <x v="2"/>
    <n v="1908"/>
    <x v="1825"/>
    <x v="1"/>
    <s v="CM"/>
    <s v="N"/>
    <x v="1193"/>
    <x v="52"/>
    <x v="68"/>
    <m/>
    <x v="53"/>
    <m/>
    <x v="3"/>
    <x v="0"/>
    <x v="573"/>
    <d v="2013-07-14T00:00:00"/>
    <x v="8"/>
    <x v="0"/>
    <s v="Competição Take One!"/>
    <m/>
    <x v="0"/>
    <x v="0"/>
    <m/>
    <x v="0"/>
    <x v="2"/>
    <x v="1846"/>
    <x v="3"/>
    <x v="0"/>
    <x v="1"/>
    <x v="573"/>
    <x v="5257"/>
  </r>
  <r>
    <x v="2"/>
    <n v="1908"/>
    <x v="1825"/>
    <x v="1"/>
    <s v="CM"/>
    <s v="N"/>
    <x v="1193"/>
    <x v="52"/>
    <x v="870"/>
    <m/>
    <x v="59"/>
    <m/>
    <x v="3"/>
    <x v="0"/>
    <x v="568"/>
    <d v="2013-10-13T00:00:00"/>
    <x v="14"/>
    <x v="1"/>
    <s v="Competição Nacional"/>
    <m/>
    <x v="0"/>
    <x v="0"/>
    <m/>
    <x v="0"/>
    <x v="2"/>
    <x v="1846"/>
    <x v="3"/>
    <x v="0"/>
    <x v="1"/>
    <x v="568"/>
    <x v="5258"/>
  </r>
  <r>
    <x v="2"/>
    <n v="515"/>
    <x v="1189"/>
    <x v="3"/>
    <s v="CM"/>
    <s v="N"/>
    <x v="526"/>
    <x v="41"/>
    <x v="112"/>
    <m/>
    <x v="23"/>
    <m/>
    <x v="3"/>
    <x v="0"/>
    <x v="674"/>
    <d v="2013-05-25T00:00:00"/>
    <x v="6"/>
    <x v="1"/>
    <s v="Competição Vídeo 1"/>
    <m/>
    <x v="0"/>
    <x v="0"/>
    <m/>
    <x v="0"/>
    <x v="6"/>
    <x v="1194"/>
    <x v="3"/>
    <x v="0"/>
    <x v="1"/>
    <x v="674"/>
    <x v="5259"/>
  </r>
  <r>
    <x v="2"/>
    <n v="515"/>
    <x v="1189"/>
    <x v="3"/>
    <s v="CM"/>
    <s v="N"/>
    <x v="526"/>
    <x v="41"/>
    <x v="877"/>
    <m/>
    <x v="15"/>
    <m/>
    <x v="3"/>
    <x v="0"/>
    <x v="577"/>
    <m/>
    <x v="12"/>
    <x v="0"/>
    <m/>
    <s v="Curta convidada"/>
    <x v="0"/>
    <x v="1"/>
    <m/>
    <x v="0"/>
    <x v="6"/>
    <x v="1194"/>
    <x v="3"/>
    <x v="0"/>
    <x v="1"/>
    <x v="577"/>
    <x v="5260"/>
  </r>
  <r>
    <x v="2"/>
    <n v="1787"/>
    <x v="1826"/>
    <x v="2"/>
    <s v="CM"/>
    <s v="N"/>
    <x v="1194"/>
    <x v="52"/>
    <x v="146"/>
    <m/>
    <x v="24"/>
    <m/>
    <x v="3"/>
    <x v="0"/>
    <x v="537"/>
    <d v="2013-04-28T00:00:00"/>
    <x v="5"/>
    <x v="1"/>
    <s v="Competição Internacional Curtas Competição Nacional Curtas - Animação"/>
    <m/>
    <x v="0"/>
    <x v="0"/>
    <m/>
    <x v="0"/>
    <x v="4"/>
    <x v="1847"/>
    <x v="3"/>
    <x v="0"/>
    <x v="1"/>
    <x v="537"/>
    <x v="5261"/>
  </r>
  <r>
    <x v="2"/>
    <n v="1787"/>
    <x v="1826"/>
    <x v="2"/>
    <s v="CM"/>
    <s v="N"/>
    <x v="1194"/>
    <x v="52"/>
    <x v="34"/>
    <m/>
    <x v="32"/>
    <m/>
    <x v="3"/>
    <x v="0"/>
    <x v="525"/>
    <d v="2013-05-12T00:00:00"/>
    <x v="6"/>
    <x v="1"/>
    <s v="Animação"/>
    <m/>
    <x v="0"/>
    <x v="0"/>
    <m/>
    <x v="0"/>
    <x v="4"/>
    <x v="1847"/>
    <x v="3"/>
    <x v="0"/>
    <x v="1"/>
    <x v="525"/>
    <x v="5262"/>
  </r>
  <r>
    <x v="2"/>
    <n v="1787"/>
    <x v="1826"/>
    <x v="2"/>
    <s v="CM"/>
    <s v="N"/>
    <x v="1194"/>
    <x v="52"/>
    <x v="864"/>
    <m/>
    <x v="32"/>
    <m/>
    <x v="3"/>
    <x v="0"/>
    <x v="562"/>
    <d v="2013-06-16T00:00:00"/>
    <x v="7"/>
    <x v="0"/>
    <m/>
    <s v="Mostra do Cinema Português"/>
    <x v="0"/>
    <x v="0"/>
    <m/>
    <x v="0"/>
    <x v="4"/>
    <x v="1847"/>
    <x v="3"/>
    <x v="0"/>
    <x v="1"/>
    <x v="562"/>
    <x v="5263"/>
  </r>
  <r>
    <x v="2"/>
    <n v="1787"/>
    <x v="1826"/>
    <x v="2"/>
    <s v="CM"/>
    <s v="N"/>
    <x v="1194"/>
    <x v="52"/>
    <x v="827"/>
    <m/>
    <x v="24"/>
    <m/>
    <x v="3"/>
    <x v="0"/>
    <x v="521"/>
    <m/>
    <x v="7"/>
    <x v="1"/>
    <m/>
    <m/>
    <x v="0"/>
    <x v="0"/>
    <m/>
    <x v="0"/>
    <x v="4"/>
    <x v="1847"/>
    <x v="3"/>
    <x v="0"/>
    <x v="1"/>
    <x v="521"/>
    <x v="5264"/>
  </r>
  <r>
    <x v="2"/>
    <n v="1787"/>
    <x v="1826"/>
    <x v="2"/>
    <s v="CM"/>
    <s v="N"/>
    <x v="1194"/>
    <x v="52"/>
    <x v="316"/>
    <m/>
    <x v="11"/>
    <m/>
    <x v="3"/>
    <x v="0"/>
    <x v="500"/>
    <d v="2013-08-31T00:00:00"/>
    <x v="16"/>
    <x v="1"/>
    <s v="Animação"/>
    <m/>
    <x v="502"/>
    <x v="0"/>
    <m/>
    <x v="1"/>
    <x v="4"/>
    <x v="1847"/>
    <x v="3"/>
    <x v="611"/>
    <x v="1"/>
    <x v="500"/>
    <x v="5265"/>
  </r>
  <r>
    <x v="2"/>
    <n v="1787"/>
    <x v="1826"/>
    <x v="2"/>
    <s v="CM"/>
    <s v="N"/>
    <x v="1194"/>
    <x v="52"/>
    <x v="878"/>
    <m/>
    <x v="288"/>
    <m/>
    <x v="10"/>
    <x v="0"/>
    <x v="579"/>
    <d v="2013-09-29T00:00:00"/>
    <x v="9"/>
    <x v="1"/>
    <s v="Animation"/>
    <m/>
    <x v="0"/>
    <x v="0"/>
    <m/>
    <x v="0"/>
    <x v="4"/>
    <x v="1847"/>
    <x v="10"/>
    <x v="0"/>
    <x v="0"/>
    <x v="579"/>
    <x v="5266"/>
  </r>
  <r>
    <x v="2"/>
    <n v="1797"/>
    <x v="1827"/>
    <x v="5"/>
    <s v="CM"/>
    <s v="N"/>
    <x v="388"/>
    <x v="41"/>
    <x v="986"/>
    <m/>
    <x v="78"/>
    <m/>
    <x v="20"/>
    <x v="0"/>
    <x v="674"/>
    <d v="2013-05-26T00:00:00"/>
    <x v="6"/>
    <x v="1"/>
    <s v="Competition Programme 30"/>
    <m/>
    <x v="503"/>
    <x v="0"/>
    <m/>
    <x v="1"/>
    <x v="15"/>
    <x v="1848"/>
    <x v="20"/>
    <x v="612"/>
    <x v="0"/>
    <x v="674"/>
    <x v="5267"/>
  </r>
  <r>
    <x v="2"/>
    <n v="1797"/>
    <x v="1827"/>
    <x v="5"/>
    <s v="CM"/>
    <s v="N"/>
    <x v="388"/>
    <x v="41"/>
    <x v="975"/>
    <m/>
    <x v="441"/>
    <m/>
    <x v="75"/>
    <x v="0"/>
    <x v="666"/>
    <d v="2013-06-21T00:00:00"/>
    <x v="22"/>
    <x v="1"/>
    <m/>
    <m/>
    <x v="0"/>
    <x v="0"/>
    <m/>
    <x v="0"/>
    <x v="15"/>
    <x v="1848"/>
    <x v="75"/>
    <x v="0"/>
    <x v="0"/>
    <x v="666"/>
    <x v="5268"/>
  </r>
  <r>
    <x v="2"/>
    <n v="1797"/>
    <x v="1827"/>
    <x v="5"/>
    <s v="CM"/>
    <s v="N"/>
    <x v="388"/>
    <x v="41"/>
    <x v="987"/>
    <m/>
    <x v="13"/>
    <m/>
    <x v="3"/>
    <x v="0"/>
    <x v="675"/>
    <d v="2013-07-22T00:00:00"/>
    <x v="8"/>
    <x v="0"/>
    <m/>
    <m/>
    <x v="0"/>
    <x v="1"/>
    <m/>
    <x v="0"/>
    <x v="15"/>
    <x v="1848"/>
    <x v="3"/>
    <x v="0"/>
    <x v="1"/>
    <x v="675"/>
    <x v="5269"/>
  </r>
  <r>
    <x v="2"/>
    <n v="1797"/>
    <x v="1827"/>
    <x v="5"/>
    <s v="CM"/>
    <s v="N"/>
    <x v="388"/>
    <x v="41"/>
    <x v="988"/>
    <m/>
    <x v="445"/>
    <m/>
    <x v="6"/>
    <x v="0"/>
    <x v="676"/>
    <m/>
    <x v="8"/>
    <x v="1"/>
    <m/>
    <m/>
    <x v="504"/>
    <x v="0"/>
    <m/>
    <x v="1"/>
    <x v="15"/>
    <x v="1848"/>
    <x v="6"/>
    <x v="613"/>
    <x v="0"/>
    <x v="676"/>
    <x v="5270"/>
  </r>
  <r>
    <x v="2"/>
    <n v="1797"/>
    <x v="1827"/>
    <x v="5"/>
    <s v="CM"/>
    <s v="N"/>
    <x v="388"/>
    <x v="41"/>
    <x v="989"/>
    <m/>
    <x v="126"/>
    <m/>
    <x v="37"/>
    <x v="0"/>
    <x v="520"/>
    <d v="2013-12-11T00:00:00"/>
    <x v="12"/>
    <x v="1"/>
    <s v="Competencia Internacional : Videoclip"/>
    <m/>
    <x v="505"/>
    <x v="0"/>
    <m/>
    <x v="1"/>
    <x v="15"/>
    <x v="1848"/>
    <x v="37"/>
    <x v="614"/>
    <x v="0"/>
    <x v="520"/>
    <x v="5271"/>
  </r>
  <r>
    <x v="2"/>
    <n v="1933"/>
    <x v="1828"/>
    <x v="1"/>
    <s v="CM"/>
    <s v=""/>
    <x v="1195"/>
    <x v="2"/>
    <x v="990"/>
    <m/>
    <x v="446"/>
    <m/>
    <x v="3"/>
    <x v="0"/>
    <x v="666"/>
    <m/>
    <x v="6"/>
    <x v="0"/>
    <m/>
    <m/>
    <x v="0"/>
    <x v="1"/>
    <m/>
    <x v="0"/>
    <x v="2"/>
    <x v="1849"/>
    <x v="3"/>
    <x v="0"/>
    <x v="1"/>
    <x v="666"/>
    <x v="5272"/>
  </r>
  <r>
    <x v="2"/>
    <n v="1933"/>
    <x v="1828"/>
    <x v="1"/>
    <s v="CM"/>
    <s v=""/>
    <x v="1195"/>
    <x v="2"/>
    <x v="839"/>
    <m/>
    <x v="82"/>
    <m/>
    <x v="21"/>
    <x v="0"/>
    <x v="521"/>
    <d v="2013-07-07T00:00:00"/>
    <x v="17"/>
    <x v="0"/>
    <m/>
    <s v="Nós"/>
    <x v="0"/>
    <x v="1"/>
    <m/>
    <x v="0"/>
    <x v="2"/>
    <x v="1849"/>
    <x v="21"/>
    <x v="0"/>
    <x v="0"/>
    <x v="521"/>
    <x v="5273"/>
  </r>
  <r>
    <x v="2"/>
    <n v="1919"/>
    <x v="1829"/>
    <x v="0"/>
    <s v="LM"/>
    <s v="N"/>
    <x v="461"/>
    <x v="50"/>
    <x v="846"/>
    <m/>
    <x v="417"/>
    <m/>
    <x v="11"/>
    <x v="0"/>
    <x v="535"/>
    <d v="2013-08-03T00:00:00"/>
    <x v="25"/>
    <x v="0"/>
    <m/>
    <s v="Focus Portugal: Novo Cinema"/>
    <x v="0"/>
    <x v="0"/>
    <m/>
    <x v="0"/>
    <x v="5"/>
    <x v="1850"/>
    <x v="11"/>
    <x v="0"/>
    <x v="0"/>
    <x v="535"/>
    <x v="5274"/>
  </r>
  <r>
    <x v="2"/>
    <n v="1850"/>
    <x v="1830"/>
    <x v="1"/>
    <s v="CM"/>
    <s v="N"/>
    <x v="690"/>
    <x v="52"/>
    <x v="146"/>
    <m/>
    <x v="24"/>
    <m/>
    <x v="3"/>
    <x v="0"/>
    <x v="537"/>
    <d v="2013-04-28T00:00:00"/>
    <x v="5"/>
    <x v="1"/>
    <s v="Competição Nacional - Documentário"/>
    <s v="Cinema Emergente"/>
    <x v="0"/>
    <x v="0"/>
    <m/>
    <x v="0"/>
    <x v="2"/>
    <x v="1851"/>
    <x v="3"/>
    <x v="0"/>
    <x v="1"/>
    <x v="537"/>
    <x v="5275"/>
  </r>
  <r>
    <x v="2"/>
    <n v="1850"/>
    <x v="1830"/>
    <x v="1"/>
    <s v="CM"/>
    <s v="N"/>
    <x v="690"/>
    <x v="52"/>
    <x v="57"/>
    <m/>
    <x v="40"/>
    <m/>
    <x v="3"/>
    <x v="0"/>
    <x v="677"/>
    <m/>
    <x v="9"/>
    <x v="0"/>
    <m/>
    <m/>
    <x v="0"/>
    <x v="1"/>
    <m/>
    <x v="0"/>
    <x v="2"/>
    <x v="1851"/>
    <x v="3"/>
    <x v="0"/>
    <x v="1"/>
    <x v="677"/>
    <x v="5276"/>
  </r>
  <r>
    <x v="2"/>
    <n v="1874"/>
    <x v="1831"/>
    <x v="2"/>
    <s v="CM"/>
    <s v="N"/>
    <x v="782"/>
    <x v="15"/>
    <x v="628"/>
    <m/>
    <x v="24"/>
    <m/>
    <x v="3"/>
    <x v="0"/>
    <x v="587"/>
    <m/>
    <x v="1"/>
    <x v="0"/>
    <m/>
    <m/>
    <x v="0"/>
    <x v="1"/>
    <s v="Curtas de Diogo Pessoa de Andrade"/>
    <x v="0"/>
    <x v="4"/>
    <x v="1852"/>
    <x v="3"/>
    <x v="0"/>
    <x v="1"/>
    <x v="587"/>
    <x v="5277"/>
  </r>
  <r>
    <x v="2"/>
    <n v="1814"/>
    <x v="1832"/>
    <x v="0"/>
    <s v="CM"/>
    <s v="N"/>
    <x v="1148"/>
    <x v="41"/>
    <x v="827"/>
    <m/>
    <x v="24"/>
    <m/>
    <x v="3"/>
    <x v="0"/>
    <x v="506"/>
    <m/>
    <x v="7"/>
    <x v="1"/>
    <m/>
    <m/>
    <x v="0"/>
    <x v="0"/>
    <m/>
    <x v="0"/>
    <x v="0"/>
    <x v="1853"/>
    <x v="3"/>
    <x v="0"/>
    <x v="1"/>
    <x v="506"/>
    <x v="5278"/>
  </r>
  <r>
    <x v="2"/>
    <n v="1774"/>
    <x v="1833"/>
    <x v="1"/>
    <s v="LM"/>
    <s v="N"/>
    <x v="1196"/>
    <x v="1"/>
    <x v="964"/>
    <m/>
    <x v="23"/>
    <m/>
    <x v="3"/>
    <x v="0"/>
    <x v="603"/>
    <d v="2013-04-25T00:00:00"/>
    <x v="5"/>
    <x v="0"/>
    <m/>
    <m/>
    <x v="0"/>
    <x v="1"/>
    <m/>
    <x v="0"/>
    <x v="1"/>
    <x v="1854"/>
    <x v="3"/>
    <x v="0"/>
    <x v="1"/>
    <x v="603"/>
    <x v="5279"/>
  </r>
  <r>
    <x v="2"/>
    <n v="1654"/>
    <x v="1834"/>
    <x v="0"/>
    <s v="LM"/>
    <s v="N"/>
    <x v="1197"/>
    <x v="57"/>
    <x v="375"/>
    <m/>
    <x v="20"/>
    <m/>
    <x v="5"/>
    <x v="0"/>
    <x v="496"/>
    <d v="2013-02-17T00:00:00"/>
    <x v="1"/>
    <x v="0"/>
    <m/>
    <s v="Retrospective: The Weimar Touch"/>
    <x v="0"/>
    <x v="0"/>
    <m/>
    <x v="0"/>
    <x v="5"/>
    <x v="1855"/>
    <x v="5"/>
    <x v="0"/>
    <x v="0"/>
    <x v="496"/>
    <x v="5280"/>
  </r>
  <r>
    <x v="2"/>
    <n v="1645"/>
    <x v="1835"/>
    <x v="1"/>
    <s v="CM"/>
    <s v="N"/>
    <x v="1149"/>
    <x v="10"/>
    <x v="865"/>
    <m/>
    <x v="419"/>
    <m/>
    <x v="34"/>
    <x v="0"/>
    <x v="563"/>
    <d v="2013-02-28T00:00:00"/>
    <x v="18"/>
    <x v="0"/>
    <m/>
    <m/>
    <x v="0"/>
    <x v="1"/>
    <s v="Cinemathèque Suisse"/>
    <x v="0"/>
    <x v="2"/>
    <x v="1856"/>
    <x v="34"/>
    <x v="0"/>
    <x v="0"/>
    <x v="563"/>
    <x v="5281"/>
  </r>
  <r>
    <x v="2"/>
    <n v="1780"/>
    <x v="1836"/>
    <x v="0"/>
    <s v="CM"/>
    <s v="S"/>
    <x v="38"/>
    <x v="52"/>
    <x v="766"/>
    <m/>
    <x v="135"/>
    <m/>
    <x v="2"/>
    <x v="0"/>
    <x v="514"/>
    <d v="2013-05-26T00:00:00"/>
    <x v="6"/>
    <x v="0"/>
    <m/>
    <m/>
    <x v="506"/>
    <x v="0"/>
    <m/>
    <x v="1"/>
    <x v="0"/>
    <x v="1857"/>
    <x v="2"/>
    <x v="615"/>
    <x v="0"/>
    <x v="514"/>
    <x v="5282"/>
  </r>
  <r>
    <x v="2"/>
    <n v="1780"/>
    <x v="1836"/>
    <x v="0"/>
    <s v="CM"/>
    <s v="S"/>
    <x v="38"/>
    <x v="52"/>
    <x v="68"/>
    <m/>
    <x v="53"/>
    <m/>
    <x v="3"/>
    <x v="0"/>
    <x v="573"/>
    <d v="2013-07-14T00:00:00"/>
    <x v="8"/>
    <x v="1"/>
    <s v="Competição Nacional, Competição Curtinhas M9"/>
    <m/>
    <x v="507"/>
    <x v="0"/>
    <m/>
    <x v="1"/>
    <x v="0"/>
    <x v="1857"/>
    <x v="3"/>
    <x v="616"/>
    <x v="1"/>
    <x v="573"/>
    <x v="5283"/>
  </r>
  <r>
    <x v="2"/>
    <n v="1780"/>
    <x v="1836"/>
    <x v="0"/>
    <s v="CM"/>
    <s v="S"/>
    <x v="38"/>
    <x v="52"/>
    <x v="948"/>
    <m/>
    <x v="246"/>
    <m/>
    <x v="24"/>
    <x v="0"/>
    <x v="645"/>
    <d v="2013-08-23T00:00:00"/>
    <x v="16"/>
    <x v="0"/>
    <m/>
    <s v="Carte Blanche: Vila do Conde"/>
    <x v="0"/>
    <x v="0"/>
    <m/>
    <x v="0"/>
    <x v="0"/>
    <x v="1857"/>
    <x v="24"/>
    <x v="0"/>
    <x v="0"/>
    <x v="645"/>
    <x v="5284"/>
  </r>
  <r>
    <x v="2"/>
    <n v="1780"/>
    <x v="1836"/>
    <x v="0"/>
    <s v="CM"/>
    <s v="S"/>
    <x v="38"/>
    <x v="52"/>
    <x v="859"/>
    <m/>
    <x v="420"/>
    <m/>
    <x v="0"/>
    <x v="0"/>
    <x v="559"/>
    <d v="2013-09-29T00:00:00"/>
    <x v="9"/>
    <x v="1"/>
    <s v="Mostra Competitiva Internacional - Int. II"/>
    <m/>
    <x v="0"/>
    <x v="0"/>
    <m/>
    <x v="0"/>
    <x v="0"/>
    <x v="1857"/>
    <x v="0"/>
    <x v="0"/>
    <x v="0"/>
    <x v="559"/>
    <x v="5285"/>
  </r>
  <r>
    <x v="2"/>
    <n v="1780"/>
    <x v="1836"/>
    <x v="0"/>
    <s v="CM"/>
    <s v="S"/>
    <x v="38"/>
    <x v="52"/>
    <x v="491"/>
    <m/>
    <x v="299"/>
    <m/>
    <x v="61"/>
    <x v="0"/>
    <x v="624"/>
    <d v="2013-10-13T00:00:00"/>
    <x v="14"/>
    <x v="0"/>
    <m/>
    <s v="Nuevos Caminos"/>
    <x v="0"/>
    <x v="0"/>
    <m/>
    <x v="0"/>
    <x v="0"/>
    <x v="1857"/>
    <x v="61"/>
    <x v="0"/>
    <x v="0"/>
    <x v="624"/>
    <x v="5286"/>
  </r>
  <r>
    <x v="2"/>
    <n v="1780"/>
    <x v="1836"/>
    <x v="0"/>
    <s v="CM"/>
    <s v="S"/>
    <x v="38"/>
    <x v="52"/>
    <x v="870"/>
    <m/>
    <x v="59"/>
    <m/>
    <x v="3"/>
    <x v="0"/>
    <x v="568"/>
    <d v="2013-10-13T00:00:00"/>
    <x v="14"/>
    <x v="1"/>
    <s v="Competição Nacional"/>
    <m/>
    <x v="0"/>
    <x v="0"/>
    <m/>
    <x v="0"/>
    <x v="0"/>
    <x v="1857"/>
    <x v="3"/>
    <x v="0"/>
    <x v="1"/>
    <x v="568"/>
    <x v="5287"/>
  </r>
  <r>
    <x v="2"/>
    <n v="1780"/>
    <x v="1836"/>
    <x v="0"/>
    <s v="CM"/>
    <s v="S"/>
    <x v="38"/>
    <x v="52"/>
    <x v="974"/>
    <m/>
    <x v="253"/>
    <m/>
    <x v="0"/>
    <x v="0"/>
    <x v="665"/>
    <d v="2013-10-20T00:00:00"/>
    <x v="14"/>
    <x v="1"/>
    <s v="Competição Internacional Curtas - Programa 2"/>
    <m/>
    <x v="325"/>
    <x v="0"/>
    <m/>
    <x v="1"/>
    <x v="0"/>
    <x v="1857"/>
    <x v="0"/>
    <x v="617"/>
    <x v="0"/>
    <x v="665"/>
    <x v="5288"/>
  </r>
  <r>
    <x v="2"/>
    <n v="1780"/>
    <x v="1836"/>
    <x v="0"/>
    <s v="CM"/>
    <s v="S"/>
    <x v="38"/>
    <x v="52"/>
    <x v="142"/>
    <m/>
    <x v="108"/>
    <m/>
    <x v="2"/>
    <x v="0"/>
    <x v="643"/>
    <d v="2013-10-20T00:00:00"/>
    <x v="14"/>
    <x v="1"/>
    <s v="Compétition Européenne Programme 3"/>
    <m/>
    <x v="0"/>
    <x v="0"/>
    <m/>
    <x v="0"/>
    <x v="0"/>
    <x v="1857"/>
    <x v="2"/>
    <x v="0"/>
    <x v="0"/>
    <x v="643"/>
    <x v="5289"/>
  </r>
  <r>
    <x v="2"/>
    <n v="1780"/>
    <x v="1836"/>
    <x v="0"/>
    <s v="CM"/>
    <s v="S"/>
    <x v="38"/>
    <x v="52"/>
    <x v="161"/>
    <m/>
    <x v="35"/>
    <m/>
    <x v="2"/>
    <x v="0"/>
    <x v="652"/>
    <d v="2013-11-02T00:00:00"/>
    <x v="0"/>
    <x v="1"/>
    <s v="Courts Métrages Compétition"/>
    <m/>
    <x v="508"/>
    <x v="0"/>
    <m/>
    <x v="1"/>
    <x v="0"/>
    <x v="1857"/>
    <x v="2"/>
    <x v="618"/>
    <x v="0"/>
    <x v="652"/>
    <x v="5290"/>
  </r>
  <r>
    <x v="2"/>
    <n v="1780"/>
    <x v="1836"/>
    <x v="0"/>
    <s v="CM"/>
    <s v="S"/>
    <x v="38"/>
    <x v="52"/>
    <x v="991"/>
    <m/>
    <x v="433"/>
    <m/>
    <x v="17"/>
    <x v="0"/>
    <x v="639"/>
    <d v="2013-11-21T00:00:00"/>
    <x v="13"/>
    <x v="1"/>
    <s v="Louis Le Prince International Short Film Competition  - Programme 3"/>
    <m/>
    <x v="0"/>
    <x v="0"/>
    <m/>
    <x v="0"/>
    <x v="0"/>
    <x v="1857"/>
    <x v="17"/>
    <x v="0"/>
    <x v="0"/>
    <x v="639"/>
    <x v="5291"/>
  </r>
  <r>
    <x v="2"/>
    <n v="1780"/>
    <x v="1836"/>
    <x v="0"/>
    <s v="CM"/>
    <s v="S"/>
    <x v="38"/>
    <x v="52"/>
    <x v="492"/>
    <m/>
    <x v="128"/>
    <m/>
    <x v="1"/>
    <x v="0"/>
    <x v="519"/>
    <d v="2013-11-16T00:00:00"/>
    <x v="13"/>
    <x v="0"/>
    <m/>
    <s v="Focus Europa: Portugal"/>
    <x v="0"/>
    <x v="0"/>
    <m/>
    <x v="0"/>
    <x v="0"/>
    <x v="1857"/>
    <x v="1"/>
    <x v="0"/>
    <x v="0"/>
    <x v="519"/>
    <x v="5292"/>
  </r>
  <r>
    <x v="2"/>
    <n v="1780"/>
    <x v="1836"/>
    <x v="0"/>
    <s v="CM"/>
    <s v="S"/>
    <x v="38"/>
    <x v="52"/>
    <x v="143"/>
    <m/>
    <x v="109"/>
    <m/>
    <x v="2"/>
    <x v="0"/>
    <x v="519"/>
    <d v="2013-11-16T00:00:00"/>
    <x v="13"/>
    <x v="0"/>
    <m/>
    <s v="Cartes Blanches: Vila do Conde"/>
    <x v="0"/>
    <x v="0"/>
    <m/>
    <x v="0"/>
    <x v="0"/>
    <x v="1857"/>
    <x v="2"/>
    <x v="0"/>
    <x v="0"/>
    <x v="519"/>
    <x v="5293"/>
  </r>
  <r>
    <x v="2"/>
    <n v="1780"/>
    <x v="1836"/>
    <x v="0"/>
    <s v="CM"/>
    <s v="S"/>
    <x v="38"/>
    <x v="52"/>
    <x v="860"/>
    <m/>
    <x v="6"/>
    <m/>
    <x v="4"/>
    <x v="0"/>
    <x v="467"/>
    <d v="2013-11-24T00:00:00"/>
    <x v="13"/>
    <x v="0"/>
    <m/>
    <s v="Portugal Alterado: Las últimas películas"/>
    <x v="0"/>
    <x v="0"/>
    <m/>
    <x v="0"/>
    <x v="0"/>
    <x v="1857"/>
    <x v="4"/>
    <x v="0"/>
    <x v="0"/>
    <x v="467"/>
    <x v="5294"/>
  </r>
  <r>
    <x v="2"/>
    <n v="1780"/>
    <x v="1836"/>
    <x v="0"/>
    <s v="CM"/>
    <s v="S"/>
    <x v="38"/>
    <x v="52"/>
    <x v="890"/>
    <m/>
    <x v="319"/>
    <m/>
    <x v="1"/>
    <x v="0"/>
    <x v="594"/>
    <d v="2013-12-13T00:00:00"/>
    <x v="11"/>
    <x v="0"/>
    <m/>
    <s v="Curtametraxes: João Nicolau"/>
    <x v="0"/>
    <x v="1"/>
    <s v="No CGAI"/>
    <x v="0"/>
    <x v="0"/>
    <x v="1857"/>
    <x v="1"/>
    <x v="0"/>
    <x v="0"/>
    <x v="594"/>
    <x v="5295"/>
  </r>
  <r>
    <x v="2"/>
    <n v="1780"/>
    <x v="1836"/>
    <x v="0"/>
    <s v="CM"/>
    <s v="S"/>
    <x v="38"/>
    <x v="52"/>
    <x v="920"/>
    <m/>
    <x v="429"/>
    <m/>
    <x v="63"/>
    <x v="0"/>
    <x v="509"/>
    <d v="2013-11-30T00:00:00"/>
    <x v="13"/>
    <x v="0"/>
    <m/>
    <m/>
    <x v="0"/>
    <x v="0"/>
    <m/>
    <x v="0"/>
    <x v="0"/>
    <x v="1857"/>
    <x v="63"/>
    <x v="0"/>
    <x v="0"/>
    <x v="509"/>
    <x v="5296"/>
  </r>
  <r>
    <x v="2"/>
    <n v="1780"/>
    <x v="1836"/>
    <x v="0"/>
    <s v="CM"/>
    <s v="S"/>
    <x v="38"/>
    <x v="52"/>
    <x v="851"/>
    <m/>
    <x v="58"/>
    <m/>
    <x v="17"/>
    <x v="0"/>
    <x v="546"/>
    <d v="2013-12-05T00:00:00"/>
    <x v="11"/>
    <x v="0"/>
    <m/>
    <m/>
    <x v="0"/>
    <x v="0"/>
    <m/>
    <x v="0"/>
    <x v="0"/>
    <x v="1857"/>
    <x v="17"/>
    <x v="0"/>
    <x v="0"/>
    <x v="546"/>
    <x v="5297"/>
  </r>
  <r>
    <x v="2"/>
    <n v="1780"/>
    <x v="1836"/>
    <x v="0"/>
    <s v="CM"/>
    <s v="S"/>
    <x v="38"/>
    <x v="52"/>
    <x v="133"/>
    <m/>
    <x v="101"/>
    <m/>
    <x v="3"/>
    <x v="0"/>
    <x v="502"/>
    <d v="2013-12-08T00:00:00"/>
    <x v="12"/>
    <x v="1"/>
    <s v="Sessão Competitiva de Curtas-Metragens 5"/>
    <m/>
    <x v="509"/>
    <x v="0"/>
    <m/>
    <x v="1"/>
    <x v="0"/>
    <x v="1857"/>
    <x v="3"/>
    <x v="619"/>
    <x v="1"/>
    <x v="502"/>
    <x v="5298"/>
  </r>
  <r>
    <x v="2"/>
    <n v="1780"/>
    <x v="1836"/>
    <x v="0"/>
    <s v="CM"/>
    <s v="S"/>
    <x v="38"/>
    <x v="52"/>
    <x v="560"/>
    <m/>
    <x v="209"/>
    <m/>
    <x v="51"/>
    <x v="0"/>
    <x v="576"/>
    <d v="2013-12-15T00:00:00"/>
    <x v="12"/>
    <x v="0"/>
    <m/>
    <s v="Quinzaine Cannes -  Special Program"/>
    <x v="0"/>
    <x v="0"/>
    <m/>
    <x v="0"/>
    <x v="0"/>
    <x v="1857"/>
    <x v="51"/>
    <x v="0"/>
    <x v="0"/>
    <x v="576"/>
    <x v="5299"/>
  </r>
  <r>
    <x v="2"/>
    <n v="536"/>
    <x v="1194"/>
    <x v="1"/>
    <s v="CM"/>
    <s v="N"/>
    <x v="802"/>
    <x v="41"/>
    <x v="34"/>
    <m/>
    <x v="32"/>
    <m/>
    <x v="3"/>
    <x v="0"/>
    <x v="525"/>
    <d v="2013-05-12T00:00:00"/>
    <x v="6"/>
    <x v="1"/>
    <s v="Documentário Regional"/>
    <m/>
    <x v="510"/>
    <x v="0"/>
    <m/>
    <x v="1"/>
    <x v="2"/>
    <x v="1200"/>
    <x v="3"/>
    <x v="620"/>
    <x v="1"/>
    <x v="525"/>
    <x v="5300"/>
  </r>
  <r>
    <x v="2"/>
    <n v="536"/>
    <x v="1194"/>
    <x v="1"/>
    <s v="CM"/>
    <s v="N"/>
    <x v="802"/>
    <x v="41"/>
    <x v="864"/>
    <m/>
    <x v="32"/>
    <m/>
    <x v="3"/>
    <x v="0"/>
    <x v="562"/>
    <d v="2013-06-16T00:00:00"/>
    <x v="7"/>
    <x v="0"/>
    <m/>
    <s v="Curtas Sadinas"/>
    <x v="0"/>
    <x v="0"/>
    <m/>
    <x v="0"/>
    <x v="2"/>
    <x v="1200"/>
    <x v="3"/>
    <x v="0"/>
    <x v="1"/>
    <x v="562"/>
    <x v="5301"/>
  </r>
  <r>
    <x v="2"/>
    <n v="1965"/>
    <x v="1837"/>
    <x v="2"/>
    <s v="CM"/>
    <s v="N"/>
    <x v="1198"/>
    <x v="2"/>
    <x v="316"/>
    <m/>
    <x v="11"/>
    <m/>
    <x v="3"/>
    <x v="0"/>
    <x v="500"/>
    <d v="2013-08-31T00:00:00"/>
    <x v="16"/>
    <x v="1"/>
    <s v="Animação"/>
    <m/>
    <x v="451"/>
    <x v="0"/>
    <m/>
    <x v="1"/>
    <x v="4"/>
    <x v="1858"/>
    <x v="3"/>
    <x v="549"/>
    <x v="1"/>
    <x v="500"/>
    <x v="5302"/>
  </r>
  <r>
    <x v="2"/>
    <n v="539"/>
    <x v="373"/>
    <x v="1"/>
    <s v="LM"/>
    <s v="S"/>
    <x v="15"/>
    <x v="26"/>
    <x v="906"/>
    <m/>
    <x v="348"/>
    <m/>
    <x v="3"/>
    <x v="0"/>
    <x v="592"/>
    <d v="2013-06-23T00:00:00"/>
    <x v="7"/>
    <x v="0"/>
    <m/>
    <m/>
    <x v="0"/>
    <x v="0"/>
    <m/>
    <x v="0"/>
    <x v="1"/>
    <x v="375"/>
    <x v="3"/>
    <x v="0"/>
    <x v="1"/>
    <x v="592"/>
    <x v="5303"/>
  </r>
  <r>
    <x v="2"/>
    <n v="1754"/>
    <x v="1838"/>
    <x v="0"/>
    <s v="Série"/>
    <s v="N"/>
    <x v="1199"/>
    <x v="12"/>
    <x v="432"/>
    <m/>
    <x v="39"/>
    <m/>
    <x v="3"/>
    <x v="0"/>
    <x v="582"/>
    <d v="2013-04-20T00:00:00"/>
    <x v="5"/>
    <x v="0"/>
    <m/>
    <s v="Homenagem a Zeca Medeiros"/>
    <x v="0"/>
    <x v="0"/>
    <m/>
    <x v="0"/>
    <x v="16"/>
    <x v="1859"/>
    <x v="3"/>
    <x v="0"/>
    <x v="1"/>
    <x v="582"/>
    <x v="5304"/>
  </r>
  <r>
    <x v="2"/>
    <n v="2103"/>
    <x v="1839"/>
    <x v="1"/>
    <s v="CM"/>
    <s v="N"/>
    <x v="1200"/>
    <x v="58"/>
    <x v="855"/>
    <m/>
    <x v="18"/>
    <m/>
    <x v="3"/>
    <x v="0"/>
    <x v="551"/>
    <d v="2013-12-10T00:00:00"/>
    <x v="32"/>
    <x v="0"/>
    <m/>
    <m/>
    <x v="0"/>
    <x v="1"/>
    <m/>
    <x v="0"/>
    <x v="2"/>
    <x v="1860"/>
    <x v="3"/>
    <x v="0"/>
    <x v="1"/>
    <x v="551"/>
    <x v="5305"/>
  </r>
  <r>
    <x v="2"/>
    <n v="2103"/>
    <x v="1839"/>
    <x v="1"/>
    <s v="CM"/>
    <s v="N"/>
    <x v="1200"/>
    <x v="58"/>
    <x v="873"/>
    <m/>
    <x v="297"/>
    <m/>
    <x v="3"/>
    <x v="0"/>
    <x v="509"/>
    <d v="2013-11-27T00:00:00"/>
    <x v="13"/>
    <x v="0"/>
    <m/>
    <s v="Homenagem à Ria de Aveiro"/>
    <x v="0"/>
    <x v="0"/>
    <m/>
    <x v="0"/>
    <x v="2"/>
    <x v="1860"/>
    <x v="3"/>
    <x v="0"/>
    <x v="1"/>
    <x v="509"/>
    <x v="5306"/>
  </r>
  <r>
    <x v="2"/>
    <n v="1476"/>
    <x v="1197"/>
    <x v="1"/>
    <s v="CM"/>
    <s v="N"/>
    <x v="804"/>
    <x v="41"/>
    <x v="992"/>
    <m/>
    <x v="24"/>
    <m/>
    <x v="3"/>
    <x v="0"/>
    <x v="625"/>
    <m/>
    <x v="1"/>
    <x v="0"/>
    <m/>
    <s v="Convidado especial José Vieira Mendes"/>
    <x v="0"/>
    <x v="1"/>
    <m/>
    <x v="0"/>
    <x v="2"/>
    <x v="1203"/>
    <x v="3"/>
    <x v="0"/>
    <x v="1"/>
    <x v="625"/>
    <x v="5307"/>
  </r>
  <r>
    <x v="2"/>
    <n v="543"/>
    <x v="1198"/>
    <x v="0"/>
    <s v="CM"/>
    <s v="N"/>
    <x v="782"/>
    <x v="3"/>
    <x v="628"/>
    <m/>
    <x v="24"/>
    <m/>
    <x v="3"/>
    <x v="0"/>
    <x v="587"/>
    <m/>
    <x v="1"/>
    <x v="0"/>
    <m/>
    <m/>
    <x v="0"/>
    <x v="1"/>
    <s v="Curtas de Diogo Pessoa de Andrade"/>
    <x v="0"/>
    <x v="0"/>
    <x v="1204"/>
    <x v="3"/>
    <x v="0"/>
    <x v="1"/>
    <x v="587"/>
    <x v="5308"/>
  </r>
  <r>
    <x v="2"/>
    <n v="1632"/>
    <x v="1199"/>
    <x v="1"/>
    <s v="LM"/>
    <s v=""/>
    <x v="165"/>
    <x v="16"/>
    <x v="351"/>
    <m/>
    <x v="236"/>
    <m/>
    <x v="5"/>
    <x v="0"/>
    <x v="648"/>
    <d v="2013-11-03T00:00:00"/>
    <x v="0"/>
    <x v="0"/>
    <m/>
    <s v="Retrospektive"/>
    <x v="0"/>
    <x v="0"/>
    <m/>
    <x v="0"/>
    <x v="1"/>
    <x v="1205"/>
    <x v="5"/>
    <x v="0"/>
    <x v="0"/>
    <x v="648"/>
    <x v="5309"/>
  </r>
  <r>
    <x v="2"/>
    <n v="1632"/>
    <x v="1199"/>
    <x v="1"/>
    <s v="LM"/>
    <s v=""/>
    <x v="165"/>
    <x v="16"/>
    <x v="993"/>
    <m/>
    <x v="340"/>
    <m/>
    <x v="3"/>
    <x v="0"/>
    <x v="639"/>
    <d v="2013-11-09T00:00:00"/>
    <x v="13"/>
    <x v="0"/>
    <m/>
    <m/>
    <x v="0"/>
    <x v="1"/>
    <m/>
    <x v="0"/>
    <x v="1"/>
    <x v="1205"/>
    <x v="3"/>
    <x v="0"/>
    <x v="1"/>
    <x v="639"/>
    <x v="5310"/>
  </r>
  <r>
    <x v="2"/>
    <n v="1899"/>
    <x v="1840"/>
    <x v="3"/>
    <s v="CM"/>
    <s v="N"/>
    <x v="512"/>
    <x v="41"/>
    <x v="68"/>
    <m/>
    <x v="53"/>
    <m/>
    <x v="3"/>
    <x v="0"/>
    <x v="573"/>
    <d v="2013-07-14T00:00:00"/>
    <x v="8"/>
    <x v="1"/>
    <s v="Competição Experimental"/>
    <m/>
    <x v="0"/>
    <x v="0"/>
    <m/>
    <x v="0"/>
    <x v="6"/>
    <x v="1861"/>
    <x v="3"/>
    <x v="0"/>
    <x v="1"/>
    <x v="573"/>
    <x v="5311"/>
  </r>
  <r>
    <x v="2"/>
    <n v="1770"/>
    <x v="1841"/>
    <x v="1"/>
    <s v="CM"/>
    <s v="N"/>
    <x v="386"/>
    <x v="52"/>
    <x v="146"/>
    <m/>
    <x v="24"/>
    <m/>
    <x v="3"/>
    <x v="0"/>
    <x v="537"/>
    <d v="2013-04-28T00:00:00"/>
    <x v="5"/>
    <x v="1"/>
    <s v="Competição Nacional Curtas 4"/>
    <s v="Cinema Emergente Curtas 4"/>
    <x v="511"/>
    <x v="0"/>
    <m/>
    <x v="1"/>
    <x v="2"/>
    <x v="1862"/>
    <x v="3"/>
    <x v="621"/>
    <x v="1"/>
    <x v="537"/>
    <x v="5312"/>
  </r>
  <r>
    <x v="2"/>
    <n v="1770"/>
    <x v="1841"/>
    <x v="1"/>
    <s v="CM"/>
    <s v="N"/>
    <x v="386"/>
    <x v="52"/>
    <x v="146"/>
    <m/>
    <x v="24"/>
    <m/>
    <x v="3"/>
    <x v="0"/>
    <x v="537"/>
    <d v="2013-04-28T00:00:00"/>
    <x v="5"/>
    <x v="1"/>
    <s v="Competição Nacional - Documentário"/>
    <s v="Cinema Emergente"/>
    <x v="0"/>
    <x v="0"/>
    <m/>
    <x v="0"/>
    <x v="2"/>
    <x v="1862"/>
    <x v="3"/>
    <x v="0"/>
    <x v="1"/>
    <x v="537"/>
    <x v="5313"/>
  </r>
  <r>
    <x v="2"/>
    <n v="545"/>
    <x v="377"/>
    <x v="2"/>
    <s v="Série"/>
    <s v="S"/>
    <x v="312"/>
    <x v="3"/>
    <x v="885"/>
    <m/>
    <x v="419"/>
    <m/>
    <x v="34"/>
    <x v="0"/>
    <x v="586"/>
    <d v="2013-01-27T00:00:00"/>
    <x v="15"/>
    <x v="0"/>
    <m/>
    <s v="Petit Black Movie: Chinti, Ginjas et autres Calembredaines"/>
    <x v="0"/>
    <x v="0"/>
    <m/>
    <x v="0"/>
    <x v="9"/>
    <x v="379"/>
    <x v="34"/>
    <x v="0"/>
    <x v="0"/>
    <x v="586"/>
    <x v="5314"/>
  </r>
  <r>
    <x v="2"/>
    <n v="545"/>
    <x v="377"/>
    <x v="2"/>
    <s v="Série"/>
    <s v="S"/>
    <x v="312"/>
    <x v="3"/>
    <x v="621"/>
    <m/>
    <x v="212"/>
    <m/>
    <x v="9"/>
    <x v="0"/>
    <x v="609"/>
    <d v="2013-02-03T00:00:00"/>
    <x v="18"/>
    <x v="1"/>
    <s v="Noah's Ark"/>
    <m/>
    <x v="0"/>
    <x v="0"/>
    <m/>
    <x v="0"/>
    <x v="9"/>
    <x v="379"/>
    <x v="9"/>
    <x v="0"/>
    <x v="0"/>
    <x v="609"/>
    <x v="5315"/>
  </r>
  <r>
    <x v="2"/>
    <n v="545"/>
    <x v="377"/>
    <x v="2"/>
    <s v="Série"/>
    <s v="S"/>
    <x v="312"/>
    <x v="3"/>
    <x v="323"/>
    <m/>
    <x v="209"/>
    <m/>
    <x v="51"/>
    <x v="0"/>
    <x v="590"/>
    <d v="2013-04-14T00:00:00"/>
    <x v="5"/>
    <x v="0"/>
    <m/>
    <s v="NexT Kids"/>
    <x v="0"/>
    <x v="0"/>
    <m/>
    <x v="0"/>
    <x v="9"/>
    <x v="379"/>
    <x v="51"/>
    <x v="0"/>
    <x v="0"/>
    <x v="590"/>
    <x v="5316"/>
  </r>
  <r>
    <x v="2"/>
    <n v="1973"/>
    <x v="1842"/>
    <x v="5"/>
    <s v="CM"/>
    <s v="N"/>
    <x v="1011"/>
    <x v="41"/>
    <x v="316"/>
    <m/>
    <x v="11"/>
    <m/>
    <x v="3"/>
    <x v="0"/>
    <x v="500"/>
    <d v="2013-08-31T00:00:00"/>
    <x v="16"/>
    <x v="1"/>
    <s v="Videoclip"/>
    <m/>
    <x v="512"/>
    <x v="0"/>
    <m/>
    <x v="1"/>
    <x v="15"/>
    <x v="1863"/>
    <x v="3"/>
    <x v="622"/>
    <x v="1"/>
    <x v="500"/>
    <x v="5317"/>
  </r>
  <r>
    <x v="2"/>
    <n v="552"/>
    <x v="382"/>
    <x v="1"/>
    <s v="CM"/>
    <s v="N"/>
    <x v="313"/>
    <x v="3"/>
    <x v="854"/>
    <m/>
    <x v="24"/>
    <m/>
    <x v="3"/>
    <x v="0"/>
    <x v="550"/>
    <d v="2013-03-27T00:00:00"/>
    <x v="2"/>
    <x v="0"/>
    <m/>
    <m/>
    <x v="0"/>
    <x v="1"/>
    <m/>
    <x v="0"/>
    <x v="2"/>
    <x v="384"/>
    <x v="3"/>
    <x v="0"/>
    <x v="1"/>
    <x v="550"/>
    <x v="5318"/>
  </r>
  <r>
    <x v="2"/>
    <n v="553"/>
    <x v="383"/>
    <x v="0"/>
    <s v="CM"/>
    <s v="N"/>
    <x v="282"/>
    <x v="5"/>
    <x v="854"/>
    <m/>
    <x v="24"/>
    <m/>
    <x v="3"/>
    <x v="0"/>
    <x v="550"/>
    <d v="2013-03-27T00:00:00"/>
    <x v="2"/>
    <x v="0"/>
    <m/>
    <m/>
    <x v="0"/>
    <x v="1"/>
    <m/>
    <x v="0"/>
    <x v="0"/>
    <x v="385"/>
    <x v="3"/>
    <x v="0"/>
    <x v="1"/>
    <x v="550"/>
    <x v="5319"/>
  </r>
  <r>
    <x v="2"/>
    <n v="557"/>
    <x v="387"/>
    <x v="0"/>
    <s v="LM"/>
    <s v="S"/>
    <x v="316"/>
    <x v="5"/>
    <x v="885"/>
    <m/>
    <x v="419"/>
    <m/>
    <x v="34"/>
    <x v="0"/>
    <x v="586"/>
    <d v="2013-01-27T00:00:00"/>
    <x v="15"/>
    <x v="0"/>
    <m/>
    <s v="Tous les garçons s'appellent João"/>
    <x v="513"/>
    <x v="0"/>
    <m/>
    <x v="1"/>
    <x v="5"/>
    <x v="389"/>
    <x v="34"/>
    <x v="623"/>
    <x v="0"/>
    <x v="586"/>
    <x v="5320"/>
  </r>
  <r>
    <x v="2"/>
    <n v="557"/>
    <x v="387"/>
    <x v="0"/>
    <s v="LM"/>
    <s v="S"/>
    <x v="316"/>
    <x v="5"/>
    <x v="894"/>
    <m/>
    <x v="340"/>
    <m/>
    <x v="3"/>
    <x v="0"/>
    <x v="596"/>
    <d v="2013-03-24T00:00:00"/>
    <x v="2"/>
    <x v="0"/>
    <m/>
    <m/>
    <x v="0"/>
    <x v="1"/>
    <m/>
    <x v="0"/>
    <x v="5"/>
    <x v="389"/>
    <x v="3"/>
    <x v="0"/>
    <x v="1"/>
    <x v="596"/>
    <x v="5321"/>
  </r>
  <r>
    <x v="2"/>
    <n v="557"/>
    <x v="387"/>
    <x v="0"/>
    <s v="LM"/>
    <s v="S"/>
    <x v="316"/>
    <x v="5"/>
    <x v="895"/>
    <m/>
    <x v="425"/>
    <m/>
    <x v="0"/>
    <x v="0"/>
    <x v="597"/>
    <d v="2013-09-14T00:00:00"/>
    <x v="9"/>
    <x v="0"/>
    <m/>
    <s v="Mostra Portugal Contemporânei"/>
    <x v="0"/>
    <x v="0"/>
    <m/>
    <x v="0"/>
    <x v="5"/>
    <x v="389"/>
    <x v="0"/>
    <x v="0"/>
    <x v="0"/>
    <x v="597"/>
    <x v="5322"/>
  </r>
  <r>
    <x v="2"/>
    <n v="1763"/>
    <x v="1843"/>
    <x v="1"/>
    <s v="Série"/>
    <s v="N"/>
    <x v="1201"/>
    <x v="2"/>
    <x v="539"/>
    <m/>
    <x v="76"/>
    <m/>
    <x v="3"/>
    <x v="0"/>
    <x v="678"/>
    <d v="2013-04-21T00:00:00"/>
    <x v="5"/>
    <x v="0"/>
    <m/>
    <s v="Spectrum Português"/>
    <x v="0"/>
    <x v="0"/>
    <m/>
    <x v="0"/>
    <x v="3"/>
    <x v="1864"/>
    <x v="3"/>
    <x v="0"/>
    <x v="1"/>
    <x v="678"/>
    <x v="5323"/>
  </r>
  <r>
    <x v="2"/>
    <n v="558"/>
    <x v="388"/>
    <x v="2"/>
    <s v="CM"/>
    <s v="S"/>
    <x v="33"/>
    <x v="4"/>
    <x v="846"/>
    <m/>
    <x v="417"/>
    <m/>
    <x v="11"/>
    <x v="0"/>
    <x v="535"/>
    <d v="2013-08-03T00:00:00"/>
    <x v="25"/>
    <x v="0"/>
    <m/>
    <s v="Focus Portugal: Fado"/>
    <x v="0"/>
    <x v="0"/>
    <m/>
    <x v="0"/>
    <x v="4"/>
    <x v="390"/>
    <x v="11"/>
    <x v="0"/>
    <x v="0"/>
    <x v="535"/>
    <x v="5324"/>
  </r>
  <r>
    <x v="2"/>
    <n v="559"/>
    <x v="389"/>
    <x v="3"/>
    <s v="CM"/>
    <s v="N"/>
    <x v="47"/>
    <x v="10"/>
    <x v="846"/>
    <m/>
    <x v="417"/>
    <m/>
    <x v="11"/>
    <x v="0"/>
    <x v="535"/>
    <d v="2013-08-03T00:00:00"/>
    <x v="25"/>
    <x v="0"/>
    <m/>
    <s v="Focus Portugal: Fado"/>
    <x v="0"/>
    <x v="0"/>
    <m/>
    <x v="0"/>
    <x v="6"/>
    <x v="391"/>
    <x v="11"/>
    <x v="0"/>
    <x v="0"/>
    <x v="535"/>
    <x v="5325"/>
  </r>
  <r>
    <x v="2"/>
    <n v="561"/>
    <x v="390"/>
    <x v="1"/>
    <s v="LM"/>
    <s v=""/>
    <x v="297"/>
    <x v="5"/>
    <x v="906"/>
    <m/>
    <x v="348"/>
    <m/>
    <x v="3"/>
    <x v="0"/>
    <x v="592"/>
    <d v="2013-06-23T00:00:00"/>
    <x v="7"/>
    <x v="0"/>
    <m/>
    <m/>
    <x v="0"/>
    <x v="0"/>
    <m/>
    <x v="0"/>
    <x v="1"/>
    <x v="392"/>
    <x v="3"/>
    <x v="0"/>
    <x v="1"/>
    <x v="592"/>
    <x v="5326"/>
  </r>
  <r>
    <x v="2"/>
    <n v="1550"/>
    <x v="1206"/>
    <x v="0"/>
    <s v="CM"/>
    <s v="N"/>
    <x v="459"/>
    <x v="41"/>
    <x v="831"/>
    <m/>
    <x v="348"/>
    <m/>
    <x v="3"/>
    <x v="0"/>
    <x v="511"/>
    <m/>
    <x v="2"/>
    <x v="1"/>
    <s v="Curta-metragem de ficção"/>
    <m/>
    <x v="0"/>
    <x v="0"/>
    <m/>
    <x v="0"/>
    <x v="0"/>
    <x v="1212"/>
    <x v="3"/>
    <x v="0"/>
    <x v="1"/>
    <x v="511"/>
    <x v="5327"/>
  </r>
  <r>
    <x v="2"/>
    <n v="1550"/>
    <x v="1206"/>
    <x v="0"/>
    <s v="CM"/>
    <s v="N"/>
    <x v="459"/>
    <x v="41"/>
    <x v="48"/>
    <m/>
    <x v="24"/>
    <m/>
    <x v="3"/>
    <x v="0"/>
    <x v="569"/>
    <d v="2013-09-15T00:00:00"/>
    <x v="9"/>
    <x v="1"/>
    <s v="Prémio Yorn MOTELx"/>
    <m/>
    <x v="0"/>
    <x v="0"/>
    <m/>
    <x v="0"/>
    <x v="0"/>
    <x v="1212"/>
    <x v="3"/>
    <x v="0"/>
    <x v="1"/>
    <x v="569"/>
    <x v="5328"/>
  </r>
  <r>
    <x v="2"/>
    <n v="1550"/>
    <x v="1206"/>
    <x v="0"/>
    <s v="CM"/>
    <s v="N"/>
    <x v="459"/>
    <x v="41"/>
    <x v="70"/>
    <m/>
    <x v="38"/>
    <m/>
    <x v="3"/>
    <x v="0"/>
    <x v="510"/>
    <d v="2013-09-15T00:00:00"/>
    <x v="9"/>
    <x v="1"/>
    <s v="Sessão Competitiva 1"/>
    <m/>
    <x v="0"/>
    <x v="0"/>
    <m/>
    <x v="0"/>
    <x v="0"/>
    <x v="1212"/>
    <x v="3"/>
    <x v="0"/>
    <x v="1"/>
    <x v="510"/>
    <x v="5329"/>
  </r>
  <r>
    <x v="2"/>
    <n v="2062"/>
    <x v="1844"/>
    <x v="1"/>
    <s v="CM"/>
    <s v="N"/>
    <x v="1202"/>
    <x v="52"/>
    <x v="88"/>
    <m/>
    <x v="67"/>
    <m/>
    <x v="3"/>
    <x v="0"/>
    <x v="528"/>
    <d v="2013-10-26T00:00:00"/>
    <x v="14"/>
    <x v="1"/>
    <s v="Lusofonia: Longas Metragens"/>
    <m/>
    <x v="514"/>
    <x v="0"/>
    <m/>
    <x v="1"/>
    <x v="2"/>
    <x v="1865"/>
    <x v="3"/>
    <x v="624"/>
    <x v="1"/>
    <x v="528"/>
    <x v="5330"/>
  </r>
  <r>
    <x v="2"/>
    <n v="2130"/>
    <x v="1845"/>
    <x v="0"/>
    <s v="CM"/>
    <s v="N"/>
    <x v="132"/>
    <x v="52"/>
    <x v="994"/>
    <m/>
    <x v="24"/>
    <m/>
    <x v="3"/>
    <x v="0"/>
    <x v="679"/>
    <m/>
    <x v="12"/>
    <x v="1"/>
    <m/>
    <m/>
    <x v="239"/>
    <x v="1"/>
    <m/>
    <x v="1"/>
    <x v="0"/>
    <x v="1866"/>
    <x v="3"/>
    <x v="277"/>
    <x v="1"/>
    <x v="679"/>
    <x v="5331"/>
  </r>
  <r>
    <x v="2"/>
    <n v="1752"/>
    <x v="1846"/>
    <x v="2"/>
    <s v="CM"/>
    <s v="N"/>
    <x v="1203"/>
    <x v="41"/>
    <x v="432"/>
    <m/>
    <x v="39"/>
    <m/>
    <x v="3"/>
    <x v="0"/>
    <x v="582"/>
    <d v="2013-04-20T00:00:00"/>
    <x v="5"/>
    <x v="1"/>
    <s v="Competição Regional - Sessão 5"/>
    <m/>
    <x v="515"/>
    <x v="0"/>
    <m/>
    <x v="1"/>
    <x v="4"/>
    <x v="1867"/>
    <x v="3"/>
    <x v="625"/>
    <x v="1"/>
    <x v="582"/>
    <x v="5332"/>
  </r>
  <r>
    <x v="2"/>
    <n v="1752"/>
    <x v="1846"/>
    <x v="2"/>
    <s v="CM"/>
    <s v="N"/>
    <x v="1203"/>
    <x v="41"/>
    <x v="882"/>
    <m/>
    <x v="14"/>
    <m/>
    <x v="3"/>
    <x v="0"/>
    <x v="544"/>
    <d v="2013-11-03T00:00:00"/>
    <x v="13"/>
    <x v="0"/>
    <m/>
    <m/>
    <x v="0"/>
    <x v="3"/>
    <m/>
    <x v="0"/>
    <x v="4"/>
    <x v="1867"/>
    <x v="3"/>
    <x v="0"/>
    <x v="1"/>
    <x v="544"/>
    <x v="5333"/>
  </r>
  <r>
    <x v="2"/>
    <n v="572"/>
    <x v="399"/>
    <x v="2"/>
    <s v="CM"/>
    <s v="S"/>
    <x v="324"/>
    <x v="27"/>
    <x v="879"/>
    <m/>
    <x v="306"/>
    <m/>
    <x v="2"/>
    <x v="0"/>
    <x v="580"/>
    <m/>
    <x v="1"/>
    <x v="0"/>
    <m/>
    <s v="Regina Pessoa et Abi Feijó"/>
    <x v="0"/>
    <x v="1"/>
    <m/>
    <x v="0"/>
    <x v="4"/>
    <x v="401"/>
    <x v="2"/>
    <x v="0"/>
    <x v="0"/>
    <x v="580"/>
    <x v="5334"/>
  </r>
  <r>
    <x v="2"/>
    <n v="572"/>
    <x v="399"/>
    <x v="2"/>
    <s v="CM"/>
    <s v="S"/>
    <x v="324"/>
    <x v="27"/>
    <x v="31"/>
    <m/>
    <x v="29"/>
    <m/>
    <x v="2"/>
    <x v="0"/>
    <x v="680"/>
    <d v="2013-03-23T00:00:00"/>
    <x v="2"/>
    <x v="0"/>
    <m/>
    <s v="Carte Blanche ANIMA - Bruxelles"/>
    <x v="0"/>
    <x v="0"/>
    <m/>
    <x v="0"/>
    <x v="4"/>
    <x v="401"/>
    <x v="2"/>
    <x v="0"/>
    <x v="0"/>
    <x v="680"/>
    <x v="5335"/>
  </r>
  <r>
    <x v="2"/>
    <n v="572"/>
    <x v="399"/>
    <x v="2"/>
    <s v="CM"/>
    <s v="S"/>
    <x v="324"/>
    <x v="27"/>
    <x v="220"/>
    <m/>
    <x v="154"/>
    <m/>
    <x v="0"/>
    <x v="0"/>
    <x v="566"/>
    <d v="2013-08-18T00:00:00"/>
    <x v="16"/>
    <x v="0"/>
    <m/>
    <s v="Papo Animado"/>
    <x v="0"/>
    <x v="0"/>
    <m/>
    <x v="0"/>
    <x v="4"/>
    <x v="401"/>
    <x v="0"/>
    <x v="0"/>
    <x v="0"/>
    <x v="566"/>
    <x v="5336"/>
  </r>
  <r>
    <x v="2"/>
    <n v="572"/>
    <x v="399"/>
    <x v="2"/>
    <s v="CM"/>
    <s v="S"/>
    <x v="324"/>
    <x v="27"/>
    <x v="880"/>
    <m/>
    <x v="298"/>
    <m/>
    <x v="15"/>
    <x v="0"/>
    <x v="553"/>
    <d v="2013-10-30T00:00:00"/>
    <x v="14"/>
    <x v="0"/>
    <m/>
    <s v="Regina Pessoa e Abi Feijó: la regina dell'animazione e il suo maestro - La Trilogia"/>
    <x v="0"/>
    <x v="0"/>
    <m/>
    <x v="0"/>
    <x v="4"/>
    <x v="401"/>
    <x v="15"/>
    <x v="0"/>
    <x v="0"/>
    <x v="553"/>
    <x v="5337"/>
  </r>
  <r>
    <x v="2"/>
    <n v="572"/>
    <x v="399"/>
    <x v="2"/>
    <s v="CM"/>
    <s v="S"/>
    <x v="324"/>
    <x v="27"/>
    <x v="881"/>
    <m/>
    <x v="423"/>
    <m/>
    <x v="18"/>
    <x v="0"/>
    <x v="581"/>
    <d v="2013-11-26T00:00:00"/>
    <x v="13"/>
    <x v="0"/>
    <m/>
    <s v="Regina Pessoa Retrospective"/>
    <x v="0"/>
    <x v="0"/>
    <m/>
    <x v="0"/>
    <x v="4"/>
    <x v="401"/>
    <x v="18"/>
    <x v="0"/>
    <x v="0"/>
    <x v="581"/>
    <x v="5338"/>
  </r>
  <r>
    <x v="2"/>
    <n v="572"/>
    <x v="399"/>
    <x v="2"/>
    <s v="CM"/>
    <s v="S"/>
    <x v="324"/>
    <x v="27"/>
    <x v="920"/>
    <m/>
    <x v="429"/>
    <m/>
    <x v="63"/>
    <x v="0"/>
    <x v="509"/>
    <d v="2013-11-30T00:00:00"/>
    <x v="13"/>
    <x v="0"/>
    <m/>
    <m/>
    <x v="0"/>
    <x v="0"/>
    <m/>
    <x v="0"/>
    <x v="4"/>
    <x v="401"/>
    <x v="63"/>
    <x v="0"/>
    <x v="0"/>
    <x v="509"/>
    <x v="5339"/>
  </r>
  <r>
    <x v="2"/>
    <n v="1409"/>
    <x v="1212"/>
    <x v="1"/>
    <s v="CM"/>
    <s v=""/>
    <x v="813"/>
    <x v="41"/>
    <x v="905"/>
    <m/>
    <x v="61"/>
    <m/>
    <x v="2"/>
    <x v="0"/>
    <x v="509"/>
    <d v="2013-12-01T00:00:00"/>
    <x v="11"/>
    <x v="0"/>
    <m/>
    <s v="Ida e Volta: Hommage au Portugal - Carte Blanche au festival Doclisboa"/>
    <x v="0"/>
    <x v="0"/>
    <m/>
    <x v="0"/>
    <x v="2"/>
    <x v="1218"/>
    <x v="2"/>
    <x v="0"/>
    <x v="0"/>
    <x v="509"/>
    <x v="5340"/>
  </r>
  <r>
    <x v="2"/>
    <n v="573"/>
    <x v="400"/>
    <x v="0"/>
    <s v="LM"/>
    <s v=""/>
    <x v="15"/>
    <x v="28"/>
    <x v="993"/>
    <m/>
    <x v="340"/>
    <m/>
    <x v="3"/>
    <x v="0"/>
    <x v="639"/>
    <d v="2013-11-09T00:00:00"/>
    <x v="13"/>
    <x v="0"/>
    <m/>
    <m/>
    <x v="0"/>
    <x v="1"/>
    <m/>
    <x v="0"/>
    <x v="5"/>
    <x v="402"/>
    <x v="3"/>
    <x v="0"/>
    <x v="1"/>
    <x v="639"/>
    <x v="5341"/>
  </r>
  <r>
    <x v="2"/>
    <n v="1957"/>
    <x v="1847"/>
    <x v="2"/>
    <s v="CM"/>
    <s v="N"/>
    <x v="1204"/>
    <x v="2"/>
    <x v="316"/>
    <m/>
    <x v="11"/>
    <m/>
    <x v="3"/>
    <x v="0"/>
    <x v="500"/>
    <d v="2013-08-31T00:00:00"/>
    <x v="16"/>
    <x v="1"/>
    <s v="Animação"/>
    <m/>
    <x v="0"/>
    <x v="0"/>
    <m/>
    <x v="0"/>
    <x v="4"/>
    <x v="1868"/>
    <x v="3"/>
    <x v="0"/>
    <x v="1"/>
    <x v="500"/>
    <x v="5342"/>
  </r>
  <r>
    <x v="2"/>
    <n v="576"/>
    <x v="403"/>
    <x v="0"/>
    <s v="CM"/>
    <s v="N"/>
    <x v="326"/>
    <x v="3"/>
    <x v="860"/>
    <m/>
    <x v="6"/>
    <m/>
    <x v="4"/>
    <x v="0"/>
    <x v="467"/>
    <d v="2013-11-24T00:00:00"/>
    <x v="13"/>
    <x v="0"/>
    <m/>
    <s v="Portugal Alterado: Las últimas películas"/>
    <x v="0"/>
    <x v="0"/>
    <m/>
    <x v="0"/>
    <x v="0"/>
    <x v="405"/>
    <x v="4"/>
    <x v="0"/>
    <x v="0"/>
    <x v="467"/>
    <x v="5343"/>
  </r>
  <r>
    <x v="2"/>
    <n v="1626"/>
    <x v="1848"/>
    <x v="0"/>
    <s v="CM"/>
    <s v="N"/>
    <x v="1205"/>
    <x v="18"/>
    <x v="911"/>
    <m/>
    <x v="46"/>
    <m/>
    <x v="3"/>
    <x v="0"/>
    <x v="408"/>
    <d v="2013-01-28T00:00:00"/>
    <x v="33"/>
    <x v="0"/>
    <m/>
    <m/>
    <x v="0"/>
    <x v="1"/>
    <m/>
    <x v="0"/>
    <x v="0"/>
    <x v="1869"/>
    <x v="3"/>
    <x v="0"/>
    <x v="1"/>
    <x v="408"/>
    <x v="5344"/>
  </r>
  <r>
    <x v="2"/>
    <n v="578"/>
    <x v="405"/>
    <x v="3"/>
    <s v="CM"/>
    <s v="N"/>
    <x v="297"/>
    <x v="5"/>
    <x v="995"/>
    <m/>
    <x v="58"/>
    <m/>
    <x v="17"/>
    <x v="0"/>
    <x v="599"/>
    <d v="2013-01-20T00:00:00"/>
    <x v="15"/>
    <x v="0"/>
    <m/>
    <m/>
    <x v="0"/>
    <x v="1"/>
    <s v="Hanmy Gallery"/>
    <x v="0"/>
    <x v="6"/>
    <x v="407"/>
    <x v="17"/>
    <x v="0"/>
    <x v="0"/>
    <x v="599"/>
    <x v="5345"/>
  </r>
  <r>
    <x v="2"/>
    <n v="578"/>
    <x v="405"/>
    <x v="3"/>
    <s v="CM"/>
    <s v="N"/>
    <x v="297"/>
    <x v="5"/>
    <x v="843"/>
    <m/>
    <x v="253"/>
    <m/>
    <x v="0"/>
    <x v="0"/>
    <x v="532"/>
    <d v="2013-05-26T00:00:00"/>
    <x v="6"/>
    <x v="0"/>
    <m/>
    <m/>
    <x v="0"/>
    <x v="1"/>
    <m/>
    <x v="0"/>
    <x v="6"/>
    <x v="407"/>
    <x v="0"/>
    <x v="0"/>
    <x v="0"/>
    <x v="532"/>
    <x v="5346"/>
  </r>
  <r>
    <x v="2"/>
    <n v="578"/>
    <x v="405"/>
    <x v="3"/>
    <s v="CM"/>
    <s v="N"/>
    <x v="297"/>
    <x v="5"/>
    <x v="844"/>
    <m/>
    <x v="0"/>
    <m/>
    <x v="0"/>
    <x v="0"/>
    <x v="533"/>
    <d v="2013-06-06T00:00:00"/>
    <x v="22"/>
    <x v="0"/>
    <m/>
    <m/>
    <x v="0"/>
    <x v="1"/>
    <m/>
    <x v="0"/>
    <x v="6"/>
    <x v="407"/>
    <x v="0"/>
    <x v="0"/>
    <x v="0"/>
    <x v="533"/>
    <x v="5347"/>
  </r>
  <r>
    <x v="2"/>
    <n v="1443"/>
    <x v="1213"/>
    <x v="1"/>
    <s v="CM"/>
    <s v="N"/>
    <x v="814"/>
    <x v="41"/>
    <x v="192"/>
    <m/>
    <x v="140"/>
    <m/>
    <x v="3"/>
    <x v="0"/>
    <x v="334"/>
    <d v="2013-07-28T00:00:00"/>
    <x v="8"/>
    <x v="0"/>
    <m/>
    <s v="Panorama Cinema Português"/>
    <x v="0"/>
    <x v="0"/>
    <m/>
    <x v="0"/>
    <x v="2"/>
    <x v="1219"/>
    <x v="3"/>
    <x v="0"/>
    <x v="1"/>
    <x v="334"/>
    <x v="5348"/>
  </r>
  <r>
    <x v="2"/>
    <n v="2006"/>
    <x v="1849"/>
    <x v="0"/>
    <s v="LM"/>
    <s v="N"/>
    <x v="607"/>
    <x v="18"/>
    <x v="842"/>
    <m/>
    <x v="279"/>
    <m/>
    <x v="3"/>
    <x v="0"/>
    <x v="527"/>
    <d v="2013-09-29T00:00:00"/>
    <x v="9"/>
    <x v="0"/>
    <m/>
    <s v="Filme de Abertura"/>
    <x v="0"/>
    <x v="0"/>
    <m/>
    <x v="0"/>
    <x v="5"/>
    <x v="1870"/>
    <x v="3"/>
    <x v="0"/>
    <x v="1"/>
    <x v="527"/>
    <x v="5349"/>
  </r>
  <r>
    <x v="2"/>
    <n v="1664"/>
    <x v="1850"/>
    <x v="1"/>
    <s v="CM"/>
    <s v="N"/>
    <x v="1206"/>
    <x v="41"/>
    <x v="891"/>
    <m/>
    <x v="24"/>
    <m/>
    <x v="3"/>
    <x v="0"/>
    <x v="595"/>
    <m/>
    <x v="1"/>
    <x v="0"/>
    <m/>
    <s v="Curta Convidada, Cultura Visual, Animação Digital, Universidade Lusófona"/>
    <x v="0"/>
    <x v="1"/>
    <m/>
    <x v="0"/>
    <x v="2"/>
    <x v="1871"/>
    <x v="3"/>
    <x v="0"/>
    <x v="1"/>
    <x v="595"/>
    <x v="5350"/>
  </r>
  <r>
    <x v="2"/>
    <n v="1664"/>
    <x v="1850"/>
    <x v="1"/>
    <s v="CM"/>
    <s v="N"/>
    <x v="1206"/>
    <x v="41"/>
    <x v="867"/>
    <m/>
    <x v="24"/>
    <m/>
    <x v="3"/>
    <x v="0"/>
    <x v="564"/>
    <m/>
    <x v="7"/>
    <x v="1"/>
    <m/>
    <m/>
    <x v="0"/>
    <x v="1"/>
    <m/>
    <x v="0"/>
    <x v="2"/>
    <x v="1871"/>
    <x v="3"/>
    <x v="0"/>
    <x v="1"/>
    <x v="564"/>
    <x v="5351"/>
  </r>
  <r>
    <x v="2"/>
    <n v="1742"/>
    <x v="1851"/>
    <x v="5"/>
    <s v="CM"/>
    <s v="N"/>
    <x v="1207"/>
    <x v="41"/>
    <x v="831"/>
    <m/>
    <x v="348"/>
    <m/>
    <x v="3"/>
    <x v="0"/>
    <x v="511"/>
    <m/>
    <x v="2"/>
    <x v="1"/>
    <s v="Videoclip"/>
    <m/>
    <x v="0"/>
    <x v="0"/>
    <m/>
    <x v="0"/>
    <x v="15"/>
    <x v="1872"/>
    <x v="3"/>
    <x v="0"/>
    <x v="1"/>
    <x v="511"/>
    <x v="5352"/>
  </r>
  <r>
    <x v="2"/>
    <n v="592"/>
    <x v="416"/>
    <x v="1"/>
    <s v="LM"/>
    <s v="S"/>
    <x v="162"/>
    <x v="5"/>
    <x v="996"/>
    <m/>
    <x v="24"/>
    <m/>
    <x v="3"/>
    <x v="0"/>
    <x v="681"/>
    <d v="2013-12-13T00:00:00"/>
    <x v="12"/>
    <x v="0"/>
    <m/>
    <s v="Ciclo de Documentários"/>
    <x v="0"/>
    <x v="1"/>
    <m/>
    <x v="0"/>
    <x v="1"/>
    <x v="418"/>
    <x v="3"/>
    <x v="0"/>
    <x v="1"/>
    <x v="681"/>
    <x v="5353"/>
  </r>
  <r>
    <x v="2"/>
    <n v="1866"/>
    <x v="1852"/>
    <x v="0"/>
    <s v="CM"/>
    <s v="N"/>
    <x v="1208"/>
    <x v="52"/>
    <x v="146"/>
    <m/>
    <x v="24"/>
    <m/>
    <x v="3"/>
    <x v="0"/>
    <x v="537"/>
    <d v="2013-04-28T00:00:00"/>
    <x v="5"/>
    <x v="1"/>
    <s v="Competição Nacional - Ficção"/>
    <s v="Cinema Emergente Curtas"/>
    <x v="0"/>
    <x v="0"/>
    <m/>
    <x v="0"/>
    <x v="0"/>
    <x v="1873"/>
    <x v="3"/>
    <x v="0"/>
    <x v="1"/>
    <x v="537"/>
    <x v="5354"/>
  </r>
  <r>
    <x v="2"/>
    <n v="1700"/>
    <x v="1853"/>
    <x v="3"/>
    <s v="CM"/>
    <s v="N"/>
    <x v="1209"/>
    <x v="41"/>
    <x v="62"/>
    <m/>
    <x v="23"/>
    <m/>
    <x v="3"/>
    <x v="0"/>
    <x v="503"/>
    <d v="2013-03-10T00:00:00"/>
    <x v="19"/>
    <x v="1"/>
    <s v="Prémio de Cinema Português - Escolas de Cinema"/>
    <m/>
    <x v="0"/>
    <x v="0"/>
    <s v="RESTART "/>
    <x v="0"/>
    <x v="6"/>
    <x v="1874"/>
    <x v="3"/>
    <x v="0"/>
    <x v="1"/>
    <x v="503"/>
    <x v="5355"/>
  </r>
  <r>
    <x v="2"/>
    <n v="1700"/>
    <x v="1853"/>
    <x v="3"/>
    <s v="CM"/>
    <s v="N"/>
    <x v="1209"/>
    <x v="41"/>
    <x v="989"/>
    <m/>
    <x v="126"/>
    <m/>
    <x v="37"/>
    <x v="0"/>
    <x v="520"/>
    <d v="2013-12-11T00:00:00"/>
    <x v="12"/>
    <x v="1"/>
    <s v="Competencia Internacional: Experimental"/>
    <m/>
    <x v="0"/>
    <x v="0"/>
    <m/>
    <x v="0"/>
    <x v="6"/>
    <x v="1874"/>
    <x v="37"/>
    <x v="0"/>
    <x v="0"/>
    <x v="520"/>
    <x v="5356"/>
  </r>
  <r>
    <x v="2"/>
    <n v="2199"/>
    <x v="1854"/>
    <x v="3"/>
    <s v="CM"/>
    <s v="N"/>
    <x v="1210"/>
    <x v="52"/>
    <x v="877"/>
    <m/>
    <x v="15"/>
    <m/>
    <x v="3"/>
    <x v="0"/>
    <x v="577"/>
    <m/>
    <x v="12"/>
    <x v="0"/>
    <m/>
    <s v="Curta convidada"/>
    <x v="0"/>
    <x v="1"/>
    <m/>
    <x v="0"/>
    <x v="6"/>
    <x v="1875"/>
    <x v="3"/>
    <x v="0"/>
    <x v="1"/>
    <x v="577"/>
    <x v="5357"/>
  </r>
  <r>
    <x v="2"/>
    <n v="2119"/>
    <x v="1855"/>
    <x v="0"/>
    <s v="CM"/>
    <s v="N"/>
    <x v="1190"/>
    <x v="2"/>
    <x v="969"/>
    <m/>
    <x v="40"/>
    <m/>
    <x v="3"/>
    <x v="0"/>
    <x v="659"/>
    <m/>
    <x v="12"/>
    <x v="0"/>
    <m/>
    <m/>
    <x v="0"/>
    <x v="1"/>
    <m/>
    <x v="0"/>
    <x v="0"/>
    <x v="1876"/>
    <x v="3"/>
    <x v="0"/>
    <x v="1"/>
    <x v="659"/>
    <x v="5358"/>
  </r>
  <r>
    <x v="2"/>
    <n v="1672"/>
    <x v="1856"/>
    <x v="2"/>
    <s v="CM"/>
    <s v="N"/>
    <x v="1211"/>
    <x v="41"/>
    <x v="62"/>
    <m/>
    <x v="23"/>
    <m/>
    <x v="3"/>
    <x v="0"/>
    <x v="503"/>
    <d v="2013-03-10T00:00:00"/>
    <x v="19"/>
    <x v="1"/>
    <s v="Prémio de Cinema Português - Melhor Filme"/>
    <m/>
    <x v="0"/>
    <x v="0"/>
    <m/>
    <x v="0"/>
    <x v="4"/>
    <x v="1877"/>
    <x v="3"/>
    <x v="0"/>
    <x v="1"/>
    <x v="503"/>
    <x v="5359"/>
  </r>
  <r>
    <x v="2"/>
    <n v="1672"/>
    <x v="1856"/>
    <x v="2"/>
    <s v="CM"/>
    <s v="N"/>
    <x v="1211"/>
    <x v="41"/>
    <x v="26"/>
    <m/>
    <x v="24"/>
    <m/>
    <x v="3"/>
    <x v="0"/>
    <x v="571"/>
    <d v="2013-03-17T00:00:00"/>
    <x v="2"/>
    <x v="1"/>
    <s v="Competição Internacional Estudantes"/>
    <m/>
    <x v="0"/>
    <x v="0"/>
    <m/>
    <x v="0"/>
    <x v="4"/>
    <x v="1877"/>
    <x v="3"/>
    <x v="0"/>
    <x v="1"/>
    <x v="571"/>
    <x v="5360"/>
  </r>
  <r>
    <x v="2"/>
    <n v="598"/>
    <x v="420"/>
    <x v="2"/>
    <s v="CM"/>
    <s v="S"/>
    <x v="336"/>
    <x v="3"/>
    <x v="854"/>
    <m/>
    <x v="24"/>
    <m/>
    <x v="3"/>
    <x v="0"/>
    <x v="550"/>
    <d v="2013-03-27T00:00:00"/>
    <x v="2"/>
    <x v="0"/>
    <m/>
    <m/>
    <x v="0"/>
    <x v="1"/>
    <m/>
    <x v="0"/>
    <x v="4"/>
    <x v="422"/>
    <x v="3"/>
    <x v="0"/>
    <x v="1"/>
    <x v="550"/>
    <x v="5361"/>
  </r>
  <r>
    <x v="2"/>
    <n v="598"/>
    <x v="420"/>
    <x v="2"/>
    <s v="CM"/>
    <s v="S"/>
    <x v="336"/>
    <x v="3"/>
    <x v="487"/>
    <m/>
    <x v="295"/>
    <m/>
    <x v="10"/>
    <x v="0"/>
    <x v="641"/>
    <d v="2013-04-07T00:00:00"/>
    <x v="5"/>
    <x v="1"/>
    <s v="Short Competition: Short Films E"/>
    <m/>
    <x v="0"/>
    <x v="0"/>
    <m/>
    <x v="0"/>
    <x v="4"/>
    <x v="422"/>
    <x v="10"/>
    <x v="0"/>
    <x v="0"/>
    <x v="641"/>
    <x v="5362"/>
  </r>
  <r>
    <x v="2"/>
    <n v="598"/>
    <x v="420"/>
    <x v="2"/>
    <s v="CM"/>
    <s v="S"/>
    <x v="336"/>
    <x v="3"/>
    <x v="34"/>
    <m/>
    <x v="32"/>
    <m/>
    <x v="3"/>
    <x v="0"/>
    <x v="525"/>
    <d v="2013-05-12T00:00:00"/>
    <x v="6"/>
    <x v="1"/>
    <s v="Animação"/>
    <m/>
    <x v="0"/>
    <x v="0"/>
    <m/>
    <x v="0"/>
    <x v="4"/>
    <x v="422"/>
    <x v="3"/>
    <x v="0"/>
    <x v="1"/>
    <x v="525"/>
    <x v="5363"/>
  </r>
  <r>
    <x v="2"/>
    <n v="1940"/>
    <x v="1857"/>
    <x v="1"/>
    <s v="CM"/>
    <s v="N"/>
    <x v="642"/>
    <x v="41"/>
    <x v="192"/>
    <m/>
    <x v="140"/>
    <m/>
    <x v="3"/>
    <x v="0"/>
    <x v="334"/>
    <d v="2013-07-28T00:00:00"/>
    <x v="8"/>
    <x v="0"/>
    <m/>
    <m/>
    <x v="0"/>
    <x v="0"/>
    <m/>
    <x v="0"/>
    <x v="2"/>
    <x v="1878"/>
    <x v="3"/>
    <x v="0"/>
    <x v="1"/>
    <x v="334"/>
    <x v="5364"/>
  </r>
  <r>
    <x v="2"/>
    <n v="1725"/>
    <x v="1858"/>
    <x v="2"/>
    <s v="CM"/>
    <s v="N"/>
    <x v="1212"/>
    <x v="41"/>
    <x v="26"/>
    <m/>
    <x v="24"/>
    <m/>
    <x v="3"/>
    <x v="0"/>
    <x v="571"/>
    <d v="2013-03-17T00:00:00"/>
    <x v="2"/>
    <x v="1"/>
    <s v="Competição Internacional Estudantes"/>
    <m/>
    <x v="0"/>
    <x v="0"/>
    <m/>
    <x v="0"/>
    <x v="4"/>
    <x v="1879"/>
    <x v="3"/>
    <x v="0"/>
    <x v="1"/>
    <x v="571"/>
    <x v="5365"/>
  </r>
  <r>
    <x v="2"/>
    <n v="1913"/>
    <x v="1859"/>
    <x v="0"/>
    <s v="CM"/>
    <s v="N"/>
    <x v="1213"/>
    <x v="52"/>
    <x v="68"/>
    <m/>
    <x v="53"/>
    <m/>
    <x v="3"/>
    <x v="0"/>
    <x v="573"/>
    <d v="2013-07-14T00:00:00"/>
    <x v="8"/>
    <x v="1"/>
    <s v="17º Videorun Restart"/>
    <m/>
    <x v="191"/>
    <x v="0"/>
    <m/>
    <x v="1"/>
    <x v="0"/>
    <x v="1880"/>
    <x v="3"/>
    <x v="626"/>
    <x v="1"/>
    <x v="573"/>
    <x v="5366"/>
  </r>
  <r>
    <x v="2"/>
    <n v="1823"/>
    <x v="1860"/>
    <x v="0"/>
    <s v="CM"/>
    <s v="N"/>
    <x v="1214"/>
    <x v="2"/>
    <x v="997"/>
    <m/>
    <x v="24"/>
    <m/>
    <x v="3"/>
    <x v="0"/>
    <x v="682"/>
    <m/>
    <x v="7"/>
    <x v="1"/>
    <m/>
    <m/>
    <x v="0"/>
    <x v="1"/>
    <m/>
    <x v="0"/>
    <x v="0"/>
    <x v="1881"/>
    <x v="3"/>
    <x v="0"/>
    <x v="1"/>
    <x v="682"/>
    <x v="5367"/>
  </r>
  <r>
    <x v="2"/>
    <n v="1755"/>
    <x v="1861"/>
    <x v="0"/>
    <s v="CM"/>
    <s v="N"/>
    <x v="1215"/>
    <x v="41"/>
    <x v="998"/>
    <m/>
    <x v="24"/>
    <m/>
    <x v="3"/>
    <x v="0"/>
    <x v="683"/>
    <m/>
    <x v="2"/>
    <x v="1"/>
    <m/>
    <m/>
    <x v="0"/>
    <x v="1"/>
    <m/>
    <x v="0"/>
    <x v="0"/>
    <x v="1882"/>
    <x v="3"/>
    <x v="0"/>
    <x v="1"/>
    <x v="683"/>
    <x v="5368"/>
  </r>
  <r>
    <x v="2"/>
    <n v="614"/>
    <x v="428"/>
    <x v="2"/>
    <s v="CM"/>
    <s v="S"/>
    <x v="341"/>
    <x v="15"/>
    <x v="58"/>
    <m/>
    <x v="47"/>
    <m/>
    <x v="3"/>
    <x v="0"/>
    <x v="542"/>
    <d v="2013-09-08T00:00:00"/>
    <x v="9"/>
    <x v="0"/>
    <m/>
    <s v="Casa da Animação"/>
    <x v="0"/>
    <x v="1"/>
    <m/>
    <x v="0"/>
    <x v="4"/>
    <x v="430"/>
    <x v="3"/>
    <x v="0"/>
    <x v="1"/>
    <x v="542"/>
    <x v="5369"/>
  </r>
  <r>
    <x v="2"/>
    <n v="1667"/>
    <x v="1862"/>
    <x v="0"/>
    <s v="CM"/>
    <s v="N"/>
    <x v="31"/>
    <x v="41"/>
    <x v="891"/>
    <m/>
    <x v="24"/>
    <m/>
    <x v="3"/>
    <x v="0"/>
    <x v="595"/>
    <m/>
    <x v="1"/>
    <x v="0"/>
    <m/>
    <s v="Curta Convidada, Curtas Sadinas"/>
    <x v="0"/>
    <x v="1"/>
    <m/>
    <x v="0"/>
    <x v="0"/>
    <x v="1883"/>
    <x v="3"/>
    <x v="0"/>
    <x v="1"/>
    <x v="595"/>
    <x v="5370"/>
  </r>
  <r>
    <x v="2"/>
    <n v="2200"/>
    <x v="1863"/>
    <x v="4"/>
    <s v="CM"/>
    <s v="N"/>
    <x v="1216"/>
    <x v="2"/>
    <x v="877"/>
    <m/>
    <x v="15"/>
    <m/>
    <x v="3"/>
    <x v="0"/>
    <x v="577"/>
    <m/>
    <x v="12"/>
    <x v="0"/>
    <m/>
    <s v="Curta convidada"/>
    <x v="0"/>
    <x v="1"/>
    <m/>
    <x v="0"/>
    <x v="8"/>
    <x v="1884"/>
    <x v="3"/>
    <x v="0"/>
    <x v="1"/>
    <x v="577"/>
    <x v="5371"/>
  </r>
  <r>
    <x v="2"/>
    <n v="617"/>
    <x v="1231"/>
    <x v="1"/>
    <s v="LM"/>
    <s v="N"/>
    <x v="828"/>
    <x v="41"/>
    <x v="854"/>
    <m/>
    <x v="24"/>
    <m/>
    <x v="3"/>
    <x v="0"/>
    <x v="550"/>
    <d v="2013-03-27T00:00:00"/>
    <x v="2"/>
    <x v="0"/>
    <m/>
    <m/>
    <x v="0"/>
    <x v="1"/>
    <m/>
    <x v="0"/>
    <x v="1"/>
    <x v="1238"/>
    <x v="3"/>
    <x v="0"/>
    <x v="1"/>
    <x v="550"/>
    <x v="5372"/>
  </r>
  <r>
    <x v="2"/>
    <n v="617"/>
    <x v="1231"/>
    <x v="1"/>
    <s v="LM"/>
    <s v="N"/>
    <x v="828"/>
    <x v="41"/>
    <x v="269"/>
    <m/>
    <x v="188"/>
    <m/>
    <x v="55"/>
    <x v="0"/>
    <x v="561"/>
    <d v="2013-04-06T00:00:00"/>
    <x v="3"/>
    <x v="0"/>
    <m/>
    <s v="Panorama: Largometrajes Internacionales"/>
    <x v="0"/>
    <x v="0"/>
    <m/>
    <x v="0"/>
    <x v="1"/>
    <x v="1238"/>
    <x v="55"/>
    <x v="0"/>
    <x v="0"/>
    <x v="561"/>
    <x v="5373"/>
  </r>
  <r>
    <x v="2"/>
    <n v="617"/>
    <x v="1231"/>
    <x v="1"/>
    <s v="LM"/>
    <s v="N"/>
    <x v="828"/>
    <x v="41"/>
    <x v="848"/>
    <m/>
    <x v="165"/>
    <m/>
    <x v="4"/>
    <x v="0"/>
    <x v="540"/>
    <d v="2013-09-01T00:00:00"/>
    <x v="20"/>
    <x v="0"/>
    <m/>
    <m/>
    <x v="0"/>
    <x v="1"/>
    <m/>
    <x v="0"/>
    <x v="1"/>
    <x v="1238"/>
    <x v="4"/>
    <x v="0"/>
    <x v="0"/>
    <x v="540"/>
    <x v="5374"/>
  </r>
  <r>
    <x v="2"/>
    <n v="2052"/>
    <x v="1864"/>
    <x v="0"/>
    <s v="CM"/>
    <s v="N"/>
    <x v="80"/>
    <x v="52"/>
    <x v="149"/>
    <m/>
    <x v="114"/>
    <m/>
    <x v="35"/>
    <x v="0"/>
    <x v="553"/>
    <d v="2013-11-06T00:00:00"/>
    <x v="0"/>
    <x v="0"/>
    <m/>
    <s v="O Som e a Fúria presents"/>
    <x v="0"/>
    <x v="0"/>
    <m/>
    <x v="0"/>
    <x v="0"/>
    <x v="1885"/>
    <x v="35"/>
    <x v="0"/>
    <x v="0"/>
    <x v="553"/>
    <x v="5375"/>
  </r>
  <r>
    <x v="2"/>
    <n v="1657"/>
    <x v="1865"/>
    <x v="0"/>
    <s v="LM"/>
    <s v="N"/>
    <x v="1071"/>
    <x v="55"/>
    <x v="130"/>
    <m/>
    <x v="99"/>
    <m/>
    <x v="3"/>
    <x v="0"/>
    <x v="578"/>
    <m/>
    <x v="1"/>
    <x v="0"/>
    <m/>
    <m/>
    <x v="0"/>
    <x v="1"/>
    <m/>
    <x v="0"/>
    <x v="5"/>
    <x v="1886"/>
    <x v="3"/>
    <x v="0"/>
    <x v="1"/>
    <x v="578"/>
    <x v="5376"/>
  </r>
  <r>
    <x v="2"/>
    <n v="2070"/>
    <x v="1866"/>
    <x v="0"/>
    <s v="CM"/>
    <s v="N"/>
    <x v="1006"/>
    <x v="52"/>
    <x v="999"/>
    <m/>
    <x v="419"/>
    <m/>
    <x v="34"/>
    <x v="0"/>
    <x v="684"/>
    <d v="2013-11-07T00:00:00"/>
    <x v="0"/>
    <x v="1"/>
    <s v="Compétition Internationale de courts métrages - Programme 1"/>
    <m/>
    <x v="0"/>
    <x v="0"/>
    <m/>
    <x v="0"/>
    <x v="0"/>
    <x v="1887"/>
    <x v="34"/>
    <x v="0"/>
    <x v="0"/>
    <x v="684"/>
    <x v="5377"/>
  </r>
  <r>
    <x v="2"/>
    <n v="2070"/>
    <x v="1866"/>
    <x v="0"/>
    <s v="CM"/>
    <s v="N"/>
    <x v="1006"/>
    <x v="52"/>
    <x v="280"/>
    <m/>
    <x v="196"/>
    <m/>
    <x v="2"/>
    <x v="0"/>
    <x v="685"/>
    <d v="2013-12-08T00:00:00"/>
    <x v="11"/>
    <x v="1"/>
    <s v="Conmpétition Internationale: Courts et Moyens Métrages"/>
    <m/>
    <x v="0"/>
    <x v="0"/>
    <m/>
    <x v="0"/>
    <x v="0"/>
    <x v="1887"/>
    <x v="2"/>
    <x v="0"/>
    <x v="0"/>
    <x v="685"/>
    <x v="5378"/>
  </r>
  <r>
    <x v="2"/>
    <n v="623"/>
    <x v="435"/>
    <x v="1"/>
    <s v="LM"/>
    <s v="S"/>
    <x v="140"/>
    <x v="5"/>
    <x v="1000"/>
    <m/>
    <x v="447"/>
    <m/>
    <x v="3"/>
    <x v="0"/>
    <x v="682"/>
    <m/>
    <x v="7"/>
    <x v="0"/>
    <m/>
    <m/>
    <x v="0"/>
    <x v="1"/>
    <s v="Em 26 locais"/>
    <x v="0"/>
    <x v="1"/>
    <x v="437"/>
    <x v="3"/>
    <x v="0"/>
    <x v="1"/>
    <x v="682"/>
    <x v="5379"/>
  </r>
  <r>
    <x v="2"/>
    <n v="623"/>
    <x v="435"/>
    <x v="1"/>
    <s v="LM"/>
    <s v="S"/>
    <x v="140"/>
    <x v="5"/>
    <x v="846"/>
    <m/>
    <x v="417"/>
    <m/>
    <x v="11"/>
    <x v="0"/>
    <x v="535"/>
    <d v="2013-08-03T00:00:00"/>
    <x v="25"/>
    <x v="0"/>
    <m/>
    <s v="Focus Portugal: Contemporary Cinema"/>
    <x v="0"/>
    <x v="0"/>
    <m/>
    <x v="0"/>
    <x v="1"/>
    <x v="437"/>
    <x v="11"/>
    <x v="0"/>
    <x v="0"/>
    <x v="535"/>
    <x v="5380"/>
  </r>
  <r>
    <x v="2"/>
    <n v="623"/>
    <x v="435"/>
    <x v="1"/>
    <s v="LM"/>
    <s v="S"/>
    <x v="140"/>
    <x v="5"/>
    <x v="848"/>
    <m/>
    <x v="165"/>
    <m/>
    <x v="4"/>
    <x v="0"/>
    <x v="540"/>
    <d v="2013-09-01T00:00:00"/>
    <x v="20"/>
    <x v="0"/>
    <m/>
    <m/>
    <x v="0"/>
    <x v="1"/>
    <m/>
    <x v="0"/>
    <x v="1"/>
    <x v="437"/>
    <x v="4"/>
    <x v="0"/>
    <x v="0"/>
    <x v="540"/>
    <x v="5381"/>
  </r>
  <r>
    <x v="2"/>
    <n v="623"/>
    <x v="435"/>
    <x v="1"/>
    <s v="LM"/>
    <s v="S"/>
    <x v="140"/>
    <x v="5"/>
    <x v="871"/>
    <m/>
    <x v="391"/>
    <m/>
    <x v="1"/>
    <x v="0"/>
    <x v="498"/>
    <d v="2013-11-19T00:00:00"/>
    <x v="13"/>
    <x v="0"/>
    <m/>
    <s v="Saramago y el cine"/>
    <x v="0"/>
    <x v="1"/>
    <m/>
    <x v="0"/>
    <x v="1"/>
    <x v="437"/>
    <x v="1"/>
    <x v="0"/>
    <x v="0"/>
    <x v="498"/>
    <x v="5382"/>
  </r>
  <r>
    <x v="2"/>
    <n v="1619"/>
    <x v="1867"/>
    <x v="0"/>
    <s v="CM"/>
    <s v="N"/>
    <x v="1217"/>
    <x v="3"/>
    <x v="1001"/>
    <m/>
    <x v="24"/>
    <m/>
    <x v="3"/>
    <x v="0"/>
    <x v="686"/>
    <m/>
    <x v="15"/>
    <x v="1"/>
    <m/>
    <m/>
    <x v="0"/>
    <x v="1"/>
    <s v="CM de "/>
    <x v="0"/>
    <x v="0"/>
    <x v="1888"/>
    <x v="3"/>
    <x v="0"/>
    <x v="1"/>
    <x v="686"/>
    <x v="5383"/>
  </r>
  <r>
    <x v="2"/>
    <n v="629"/>
    <x v="439"/>
    <x v="0"/>
    <s v="LM"/>
    <s v="S"/>
    <x v="348"/>
    <x v="15"/>
    <x v="865"/>
    <m/>
    <x v="419"/>
    <m/>
    <x v="34"/>
    <x v="0"/>
    <x v="563"/>
    <d v="2013-02-28T00:00:00"/>
    <x v="18"/>
    <x v="0"/>
    <m/>
    <m/>
    <x v="0"/>
    <x v="1"/>
    <s v="Cinemathèque Suisse"/>
    <x v="0"/>
    <x v="5"/>
    <x v="441"/>
    <x v="34"/>
    <x v="0"/>
    <x v="0"/>
    <x v="563"/>
    <x v="5384"/>
  </r>
  <r>
    <x v="2"/>
    <n v="629"/>
    <x v="439"/>
    <x v="0"/>
    <s v="LM"/>
    <s v="S"/>
    <x v="348"/>
    <x v="15"/>
    <x v="1002"/>
    <m/>
    <x v="76"/>
    <m/>
    <x v="3"/>
    <x v="0"/>
    <x v="524"/>
    <d v="2013-05-03T00:00:00"/>
    <x v="4"/>
    <x v="0"/>
    <m/>
    <m/>
    <x v="0"/>
    <x v="1"/>
    <m/>
    <x v="0"/>
    <x v="5"/>
    <x v="441"/>
    <x v="3"/>
    <x v="0"/>
    <x v="1"/>
    <x v="524"/>
    <x v="5385"/>
  </r>
  <r>
    <x v="2"/>
    <n v="629"/>
    <x v="439"/>
    <x v="0"/>
    <s v="LM"/>
    <s v="S"/>
    <x v="348"/>
    <x v="15"/>
    <x v="846"/>
    <m/>
    <x v="417"/>
    <m/>
    <x v="11"/>
    <x v="0"/>
    <x v="535"/>
    <d v="2013-08-03T00:00:00"/>
    <x v="25"/>
    <x v="0"/>
    <m/>
    <s v="Focus Portugal: Pedro Costa"/>
    <x v="0"/>
    <x v="0"/>
    <m/>
    <x v="0"/>
    <x v="5"/>
    <x v="441"/>
    <x v="11"/>
    <x v="0"/>
    <x v="0"/>
    <x v="535"/>
    <x v="5386"/>
  </r>
  <r>
    <x v="2"/>
    <n v="629"/>
    <x v="439"/>
    <x v="0"/>
    <s v="LM"/>
    <s v="S"/>
    <x v="348"/>
    <x v="15"/>
    <x v="895"/>
    <m/>
    <x v="425"/>
    <m/>
    <x v="0"/>
    <x v="0"/>
    <x v="597"/>
    <d v="2013-09-14T00:00:00"/>
    <x v="9"/>
    <x v="0"/>
    <m/>
    <s v="Mostra Portugal Contemporânei"/>
    <x v="0"/>
    <x v="0"/>
    <m/>
    <x v="0"/>
    <x v="5"/>
    <x v="441"/>
    <x v="0"/>
    <x v="0"/>
    <x v="0"/>
    <x v="597"/>
    <x v="5387"/>
  </r>
  <r>
    <x v="2"/>
    <n v="629"/>
    <x v="439"/>
    <x v="0"/>
    <s v="LM"/>
    <s v="S"/>
    <x v="348"/>
    <x v="15"/>
    <x v="871"/>
    <m/>
    <x v="391"/>
    <m/>
    <x v="1"/>
    <x v="0"/>
    <x v="498"/>
    <d v="2013-11-19T00:00:00"/>
    <x v="13"/>
    <x v="0"/>
    <m/>
    <s v="País Invitado"/>
    <x v="0"/>
    <x v="1"/>
    <m/>
    <x v="0"/>
    <x v="5"/>
    <x v="441"/>
    <x v="1"/>
    <x v="0"/>
    <x v="0"/>
    <x v="498"/>
    <x v="5388"/>
  </r>
  <r>
    <x v="2"/>
    <n v="1934"/>
    <x v="1868"/>
    <x v="0"/>
    <s v="LM"/>
    <s v="S"/>
    <x v="159"/>
    <x v="52"/>
    <x v="946"/>
    <m/>
    <x v="24"/>
    <m/>
    <x v="3"/>
    <x v="0"/>
    <x v="635"/>
    <d v="2013-07-04T00:00:00"/>
    <x v="17"/>
    <x v="0"/>
    <m/>
    <m/>
    <x v="0"/>
    <x v="1"/>
    <m/>
    <x v="0"/>
    <x v="5"/>
    <x v="1889"/>
    <x v="3"/>
    <x v="0"/>
    <x v="1"/>
    <x v="635"/>
    <x v="5389"/>
  </r>
  <r>
    <x v="2"/>
    <n v="631"/>
    <x v="1236"/>
    <x v="2"/>
    <s v="CM"/>
    <s v="S"/>
    <x v="324"/>
    <x v="41"/>
    <x v="712"/>
    <m/>
    <x v="26"/>
    <m/>
    <x v="6"/>
    <x v="0"/>
    <x v="687"/>
    <d v="2013-01-20T00:00:00"/>
    <x v="15"/>
    <x v="1"/>
    <s v="Best of International 5"/>
    <m/>
    <x v="0"/>
    <x v="0"/>
    <m/>
    <x v="0"/>
    <x v="4"/>
    <x v="1244"/>
    <x v="6"/>
    <x v="0"/>
    <x v="0"/>
    <x v="687"/>
    <x v="5390"/>
  </r>
  <r>
    <x v="2"/>
    <n v="631"/>
    <x v="1236"/>
    <x v="2"/>
    <s v="CM"/>
    <s v="S"/>
    <x v="324"/>
    <x v="41"/>
    <x v="81"/>
    <m/>
    <x v="61"/>
    <m/>
    <x v="2"/>
    <x v="0"/>
    <x v="672"/>
    <d v="2013-02-09T00:00:00"/>
    <x v="1"/>
    <x v="1"/>
    <s v="Compétition Nationale F9"/>
    <s v="Écoles 2"/>
    <x v="0"/>
    <x v="0"/>
    <m/>
    <x v="0"/>
    <x v="4"/>
    <x v="1244"/>
    <x v="2"/>
    <x v="0"/>
    <x v="0"/>
    <x v="672"/>
    <x v="5391"/>
  </r>
  <r>
    <x v="2"/>
    <n v="631"/>
    <x v="1236"/>
    <x v="2"/>
    <s v="CM"/>
    <s v="S"/>
    <x v="324"/>
    <x v="41"/>
    <x v="358"/>
    <m/>
    <x v="240"/>
    <m/>
    <x v="58"/>
    <x v="0"/>
    <x v="523"/>
    <d v="2013-02-17T00:00:00"/>
    <x v="1"/>
    <x v="1"/>
    <s v="Compétition Internationale - Professionels: Best of Shorts 5"/>
    <m/>
    <x v="0"/>
    <x v="0"/>
    <m/>
    <x v="0"/>
    <x v="4"/>
    <x v="1244"/>
    <x v="58"/>
    <x v="0"/>
    <x v="0"/>
    <x v="523"/>
    <x v="5392"/>
  </r>
  <r>
    <x v="2"/>
    <n v="631"/>
    <x v="1236"/>
    <x v="2"/>
    <s v="CM"/>
    <s v="S"/>
    <x v="324"/>
    <x v="41"/>
    <x v="1003"/>
    <m/>
    <x v="28"/>
    <m/>
    <x v="8"/>
    <x v="0"/>
    <x v="688"/>
    <m/>
    <x v="1"/>
    <x v="0"/>
    <m/>
    <s v="Blok 1"/>
    <x v="0"/>
    <x v="1"/>
    <m/>
    <x v="0"/>
    <x v="4"/>
    <x v="1244"/>
    <x v="8"/>
    <x v="0"/>
    <x v="0"/>
    <x v="688"/>
    <x v="5393"/>
  </r>
  <r>
    <x v="2"/>
    <n v="631"/>
    <x v="1236"/>
    <x v="2"/>
    <s v="CM"/>
    <s v="S"/>
    <x v="324"/>
    <x v="41"/>
    <x v="765"/>
    <m/>
    <x v="383"/>
    <m/>
    <x v="2"/>
    <x v="0"/>
    <x v="552"/>
    <d v="2013-02-26T00:00:00"/>
    <x v="1"/>
    <x v="0"/>
    <m/>
    <s v="Thematique Les Monstres: Des rencontres monstres"/>
    <x v="0"/>
    <x v="0"/>
    <s v="Événements exceptionnels: Une exposition autour de &quot;Kali, le Petit Vampire&quot; (Service Culturel de Gentilly - 4 a 16/2, e Médiathéque d'Orly - 19/2 a 2/3)"/>
    <x v="0"/>
    <x v="4"/>
    <x v="1244"/>
    <x v="2"/>
    <x v="0"/>
    <x v="0"/>
    <x v="552"/>
    <x v="5394"/>
  </r>
  <r>
    <x v="2"/>
    <n v="631"/>
    <x v="1236"/>
    <x v="2"/>
    <s v="CM"/>
    <s v="S"/>
    <x v="324"/>
    <x v="41"/>
    <x v="879"/>
    <m/>
    <x v="306"/>
    <m/>
    <x v="2"/>
    <x v="0"/>
    <x v="580"/>
    <m/>
    <x v="1"/>
    <x v="0"/>
    <m/>
    <s v="Regina Pessoa et Abi Feijó"/>
    <x v="0"/>
    <x v="1"/>
    <m/>
    <x v="0"/>
    <x v="4"/>
    <x v="1244"/>
    <x v="2"/>
    <x v="0"/>
    <x v="0"/>
    <x v="580"/>
    <x v="5395"/>
  </r>
  <r>
    <x v="2"/>
    <n v="631"/>
    <x v="1236"/>
    <x v="2"/>
    <s v="CM"/>
    <s v="S"/>
    <x v="324"/>
    <x v="41"/>
    <x v="1004"/>
    <m/>
    <x v="448"/>
    <m/>
    <x v="1"/>
    <x v="0"/>
    <x v="689"/>
    <d v="2013-03-03T00:00:00"/>
    <x v="19"/>
    <x v="0"/>
    <m/>
    <s v="Cortos 1"/>
    <x v="0"/>
    <x v="1"/>
    <m/>
    <x v="0"/>
    <x v="4"/>
    <x v="1244"/>
    <x v="1"/>
    <x v="0"/>
    <x v="0"/>
    <x v="689"/>
    <x v="5396"/>
  </r>
  <r>
    <x v="2"/>
    <n v="631"/>
    <x v="1236"/>
    <x v="2"/>
    <s v="CM"/>
    <s v="S"/>
    <x v="324"/>
    <x v="41"/>
    <x v="26"/>
    <m/>
    <x v="24"/>
    <m/>
    <x v="3"/>
    <x v="0"/>
    <x v="571"/>
    <d v="2013-03-17T00:00:00"/>
    <x v="2"/>
    <x v="1"/>
    <s v="Competição SPAutores/Vasco Granja"/>
    <m/>
    <x v="68"/>
    <x v="0"/>
    <m/>
    <x v="1"/>
    <x v="4"/>
    <x v="1244"/>
    <x v="3"/>
    <x v="627"/>
    <x v="1"/>
    <x v="571"/>
    <x v="5397"/>
  </r>
  <r>
    <x v="2"/>
    <n v="631"/>
    <x v="1236"/>
    <x v="2"/>
    <s v="CM"/>
    <s v="S"/>
    <x v="324"/>
    <x v="41"/>
    <x v="1005"/>
    <m/>
    <x v="449"/>
    <m/>
    <x v="63"/>
    <x v="0"/>
    <x v="690"/>
    <d v="2013-03-16T00:00:00"/>
    <x v="2"/>
    <x v="0"/>
    <m/>
    <s v="Short Films: Panorama"/>
    <x v="0"/>
    <x v="0"/>
    <m/>
    <x v="0"/>
    <x v="4"/>
    <x v="1244"/>
    <x v="63"/>
    <x v="0"/>
    <x v="0"/>
    <x v="690"/>
    <x v="5398"/>
  </r>
  <r>
    <x v="2"/>
    <n v="631"/>
    <x v="1236"/>
    <x v="2"/>
    <s v="CM"/>
    <s v="S"/>
    <x v="324"/>
    <x v="41"/>
    <x v="31"/>
    <m/>
    <x v="29"/>
    <m/>
    <x v="2"/>
    <x v="0"/>
    <x v="680"/>
    <d v="2013-03-23T00:00:00"/>
    <x v="2"/>
    <x v="1"/>
    <s v="Compétition Courts Métrages - Programme 1"/>
    <m/>
    <x v="0"/>
    <x v="0"/>
    <m/>
    <x v="0"/>
    <x v="4"/>
    <x v="1244"/>
    <x v="2"/>
    <x v="0"/>
    <x v="0"/>
    <x v="680"/>
    <x v="5399"/>
  </r>
  <r>
    <x v="2"/>
    <n v="631"/>
    <x v="1236"/>
    <x v="2"/>
    <s v="CM"/>
    <s v="S"/>
    <x v="324"/>
    <x v="41"/>
    <x v="509"/>
    <m/>
    <x v="174"/>
    <m/>
    <x v="1"/>
    <x v="0"/>
    <x v="641"/>
    <d v="2013-04-28T00:00:00"/>
    <x v="5"/>
    <x v="1"/>
    <s v="Animación 4"/>
    <m/>
    <x v="0"/>
    <x v="0"/>
    <m/>
    <x v="0"/>
    <x v="4"/>
    <x v="1244"/>
    <x v="1"/>
    <x v="0"/>
    <x v="0"/>
    <x v="641"/>
    <x v="5400"/>
  </r>
  <r>
    <x v="2"/>
    <n v="631"/>
    <x v="1236"/>
    <x v="2"/>
    <s v="CM"/>
    <s v="S"/>
    <x v="324"/>
    <x v="41"/>
    <x v="487"/>
    <m/>
    <x v="295"/>
    <m/>
    <x v="10"/>
    <x v="0"/>
    <x v="641"/>
    <d v="2013-04-07T00:00:00"/>
    <x v="5"/>
    <x v="1"/>
    <s v="Short Competition: Short Films A"/>
    <m/>
    <x v="0"/>
    <x v="0"/>
    <m/>
    <x v="0"/>
    <x v="4"/>
    <x v="1244"/>
    <x v="10"/>
    <x v="0"/>
    <x v="0"/>
    <x v="641"/>
    <x v="5401"/>
  </r>
  <r>
    <x v="2"/>
    <n v="631"/>
    <x v="1236"/>
    <x v="2"/>
    <s v="CM"/>
    <s v="S"/>
    <x v="324"/>
    <x v="41"/>
    <x v="623"/>
    <m/>
    <x v="336"/>
    <m/>
    <x v="2"/>
    <x v="0"/>
    <x v="691"/>
    <d v="2013-04-12T00:00:00"/>
    <x v="5"/>
    <x v="1"/>
    <s v="Court-métrages d'animation - Programme 02 à partir de 7 ans"/>
    <m/>
    <x v="516"/>
    <x v="0"/>
    <m/>
    <x v="1"/>
    <x v="4"/>
    <x v="1244"/>
    <x v="2"/>
    <x v="628"/>
    <x v="0"/>
    <x v="691"/>
    <x v="5402"/>
  </r>
  <r>
    <x v="2"/>
    <n v="631"/>
    <x v="1236"/>
    <x v="2"/>
    <s v="CM"/>
    <s v="S"/>
    <x v="324"/>
    <x v="41"/>
    <x v="322"/>
    <m/>
    <x v="220"/>
    <m/>
    <x v="9"/>
    <x v="0"/>
    <x v="692"/>
    <d v="2013-04-14T00:00:00"/>
    <x v="5"/>
    <x v="1"/>
    <s v="International Competition Program 6"/>
    <m/>
    <x v="517"/>
    <x v="0"/>
    <m/>
    <x v="1"/>
    <x v="4"/>
    <x v="1244"/>
    <x v="9"/>
    <x v="629"/>
    <x v="0"/>
    <x v="692"/>
    <x v="5403"/>
  </r>
  <r>
    <x v="2"/>
    <n v="631"/>
    <x v="1236"/>
    <x v="2"/>
    <s v="CM"/>
    <s v="S"/>
    <x v="324"/>
    <x v="41"/>
    <x v="624"/>
    <m/>
    <x v="337"/>
    <m/>
    <x v="5"/>
    <x v="0"/>
    <x v="524"/>
    <d v="2013-04-28T00:00:00"/>
    <x v="5"/>
    <x v="1"/>
    <s v="Internationales Wettbewerb 2"/>
    <m/>
    <x v="0"/>
    <x v="0"/>
    <m/>
    <x v="0"/>
    <x v="4"/>
    <x v="1244"/>
    <x v="5"/>
    <x v="0"/>
    <x v="0"/>
    <x v="524"/>
    <x v="5404"/>
  </r>
  <r>
    <x v="2"/>
    <n v="631"/>
    <x v="1236"/>
    <x v="2"/>
    <s v="CM"/>
    <s v="S"/>
    <x v="324"/>
    <x v="41"/>
    <x v="1006"/>
    <m/>
    <x v="143"/>
    <m/>
    <x v="43"/>
    <x v="0"/>
    <x v="603"/>
    <d v="2013-04-28T00:00:00"/>
    <x v="5"/>
    <x v="1"/>
    <s v="Competition "/>
    <m/>
    <x v="0"/>
    <x v="0"/>
    <m/>
    <x v="0"/>
    <x v="4"/>
    <x v="1244"/>
    <x v="43"/>
    <x v="0"/>
    <x v="0"/>
    <x v="603"/>
    <x v="5405"/>
  </r>
  <r>
    <x v="2"/>
    <n v="631"/>
    <x v="1236"/>
    <x v="2"/>
    <s v="CM"/>
    <s v="S"/>
    <x v="324"/>
    <x v="41"/>
    <x v="574"/>
    <m/>
    <x v="322"/>
    <m/>
    <x v="9"/>
    <x v="0"/>
    <x v="612"/>
    <d v="2013-05-09T00:00:00"/>
    <x v="4"/>
    <x v="1"/>
    <s v="Golden Gate Awards Short Film Competition"/>
    <m/>
    <x v="518"/>
    <x v="0"/>
    <m/>
    <x v="1"/>
    <x v="4"/>
    <x v="1244"/>
    <x v="9"/>
    <x v="630"/>
    <x v="0"/>
    <x v="612"/>
    <x v="5406"/>
  </r>
  <r>
    <x v="2"/>
    <n v="631"/>
    <x v="1236"/>
    <x v="2"/>
    <s v="CM"/>
    <s v="S"/>
    <x v="324"/>
    <x v="41"/>
    <x v="590"/>
    <m/>
    <x v="328"/>
    <m/>
    <x v="11"/>
    <x v="0"/>
    <x v="613"/>
    <d v="2013-05-01T00:00:00"/>
    <x v="4"/>
    <x v="1"/>
    <s v="Competition Short Film B"/>
    <m/>
    <x v="0"/>
    <x v="0"/>
    <m/>
    <x v="0"/>
    <x v="4"/>
    <x v="1244"/>
    <x v="11"/>
    <x v="0"/>
    <x v="0"/>
    <x v="613"/>
    <x v="5407"/>
  </r>
  <r>
    <x v="2"/>
    <n v="631"/>
    <x v="1236"/>
    <x v="2"/>
    <s v="CM"/>
    <s v="S"/>
    <x v="324"/>
    <x v="41"/>
    <x v="1007"/>
    <m/>
    <x v="450"/>
    <m/>
    <x v="11"/>
    <x v="0"/>
    <x v="504"/>
    <d v="2013-05-08T00:00:00"/>
    <x v="6"/>
    <x v="1"/>
    <s v="International Competition of Short Films"/>
    <m/>
    <x v="0"/>
    <x v="0"/>
    <m/>
    <x v="0"/>
    <x v="4"/>
    <x v="1244"/>
    <x v="11"/>
    <x v="0"/>
    <x v="0"/>
    <x v="504"/>
    <x v="5408"/>
  </r>
  <r>
    <x v="2"/>
    <n v="631"/>
    <x v="1236"/>
    <x v="2"/>
    <s v="CM"/>
    <s v="S"/>
    <x v="324"/>
    <x v="41"/>
    <x v="169"/>
    <m/>
    <x v="129"/>
    <m/>
    <x v="1"/>
    <x v="0"/>
    <x v="693"/>
    <d v="2013-05-18T00:00:00"/>
    <x v="6"/>
    <x v="1"/>
    <s v="Certamen de cortometrajes"/>
    <m/>
    <x v="519"/>
    <x v="0"/>
    <m/>
    <x v="1"/>
    <x v="4"/>
    <x v="1244"/>
    <x v="1"/>
    <x v="631"/>
    <x v="0"/>
    <x v="693"/>
    <x v="5409"/>
  </r>
  <r>
    <x v="2"/>
    <n v="631"/>
    <x v="1236"/>
    <x v="2"/>
    <s v="CM"/>
    <s v="S"/>
    <x v="324"/>
    <x v="41"/>
    <x v="843"/>
    <m/>
    <x v="253"/>
    <m/>
    <x v="0"/>
    <x v="0"/>
    <x v="532"/>
    <d v="2013-05-26T00:00:00"/>
    <x v="6"/>
    <x v="0"/>
    <m/>
    <m/>
    <x v="0"/>
    <x v="1"/>
    <m/>
    <x v="0"/>
    <x v="4"/>
    <x v="1244"/>
    <x v="0"/>
    <x v="0"/>
    <x v="0"/>
    <x v="532"/>
    <x v="5410"/>
  </r>
  <r>
    <x v="2"/>
    <n v="631"/>
    <x v="1236"/>
    <x v="2"/>
    <s v="CM"/>
    <s v="S"/>
    <x v="324"/>
    <x v="41"/>
    <x v="844"/>
    <m/>
    <x v="0"/>
    <m/>
    <x v="0"/>
    <x v="0"/>
    <x v="533"/>
    <d v="2013-06-06T00:00:00"/>
    <x v="22"/>
    <x v="0"/>
    <m/>
    <m/>
    <x v="0"/>
    <x v="1"/>
    <m/>
    <x v="0"/>
    <x v="4"/>
    <x v="1244"/>
    <x v="0"/>
    <x v="0"/>
    <x v="0"/>
    <x v="533"/>
    <x v="5411"/>
  </r>
  <r>
    <x v="2"/>
    <n v="631"/>
    <x v="1236"/>
    <x v="2"/>
    <s v="CM"/>
    <s v="S"/>
    <x v="324"/>
    <x v="41"/>
    <x v="1008"/>
    <m/>
    <x v="451"/>
    <m/>
    <x v="50"/>
    <x v="0"/>
    <x v="508"/>
    <d v="2013-06-05T00:00:00"/>
    <x v="7"/>
    <x v="1"/>
    <s v="Kiki 3"/>
    <m/>
    <x v="0"/>
    <x v="0"/>
    <m/>
    <x v="0"/>
    <x v="4"/>
    <x v="1244"/>
    <x v="50"/>
    <x v="0"/>
    <x v="0"/>
    <x v="508"/>
    <x v="5412"/>
  </r>
  <r>
    <x v="2"/>
    <n v="631"/>
    <x v="1236"/>
    <x v="2"/>
    <s v="CM"/>
    <s v="S"/>
    <x v="324"/>
    <x v="41"/>
    <x v="1009"/>
    <m/>
    <x v="452"/>
    <m/>
    <x v="2"/>
    <x v="0"/>
    <x v="664"/>
    <d v="2013-06-15T00:00:00"/>
    <x v="7"/>
    <x v="0"/>
    <m/>
    <s v="L'écran des enfants 1"/>
    <x v="0"/>
    <x v="0"/>
    <m/>
    <x v="0"/>
    <x v="4"/>
    <x v="1244"/>
    <x v="2"/>
    <x v="0"/>
    <x v="0"/>
    <x v="664"/>
    <x v="5413"/>
  </r>
  <r>
    <x v="2"/>
    <n v="631"/>
    <x v="1236"/>
    <x v="2"/>
    <s v="CM"/>
    <s v="S"/>
    <x v="324"/>
    <x v="41"/>
    <x v="1010"/>
    <m/>
    <x v="94"/>
    <m/>
    <x v="6"/>
    <x v="0"/>
    <x v="562"/>
    <d v="2013-06-10T00:00:00"/>
    <x v="7"/>
    <x v="0"/>
    <m/>
    <s v="Melbourne Program"/>
    <x v="0"/>
    <x v="0"/>
    <m/>
    <x v="0"/>
    <x v="4"/>
    <x v="1244"/>
    <x v="6"/>
    <x v="0"/>
    <x v="0"/>
    <x v="562"/>
    <x v="5414"/>
  </r>
  <r>
    <x v="2"/>
    <n v="631"/>
    <x v="1236"/>
    <x v="2"/>
    <s v="CM"/>
    <s v="S"/>
    <x v="324"/>
    <x v="41"/>
    <x v="726"/>
    <m/>
    <x v="208"/>
    <m/>
    <x v="1"/>
    <x v="0"/>
    <x v="654"/>
    <d v="2013-06-16T00:00:00"/>
    <x v="7"/>
    <x v="1"/>
    <s v="Concurso Ibero-Americano - Programa V"/>
    <m/>
    <x v="0"/>
    <x v="0"/>
    <m/>
    <x v="0"/>
    <x v="4"/>
    <x v="1244"/>
    <x v="1"/>
    <x v="0"/>
    <x v="0"/>
    <x v="654"/>
    <x v="5415"/>
  </r>
  <r>
    <x v="2"/>
    <n v="631"/>
    <x v="1236"/>
    <x v="2"/>
    <s v="CM"/>
    <s v="S"/>
    <x v="324"/>
    <x v="41"/>
    <x v="756"/>
    <m/>
    <x v="379"/>
    <m/>
    <x v="1"/>
    <x v="0"/>
    <x v="558"/>
    <d v="2013-06-28T00:00:00"/>
    <x v="7"/>
    <x v="1"/>
    <s v="Sección Oficial Cortometrajes"/>
    <m/>
    <x v="0"/>
    <x v="0"/>
    <m/>
    <x v="0"/>
    <x v="4"/>
    <x v="1244"/>
    <x v="1"/>
    <x v="0"/>
    <x v="0"/>
    <x v="558"/>
    <x v="5416"/>
  </r>
  <r>
    <x v="2"/>
    <n v="631"/>
    <x v="1236"/>
    <x v="2"/>
    <s v="CM"/>
    <s v="S"/>
    <x v="324"/>
    <x v="41"/>
    <x v="222"/>
    <m/>
    <x v="24"/>
    <m/>
    <x v="3"/>
    <x v="0"/>
    <x v="539"/>
    <m/>
    <x v="8"/>
    <x v="1"/>
    <s v="Categoria Entretenimento"/>
    <m/>
    <x v="7"/>
    <x v="2"/>
    <m/>
    <x v="1"/>
    <x v="4"/>
    <x v="1244"/>
    <x v="3"/>
    <x v="632"/>
    <x v="1"/>
    <x v="539"/>
    <x v="5417"/>
  </r>
  <r>
    <x v="2"/>
    <n v="631"/>
    <x v="1236"/>
    <x v="2"/>
    <s v="CM"/>
    <s v="S"/>
    <x v="324"/>
    <x v="41"/>
    <x v="968"/>
    <m/>
    <x v="439"/>
    <m/>
    <x v="15"/>
    <x v="0"/>
    <x v="601"/>
    <d v="2013-07-28T00:00:00"/>
    <x v="8"/>
    <x v="1"/>
    <s v="In Concorso Generator+18"/>
    <m/>
    <x v="0"/>
    <x v="0"/>
    <m/>
    <x v="0"/>
    <x v="4"/>
    <x v="1244"/>
    <x v="15"/>
    <x v="0"/>
    <x v="0"/>
    <x v="601"/>
    <x v="5418"/>
  </r>
  <r>
    <x v="2"/>
    <n v="631"/>
    <x v="1236"/>
    <x v="2"/>
    <s v="CM"/>
    <s v="S"/>
    <x v="324"/>
    <x v="41"/>
    <x v="220"/>
    <m/>
    <x v="154"/>
    <m/>
    <x v="0"/>
    <x v="0"/>
    <x v="566"/>
    <d v="2013-08-18T00:00:00"/>
    <x v="16"/>
    <x v="0"/>
    <m/>
    <s v="Papo Animado"/>
    <x v="0"/>
    <x v="0"/>
    <m/>
    <x v="0"/>
    <x v="4"/>
    <x v="1244"/>
    <x v="0"/>
    <x v="0"/>
    <x v="0"/>
    <x v="566"/>
    <x v="5419"/>
  </r>
  <r>
    <x v="2"/>
    <n v="631"/>
    <x v="1236"/>
    <x v="2"/>
    <s v="CM"/>
    <s v="S"/>
    <x v="324"/>
    <x v="41"/>
    <x v="895"/>
    <m/>
    <x v="425"/>
    <m/>
    <x v="0"/>
    <x v="0"/>
    <x v="597"/>
    <d v="2013-09-14T00:00:00"/>
    <x v="9"/>
    <x v="0"/>
    <m/>
    <s v="Mostra Portugal Contemporânei"/>
    <x v="0"/>
    <x v="0"/>
    <m/>
    <x v="0"/>
    <x v="4"/>
    <x v="1244"/>
    <x v="0"/>
    <x v="0"/>
    <x v="0"/>
    <x v="597"/>
    <x v="5420"/>
  </r>
  <r>
    <x v="2"/>
    <n v="631"/>
    <x v="1236"/>
    <x v="2"/>
    <s v="CM"/>
    <s v="S"/>
    <x v="324"/>
    <x v="41"/>
    <x v="353"/>
    <m/>
    <x v="237"/>
    <m/>
    <x v="17"/>
    <x v="0"/>
    <x v="543"/>
    <d v="2013-09-22T00:00:00"/>
    <x v="9"/>
    <x v="0"/>
    <m/>
    <s v="Cartoon d'Or 2013"/>
    <x v="0"/>
    <x v="0"/>
    <m/>
    <x v="0"/>
    <x v="4"/>
    <x v="1244"/>
    <x v="17"/>
    <x v="0"/>
    <x v="0"/>
    <x v="543"/>
    <x v="5421"/>
  </r>
  <r>
    <x v="2"/>
    <n v="631"/>
    <x v="1236"/>
    <x v="2"/>
    <s v="CM"/>
    <s v="S"/>
    <x v="324"/>
    <x v="41"/>
    <x v="859"/>
    <m/>
    <x v="420"/>
    <m/>
    <x v="0"/>
    <x v="0"/>
    <x v="559"/>
    <d v="2013-09-29T00:00:00"/>
    <x v="9"/>
    <x v="0"/>
    <m/>
    <s v="Mostra Animação - Ani IV"/>
    <x v="0"/>
    <x v="0"/>
    <m/>
    <x v="0"/>
    <x v="4"/>
    <x v="1244"/>
    <x v="0"/>
    <x v="0"/>
    <x v="0"/>
    <x v="559"/>
    <x v="5422"/>
  </r>
  <r>
    <x v="2"/>
    <n v="631"/>
    <x v="1236"/>
    <x v="2"/>
    <s v="CM"/>
    <s v="S"/>
    <x v="324"/>
    <x v="41"/>
    <x v="627"/>
    <m/>
    <x v="24"/>
    <m/>
    <x v="3"/>
    <x v="0"/>
    <x v="651"/>
    <m/>
    <x v="14"/>
    <x v="0"/>
    <m/>
    <m/>
    <x v="60"/>
    <x v="2"/>
    <m/>
    <x v="1"/>
    <x v="4"/>
    <x v="1244"/>
    <x v="3"/>
    <x v="633"/>
    <x v="1"/>
    <x v="651"/>
    <x v="5423"/>
  </r>
  <r>
    <x v="2"/>
    <n v="631"/>
    <x v="1236"/>
    <x v="2"/>
    <s v="CM"/>
    <s v="S"/>
    <x v="324"/>
    <x v="41"/>
    <x v="928"/>
    <m/>
    <x v="78"/>
    <m/>
    <x v="20"/>
    <x v="0"/>
    <x v="528"/>
    <d v="2013-10-20T00:00:00"/>
    <x v="14"/>
    <x v="1"/>
    <s v="World Shorts: Programme 3"/>
    <m/>
    <x v="0"/>
    <x v="0"/>
    <m/>
    <x v="0"/>
    <x v="4"/>
    <x v="1244"/>
    <x v="20"/>
    <x v="0"/>
    <x v="0"/>
    <x v="528"/>
    <x v="5424"/>
  </r>
  <r>
    <x v="2"/>
    <n v="631"/>
    <x v="1236"/>
    <x v="2"/>
    <s v="CM"/>
    <s v="S"/>
    <x v="324"/>
    <x v="41"/>
    <x v="872"/>
    <m/>
    <x v="422"/>
    <m/>
    <x v="3"/>
    <x v="0"/>
    <x v="518"/>
    <d v="2013-10-26T00:00:00"/>
    <x v="14"/>
    <x v="1"/>
    <s v="Sessão Competitina nº 1"/>
    <m/>
    <x v="0"/>
    <x v="0"/>
    <m/>
    <x v="0"/>
    <x v="4"/>
    <x v="1244"/>
    <x v="3"/>
    <x v="0"/>
    <x v="1"/>
    <x v="518"/>
    <x v="5425"/>
  </r>
  <r>
    <x v="2"/>
    <n v="631"/>
    <x v="1236"/>
    <x v="2"/>
    <s v="CM"/>
    <s v="S"/>
    <x v="324"/>
    <x v="41"/>
    <x v="880"/>
    <m/>
    <x v="298"/>
    <m/>
    <x v="15"/>
    <x v="0"/>
    <x v="553"/>
    <d v="2013-10-30T00:00:00"/>
    <x v="14"/>
    <x v="0"/>
    <m/>
    <s v="Regina Pessoa e Abi Feijó: la regina dell'animazione e il suo maestro - La Trilogia"/>
    <x v="0"/>
    <x v="0"/>
    <m/>
    <x v="0"/>
    <x v="4"/>
    <x v="1244"/>
    <x v="15"/>
    <x v="0"/>
    <x v="0"/>
    <x v="553"/>
    <x v="5426"/>
  </r>
  <r>
    <x v="2"/>
    <n v="631"/>
    <x v="1236"/>
    <x v="2"/>
    <s v="CM"/>
    <s v="S"/>
    <x v="324"/>
    <x v="41"/>
    <x v="983"/>
    <m/>
    <x v="293"/>
    <m/>
    <x v="64"/>
    <x v="0"/>
    <x v="544"/>
    <d v="2013-11-09T00:00:00"/>
    <x v="13"/>
    <x v="1"/>
    <s v="Main Competition"/>
    <m/>
    <x v="0"/>
    <x v="0"/>
    <m/>
    <x v="0"/>
    <x v="4"/>
    <x v="1244"/>
    <x v="64"/>
    <x v="0"/>
    <x v="0"/>
    <x v="544"/>
    <x v="5427"/>
  </r>
  <r>
    <x v="2"/>
    <n v="631"/>
    <x v="1236"/>
    <x v="2"/>
    <s v="CM"/>
    <s v="S"/>
    <x v="324"/>
    <x v="41"/>
    <x v="512"/>
    <m/>
    <x v="307"/>
    <m/>
    <x v="1"/>
    <x v="0"/>
    <x v="519"/>
    <d v="2013-11-17T00:00:00"/>
    <x v="13"/>
    <x v="1"/>
    <s v="Internacional 9"/>
    <m/>
    <x v="0"/>
    <x v="0"/>
    <m/>
    <x v="0"/>
    <x v="4"/>
    <x v="1244"/>
    <x v="1"/>
    <x v="0"/>
    <x v="0"/>
    <x v="519"/>
    <x v="5428"/>
  </r>
  <r>
    <x v="2"/>
    <n v="631"/>
    <x v="1236"/>
    <x v="2"/>
    <s v="CM"/>
    <s v="S"/>
    <x v="324"/>
    <x v="41"/>
    <x v="1011"/>
    <m/>
    <x v="20"/>
    <m/>
    <x v="5"/>
    <x v="0"/>
    <x v="694"/>
    <d v="2013-11-17T00:00:00"/>
    <x v="13"/>
    <x v="1"/>
    <s v="Teenscreen@KUKI ab 14"/>
    <s v="What`s Up? - Sprachprogramm Englisch für Jugendliche ab 14 Jahren"/>
    <x v="0"/>
    <x v="0"/>
    <m/>
    <x v="0"/>
    <x v="4"/>
    <x v="1244"/>
    <x v="5"/>
    <x v="0"/>
    <x v="0"/>
    <x v="694"/>
    <x v="5429"/>
  </r>
  <r>
    <x v="2"/>
    <n v="631"/>
    <x v="1236"/>
    <x v="2"/>
    <s v="CM"/>
    <s v="S"/>
    <x v="324"/>
    <x v="41"/>
    <x v="834"/>
    <m/>
    <x v="20"/>
    <m/>
    <x v="5"/>
    <x v="0"/>
    <x v="513"/>
    <d v="2013-11-17T00:00:00"/>
    <x v="13"/>
    <x v="1"/>
    <s v="Internationaler Wettbewerb - Animated 1: Visionen"/>
    <m/>
    <x v="0"/>
    <x v="0"/>
    <m/>
    <x v="0"/>
    <x v="4"/>
    <x v="1244"/>
    <x v="5"/>
    <x v="0"/>
    <x v="0"/>
    <x v="513"/>
    <x v="5430"/>
  </r>
  <r>
    <x v="2"/>
    <n v="631"/>
    <x v="1236"/>
    <x v="2"/>
    <s v="CM"/>
    <s v="S"/>
    <x v="324"/>
    <x v="41"/>
    <x v="881"/>
    <m/>
    <x v="423"/>
    <m/>
    <x v="18"/>
    <x v="0"/>
    <x v="581"/>
    <d v="2013-11-26T00:00:00"/>
    <x v="13"/>
    <x v="0"/>
    <m/>
    <s v="Regina Pessoa Retrospective"/>
    <x v="0"/>
    <x v="0"/>
    <m/>
    <x v="0"/>
    <x v="4"/>
    <x v="1244"/>
    <x v="18"/>
    <x v="0"/>
    <x v="0"/>
    <x v="581"/>
    <x v="5431"/>
  </r>
  <r>
    <x v="2"/>
    <n v="631"/>
    <x v="1236"/>
    <x v="2"/>
    <s v="CM"/>
    <s v="S"/>
    <x v="324"/>
    <x v="41"/>
    <x v="905"/>
    <m/>
    <x v="61"/>
    <m/>
    <x v="2"/>
    <x v="0"/>
    <x v="509"/>
    <d v="2013-12-01T00:00:00"/>
    <x v="11"/>
    <x v="0"/>
    <m/>
    <s v="Ida e Volta: Hommage au Portugal"/>
    <x v="0"/>
    <x v="0"/>
    <m/>
    <x v="0"/>
    <x v="4"/>
    <x v="1244"/>
    <x v="2"/>
    <x v="0"/>
    <x v="0"/>
    <x v="509"/>
    <x v="5432"/>
  </r>
  <r>
    <x v="2"/>
    <n v="631"/>
    <x v="1236"/>
    <x v="2"/>
    <s v="CM"/>
    <s v="S"/>
    <x v="324"/>
    <x v="41"/>
    <x v="1012"/>
    <m/>
    <x v="292"/>
    <m/>
    <x v="22"/>
    <x v="0"/>
    <x v="695"/>
    <d v="2013-12-08T00:00:00"/>
    <x v="12"/>
    <x v="0"/>
    <m/>
    <s v="Cartoon d'Or 2013"/>
    <x v="0"/>
    <x v="0"/>
    <m/>
    <x v="0"/>
    <x v="4"/>
    <x v="1244"/>
    <x v="22"/>
    <x v="0"/>
    <x v="0"/>
    <x v="695"/>
    <x v="5433"/>
  </r>
  <r>
    <x v="2"/>
    <n v="645"/>
    <x v="1241"/>
    <x v="0"/>
    <s v="CM"/>
    <s v="N"/>
    <x v="834"/>
    <x v="41"/>
    <x v="973"/>
    <m/>
    <x v="440"/>
    <m/>
    <x v="51"/>
    <x v="0"/>
    <x v="612"/>
    <d v="2013-04-28T00:00:00"/>
    <x v="5"/>
    <x v="1"/>
    <s v="International Competition IV"/>
    <m/>
    <x v="0"/>
    <x v="0"/>
    <m/>
    <x v="0"/>
    <x v="0"/>
    <x v="1249"/>
    <x v="51"/>
    <x v="0"/>
    <x v="0"/>
    <x v="612"/>
    <x v="5434"/>
  </r>
  <r>
    <x v="2"/>
    <n v="645"/>
    <x v="1241"/>
    <x v="0"/>
    <s v="CM"/>
    <s v="N"/>
    <x v="834"/>
    <x v="41"/>
    <x v="826"/>
    <m/>
    <x v="24"/>
    <m/>
    <x v="3"/>
    <x v="0"/>
    <x v="505"/>
    <d v="2013-09-29T00:00:00"/>
    <x v="9"/>
    <x v="1"/>
    <m/>
    <m/>
    <x v="0"/>
    <x v="0"/>
    <m/>
    <x v="0"/>
    <x v="0"/>
    <x v="1249"/>
    <x v="3"/>
    <x v="0"/>
    <x v="1"/>
    <x v="505"/>
    <x v="5435"/>
  </r>
  <r>
    <x v="2"/>
    <n v="646"/>
    <x v="1242"/>
    <x v="0"/>
    <s v="LM"/>
    <s v="S"/>
    <x v="158"/>
    <x v="2"/>
    <x v="844"/>
    <m/>
    <x v="0"/>
    <m/>
    <x v="0"/>
    <x v="0"/>
    <x v="533"/>
    <d v="2013-06-06T00:00:00"/>
    <x v="22"/>
    <x v="0"/>
    <m/>
    <m/>
    <x v="0"/>
    <x v="1"/>
    <m/>
    <x v="0"/>
    <x v="5"/>
    <x v="1250"/>
    <x v="0"/>
    <x v="0"/>
    <x v="0"/>
    <x v="533"/>
    <x v="5436"/>
  </r>
  <r>
    <x v="2"/>
    <n v="1658"/>
    <x v="1869"/>
    <x v="1"/>
    <s v="CM"/>
    <s v=""/>
    <x v="1218"/>
    <x v="0"/>
    <x v="1013"/>
    <m/>
    <x v="23"/>
    <m/>
    <x v="3"/>
    <x v="0"/>
    <x v="507"/>
    <m/>
    <x v="15"/>
    <x v="0"/>
    <m/>
    <m/>
    <x v="0"/>
    <x v="1"/>
    <m/>
    <x v="0"/>
    <x v="2"/>
    <x v="1890"/>
    <x v="3"/>
    <x v="0"/>
    <x v="1"/>
    <x v="507"/>
    <x v="5437"/>
  </r>
  <r>
    <x v="2"/>
    <n v="1769"/>
    <x v="1870"/>
    <x v="1"/>
    <s v="LM"/>
    <s v="S"/>
    <x v="827"/>
    <x v="52"/>
    <x v="146"/>
    <m/>
    <x v="24"/>
    <m/>
    <x v="3"/>
    <x v="0"/>
    <x v="537"/>
    <d v="2013-04-28T00:00:00"/>
    <x v="5"/>
    <x v="1"/>
    <s v="Competição Internacional, Competição Nacional"/>
    <m/>
    <x v="520"/>
    <x v="0"/>
    <m/>
    <x v="1"/>
    <x v="1"/>
    <x v="1891"/>
    <x v="3"/>
    <x v="634"/>
    <x v="1"/>
    <x v="537"/>
    <x v="5438"/>
  </r>
  <r>
    <x v="2"/>
    <n v="1769"/>
    <x v="1870"/>
    <x v="1"/>
    <s v="LM"/>
    <s v="S"/>
    <x v="827"/>
    <x v="52"/>
    <x v="129"/>
    <m/>
    <x v="12"/>
    <m/>
    <x v="2"/>
    <x v="0"/>
    <x v="539"/>
    <d v="2013-07-08T00:00:00"/>
    <x v="8"/>
    <x v="1"/>
    <s v="Compétition Internationale"/>
    <m/>
    <x v="0"/>
    <x v="0"/>
    <m/>
    <x v="0"/>
    <x v="1"/>
    <x v="1891"/>
    <x v="2"/>
    <x v="0"/>
    <x v="0"/>
    <x v="539"/>
    <x v="5439"/>
  </r>
  <r>
    <x v="2"/>
    <n v="1769"/>
    <x v="1870"/>
    <x v="1"/>
    <s v="LM"/>
    <s v="S"/>
    <x v="827"/>
    <x v="52"/>
    <x v="938"/>
    <m/>
    <x v="165"/>
    <m/>
    <x v="4"/>
    <x v="0"/>
    <x v="636"/>
    <d v="2013-09-22T00:00:00"/>
    <x v="9"/>
    <x v="1"/>
    <s v="Competenncia Largometrajes Internacionales"/>
    <m/>
    <x v="0"/>
    <x v="0"/>
    <m/>
    <x v="0"/>
    <x v="1"/>
    <x v="1891"/>
    <x v="4"/>
    <x v="0"/>
    <x v="0"/>
    <x v="636"/>
    <x v="5440"/>
  </r>
  <r>
    <x v="2"/>
    <n v="1769"/>
    <x v="1870"/>
    <x v="1"/>
    <s v="LM"/>
    <s v="S"/>
    <x v="827"/>
    <x v="52"/>
    <x v="1014"/>
    <m/>
    <x v="190"/>
    <m/>
    <x v="0"/>
    <x v="0"/>
    <x v="559"/>
    <d v="2013-09-27T00:00:00"/>
    <x v="9"/>
    <x v="0"/>
    <m/>
    <s v="Mostra Principal: Longas-Metragens Internacionais"/>
    <x v="0"/>
    <x v="0"/>
    <m/>
    <x v="0"/>
    <x v="1"/>
    <x v="1891"/>
    <x v="0"/>
    <x v="0"/>
    <x v="0"/>
    <x v="559"/>
    <x v="5441"/>
  </r>
  <r>
    <x v="2"/>
    <n v="1769"/>
    <x v="1870"/>
    <x v="1"/>
    <s v="LM"/>
    <s v="S"/>
    <x v="827"/>
    <x v="52"/>
    <x v="188"/>
    <m/>
    <x v="0"/>
    <m/>
    <x v="0"/>
    <x v="0"/>
    <x v="505"/>
    <d v="2013-10-10T00:00:00"/>
    <x v="10"/>
    <x v="0"/>
    <m/>
    <s v="Expectativa 2013: Vanguarda"/>
    <x v="0"/>
    <x v="0"/>
    <m/>
    <x v="0"/>
    <x v="1"/>
    <x v="1891"/>
    <x v="0"/>
    <x v="0"/>
    <x v="0"/>
    <x v="505"/>
    <x v="5442"/>
  </r>
  <r>
    <x v="2"/>
    <n v="1769"/>
    <x v="1870"/>
    <x v="1"/>
    <s v="LM"/>
    <s v="S"/>
    <x v="827"/>
    <x v="52"/>
    <x v="149"/>
    <m/>
    <x v="114"/>
    <m/>
    <x v="35"/>
    <x v="0"/>
    <x v="553"/>
    <d v="2013-11-06T00:00:00"/>
    <x v="0"/>
    <x v="0"/>
    <m/>
    <s v="Dokumentarfilme"/>
    <x v="0"/>
    <x v="0"/>
    <m/>
    <x v="0"/>
    <x v="1"/>
    <x v="1891"/>
    <x v="35"/>
    <x v="0"/>
    <x v="0"/>
    <x v="553"/>
    <x v="5443"/>
  </r>
  <r>
    <x v="2"/>
    <n v="1769"/>
    <x v="1870"/>
    <x v="1"/>
    <s v="LM"/>
    <s v="S"/>
    <x v="827"/>
    <x v="52"/>
    <x v="492"/>
    <m/>
    <x v="128"/>
    <m/>
    <x v="1"/>
    <x v="0"/>
    <x v="519"/>
    <d v="2013-11-16T00:00:00"/>
    <x v="13"/>
    <x v="1"/>
    <s v="Las Nuevas Olas: No Ficción"/>
    <m/>
    <x v="0"/>
    <x v="0"/>
    <m/>
    <x v="0"/>
    <x v="1"/>
    <x v="1891"/>
    <x v="1"/>
    <x v="0"/>
    <x v="0"/>
    <x v="519"/>
    <x v="5444"/>
  </r>
  <r>
    <x v="2"/>
    <n v="1769"/>
    <x v="1870"/>
    <x v="1"/>
    <s v="LM"/>
    <s v="S"/>
    <x v="827"/>
    <x v="52"/>
    <x v="909"/>
    <m/>
    <x v="246"/>
    <m/>
    <x v="24"/>
    <x v="0"/>
    <x v="498"/>
    <d v="2013-11-18T00:00:00"/>
    <x v="13"/>
    <x v="0"/>
    <m/>
    <s v="Re: Versus"/>
    <x v="0"/>
    <x v="0"/>
    <m/>
    <x v="0"/>
    <x v="1"/>
    <x v="1891"/>
    <x v="24"/>
    <x v="0"/>
    <x v="0"/>
    <x v="498"/>
    <x v="5445"/>
  </r>
  <r>
    <x v="2"/>
    <n v="1769"/>
    <x v="1870"/>
    <x v="1"/>
    <s v="LM"/>
    <s v="S"/>
    <x v="827"/>
    <x v="52"/>
    <x v="860"/>
    <m/>
    <x v="6"/>
    <m/>
    <x v="4"/>
    <x v="0"/>
    <x v="467"/>
    <d v="2013-11-24T00:00:00"/>
    <x v="13"/>
    <x v="0"/>
    <m/>
    <s v="Portugal Alterado: Las últimas películas"/>
    <x v="0"/>
    <x v="0"/>
    <m/>
    <x v="0"/>
    <x v="1"/>
    <x v="1891"/>
    <x v="4"/>
    <x v="0"/>
    <x v="0"/>
    <x v="467"/>
    <x v="5446"/>
  </r>
  <r>
    <x v="2"/>
    <n v="1769"/>
    <x v="1870"/>
    <x v="1"/>
    <s v="LM"/>
    <s v="S"/>
    <x v="827"/>
    <x v="52"/>
    <x v="890"/>
    <m/>
    <x v="319"/>
    <m/>
    <x v="1"/>
    <x v="0"/>
    <x v="594"/>
    <d v="2013-12-13T00:00:00"/>
    <x v="11"/>
    <x v="0"/>
    <m/>
    <m/>
    <x v="0"/>
    <x v="1"/>
    <s v="No CGAI"/>
    <x v="0"/>
    <x v="1"/>
    <x v="1891"/>
    <x v="1"/>
    <x v="0"/>
    <x v="0"/>
    <x v="594"/>
    <x v="5447"/>
  </r>
  <r>
    <x v="2"/>
    <n v="1769"/>
    <x v="1870"/>
    <x v="1"/>
    <s v="LM"/>
    <s v="S"/>
    <x v="827"/>
    <x v="52"/>
    <x v="830"/>
    <m/>
    <x v="412"/>
    <m/>
    <x v="0"/>
    <x v="0"/>
    <x v="509"/>
    <d v="2013-11-30T00:00:00"/>
    <x v="13"/>
    <x v="0"/>
    <m/>
    <s v="Rodacine"/>
    <x v="0"/>
    <x v="0"/>
    <m/>
    <x v="0"/>
    <x v="1"/>
    <x v="1891"/>
    <x v="0"/>
    <x v="0"/>
    <x v="0"/>
    <x v="509"/>
    <x v="5448"/>
  </r>
  <r>
    <x v="2"/>
    <n v="651"/>
    <x v="1246"/>
    <x v="2"/>
    <s v="CM"/>
    <s v=""/>
    <x v="92"/>
    <x v="41"/>
    <x v="1015"/>
    <m/>
    <x v="453"/>
    <m/>
    <x v="55"/>
    <x v="0"/>
    <x v="687"/>
    <d v="2013-01-13T00:00:00"/>
    <x v="15"/>
    <x v="1"/>
    <m/>
    <m/>
    <x v="0"/>
    <x v="0"/>
    <m/>
    <x v="0"/>
    <x v="4"/>
    <x v="1254"/>
    <x v="55"/>
    <x v="0"/>
    <x v="0"/>
    <x v="687"/>
    <x v="5449"/>
  </r>
  <r>
    <x v="2"/>
    <n v="651"/>
    <x v="1246"/>
    <x v="2"/>
    <s v="CM"/>
    <s v=""/>
    <x v="92"/>
    <x v="41"/>
    <x v="62"/>
    <m/>
    <x v="23"/>
    <m/>
    <x v="3"/>
    <x v="0"/>
    <x v="503"/>
    <d v="2013-03-10T00:00:00"/>
    <x v="19"/>
    <x v="0"/>
    <m/>
    <s v="FANTAS em curtas: Cineclube de Avanca"/>
    <x v="0"/>
    <x v="0"/>
    <m/>
    <x v="0"/>
    <x v="4"/>
    <x v="1254"/>
    <x v="3"/>
    <x v="0"/>
    <x v="1"/>
    <x v="503"/>
    <x v="5450"/>
  </r>
  <r>
    <x v="2"/>
    <n v="651"/>
    <x v="1246"/>
    <x v="2"/>
    <s v="CM"/>
    <s v=""/>
    <x v="92"/>
    <x v="41"/>
    <x v="62"/>
    <m/>
    <x v="23"/>
    <m/>
    <x v="3"/>
    <x v="0"/>
    <x v="503"/>
    <d v="2013-03-10T00:00:00"/>
    <x v="19"/>
    <x v="0"/>
    <m/>
    <s v="FANTAS em curtas: Cineclube de Avanca"/>
    <x v="0"/>
    <x v="0"/>
    <m/>
    <x v="0"/>
    <x v="4"/>
    <x v="1254"/>
    <x v="3"/>
    <x v="0"/>
    <x v="1"/>
    <x v="503"/>
    <x v="5451"/>
  </r>
  <r>
    <x v="2"/>
    <n v="651"/>
    <x v="1246"/>
    <x v="2"/>
    <s v="CM"/>
    <s v=""/>
    <x v="92"/>
    <x v="41"/>
    <x v="26"/>
    <m/>
    <x v="24"/>
    <m/>
    <x v="3"/>
    <x v="0"/>
    <x v="571"/>
    <d v="2013-03-17T00:00:00"/>
    <x v="2"/>
    <x v="1"/>
    <s v="Competição SPAutores/Vasco Granja"/>
    <m/>
    <x v="0"/>
    <x v="0"/>
    <m/>
    <x v="0"/>
    <x v="4"/>
    <x v="1254"/>
    <x v="3"/>
    <x v="0"/>
    <x v="1"/>
    <x v="571"/>
    <x v="5452"/>
  </r>
  <r>
    <x v="2"/>
    <n v="651"/>
    <x v="1246"/>
    <x v="2"/>
    <s v="CM"/>
    <s v=""/>
    <x v="92"/>
    <x v="41"/>
    <x v="916"/>
    <m/>
    <x v="428"/>
    <m/>
    <x v="50"/>
    <x v="0"/>
    <x v="612"/>
    <d v="2013-04-28T00:00:00"/>
    <x v="5"/>
    <x v="0"/>
    <m/>
    <s v="VAFI Senior 14+"/>
    <x v="0"/>
    <x v="0"/>
    <m/>
    <x v="0"/>
    <x v="4"/>
    <x v="1254"/>
    <x v="50"/>
    <x v="0"/>
    <x v="0"/>
    <x v="612"/>
    <x v="5453"/>
  </r>
  <r>
    <x v="2"/>
    <n v="651"/>
    <x v="1246"/>
    <x v="2"/>
    <s v="CM"/>
    <s v=""/>
    <x v="92"/>
    <x v="41"/>
    <x v="958"/>
    <m/>
    <x v="311"/>
    <m/>
    <x v="61"/>
    <x v="0"/>
    <x v="633"/>
    <d v="2013-05-12T00:00:00"/>
    <x v="6"/>
    <x v="1"/>
    <s v="Competencia Cortometrajes Internacionales"/>
    <m/>
    <x v="0"/>
    <x v="0"/>
    <m/>
    <x v="0"/>
    <x v="4"/>
    <x v="1254"/>
    <x v="61"/>
    <x v="0"/>
    <x v="0"/>
    <x v="633"/>
    <x v="5454"/>
  </r>
  <r>
    <x v="2"/>
    <n v="1422"/>
    <x v="1247"/>
    <x v="0"/>
    <s v="CM"/>
    <s v="N"/>
    <x v="837"/>
    <x v="41"/>
    <x v="30"/>
    <m/>
    <x v="28"/>
    <m/>
    <x v="8"/>
    <x v="0"/>
    <x v="557"/>
    <d v="2013-03-17T00:00:00"/>
    <x v="2"/>
    <x v="1"/>
    <s v="European Competition"/>
    <m/>
    <x v="0"/>
    <x v="0"/>
    <m/>
    <x v="0"/>
    <x v="0"/>
    <x v="1255"/>
    <x v="8"/>
    <x v="0"/>
    <x v="0"/>
    <x v="557"/>
    <x v="5455"/>
  </r>
  <r>
    <x v="2"/>
    <n v="1422"/>
    <x v="1247"/>
    <x v="0"/>
    <s v="CM"/>
    <s v="N"/>
    <x v="837"/>
    <x v="41"/>
    <x v="509"/>
    <m/>
    <x v="174"/>
    <m/>
    <x v="1"/>
    <x v="0"/>
    <x v="641"/>
    <d v="2013-04-28T00:00:00"/>
    <x v="5"/>
    <x v="1"/>
    <s v="Oblíqua 1"/>
    <m/>
    <x v="0"/>
    <x v="0"/>
    <m/>
    <x v="0"/>
    <x v="0"/>
    <x v="1255"/>
    <x v="1"/>
    <x v="0"/>
    <x v="0"/>
    <x v="641"/>
    <x v="5456"/>
  </r>
  <r>
    <x v="2"/>
    <n v="1422"/>
    <x v="1247"/>
    <x v="0"/>
    <s v="CM"/>
    <s v="N"/>
    <x v="837"/>
    <x v="41"/>
    <x v="432"/>
    <m/>
    <x v="39"/>
    <m/>
    <x v="3"/>
    <x v="0"/>
    <x v="582"/>
    <d v="2013-04-20T00:00:00"/>
    <x v="5"/>
    <x v="1"/>
    <s v="Competição Nacional - Sessão 4"/>
    <m/>
    <x v="0"/>
    <x v="0"/>
    <m/>
    <x v="0"/>
    <x v="0"/>
    <x v="1255"/>
    <x v="3"/>
    <x v="0"/>
    <x v="1"/>
    <x v="582"/>
    <x v="5457"/>
  </r>
  <r>
    <x v="2"/>
    <n v="1422"/>
    <x v="1247"/>
    <x v="0"/>
    <s v="CM"/>
    <s v="N"/>
    <x v="837"/>
    <x v="41"/>
    <x v="1006"/>
    <m/>
    <x v="143"/>
    <m/>
    <x v="43"/>
    <x v="0"/>
    <x v="603"/>
    <d v="2013-04-28T00:00:00"/>
    <x v="5"/>
    <x v="1"/>
    <s v="Competition "/>
    <m/>
    <x v="0"/>
    <x v="0"/>
    <m/>
    <x v="0"/>
    <x v="0"/>
    <x v="1255"/>
    <x v="43"/>
    <x v="0"/>
    <x v="0"/>
    <x v="603"/>
    <x v="5458"/>
  </r>
  <r>
    <x v="2"/>
    <n v="1422"/>
    <x v="1247"/>
    <x v="0"/>
    <s v="CM"/>
    <s v="N"/>
    <x v="837"/>
    <x v="41"/>
    <x v="169"/>
    <m/>
    <x v="129"/>
    <m/>
    <x v="1"/>
    <x v="0"/>
    <x v="693"/>
    <d v="2013-05-18T00:00:00"/>
    <x v="6"/>
    <x v="1"/>
    <s v="Certamen de cortometrajes"/>
    <m/>
    <x v="0"/>
    <x v="0"/>
    <m/>
    <x v="0"/>
    <x v="0"/>
    <x v="1255"/>
    <x v="1"/>
    <x v="0"/>
    <x v="0"/>
    <x v="693"/>
    <x v="5459"/>
  </r>
  <r>
    <x v="2"/>
    <n v="1422"/>
    <x v="1247"/>
    <x v="0"/>
    <s v="CM"/>
    <s v="N"/>
    <x v="837"/>
    <x v="41"/>
    <x v="1009"/>
    <m/>
    <x v="452"/>
    <m/>
    <x v="2"/>
    <x v="0"/>
    <x v="664"/>
    <d v="2013-06-15T00:00:00"/>
    <x v="7"/>
    <x v="1"/>
    <s v="Compétition Fiction 6"/>
    <m/>
    <x v="0"/>
    <x v="0"/>
    <m/>
    <x v="0"/>
    <x v="0"/>
    <x v="1255"/>
    <x v="2"/>
    <x v="0"/>
    <x v="0"/>
    <x v="664"/>
    <x v="5460"/>
  </r>
  <r>
    <x v="2"/>
    <n v="1422"/>
    <x v="1247"/>
    <x v="0"/>
    <s v="CM"/>
    <s v="N"/>
    <x v="837"/>
    <x v="41"/>
    <x v="756"/>
    <m/>
    <x v="379"/>
    <m/>
    <x v="1"/>
    <x v="0"/>
    <x v="558"/>
    <d v="2013-06-28T00:00:00"/>
    <x v="7"/>
    <x v="1"/>
    <s v="Sección Oficial Cortometrajes"/>
    <m/>
    <x v="0"/>
    <x v="0"/>
    <m/>
    <x v="0"/>
    <x v="0"/>
    <x v="1255"/>
    <x v="1"/>
    <x v="0"/>
    <x v="0"/>
    <x v="558"/>
    <x v="5461"/>
  </r>
  <r>
    <x v="2"/>
    <n v="1422"/>
    <x v="1247"/>
    <x v="0"/>
    <s v="CM"/>
    <s v="N"/>
    <x v="837"/>
    <x v="41"/>
    <x v="857"/>
    <m/>
    <x v="419"/>
    <m/>
    <x v="34"/>
    <x v="0"/>
    <x v="554"/>
    <d v="2013-08-25T00:00:00"/>
    <x v="16"/>
    <x v="1"/>
    <s v="Courts métrages 3"/>
    <m/>
    <x v="0"/>
    <x v="0"/>
    <m/>
    <x v="0"/>
    <x v="0"/>
    <x v="1255"/>
    <x v="34"/>
    <x v="0"/>
    <x v="0"/>
    <x v="554"/>
    <x v="5462"/>
  </r>
  <r>
    <x v="2"/>
    <n v="1422"/>
    <x v="1247"/>
    <x v="0"/>
    <s v="CM"/>
    <s v="N"/>
    <x v="837"/>
    <x v="41"/>
    <x v="143"/>
    <m/>
    <x v="109"/>
    <m/>
    <x v="2"/>
    <x v="0"/>
    <x v="519"/>
    <d v="2013-11-16T00:00:00"/>
    <x v="13"/>
    <x v="0"/>
    <m/>
    <s v="Cartes Blanches: Vila do Conde"/>
    <x v="0"/>
    <x v="0"/>
    <m/>
    <x v="0"/>
    <x v="0"/>
    <x v="1255"/>
    <x v="2"/>
    <x v="0"/>
    <x v="0"/>
    <x v="519"/>
    <x v="5463"/>
  </r>
  <r>
    <x v="2"/>
    <n v="1422"/>
    <x v="1247"/>
    <x v="0"/>
    <s v="CM"/>
    <s v="N"/>
    <x v="837"/>
    <x v="41"/>
    <x v="95"/>
    <m/>
    <x v="74"/>
    <m/>
    <x v="1"/>
    <x v="0"/>
    <x v="519"/>
    <d v="2013-11-15T00:00:00"/>
    <x v="13"/>
    <x v="1"/>
    <s v="Certamen Europeo 5"/>
    <m/>
    <x v="0"/>
    <x v="0"/>
    <m/>
    <x v="0"/>
    <x v="0"/>
    <x v="1255"/>
    <x v="1"/>
    <x v="0"/>
    <x v="0"/>
    <x v="519"/>
    <x v="5464"/>
  </r>
  <r>
    <x v="2"/>
    <n v="1422"/>
    <x v="1247"/>
    <x v="0"/>
    <s v="CM"/>
    <s v="N"/>
    <x v="837"/>
    <x v="41"/>
    <x v="560"/>
    <m/>
    <x v="209"/>
    <m/>
    <x v="51"/>
    <x v="0"/>
    <x v="576"/>
    <d v="2013-12-15T00:00:00"/>
    <x v="12"/>
    <x v="0"/>
    <m/>
    <s v="The Portuguese Cinematic Miracle"/>
    <x v="0"/>
    <x v="0"/>
    <m/>
    <x v="0"/>
    <x v="0"/>
    <x v="1255"/>
    <x v="51"/>
    <x v="0"/>
    <x v="0"/>
    <x v="576"/>
    <x v="5465"/>
  </r>
  <r>
    <x v="2"/>
    <n v="1811"/>
    <x v="1871"/>
    <x v="0"/>
    <s v="CM"/>
    <s v="N"/>
    <x v="458"/>
    <x v="41"/>
    <x v="864"/>
    <m/>
    <x v="32"/>
    <m/>
    <x v="3"/>
    <x v="0"/>
    <x v="562"/>
    <d v="2013-06-16T00:00:00"/>
    <x v="7"/>
    <x v="0"/>
    <m/>
    <s v="Mostra do Cinema Português"/>
    <x v="0"/>
    <x v="0"/>
    <m/>
    <x v="0"/>
    <x v="0"/>
    <x v="1892"/>
    <x v="3"/>
    <x v="0"/>
    <x v="1"/>
    <x v="562"/>
    <x v="5466"/>
  </r>
  <r>
    <x v="2"/>
    <n v="1811"/>
    <x v="1871"/>
    <x v="0"/>
    <s v="CM"/>
    <s v="N"/>
    <x v="458"/>
    <x v="41"/>
    <x v="42"/>
    <m/>
    <x v="39"/>
    <m/>
    <x v="3"/>
    <x v="0"/>
    <x v="696"/>
    <m/>
    <x v="16"/>
    <x v="0"/>
    <m/>
    <m/>
    <x v="0"/>
    <x v="1"/>
    <m/>
    <x v="0"/>
    <x v="0"/>
    <x v="1892"/>
    <x v="3"/>
    <x v="0"/>
    <x v="1"/>
    <x v="696"/>
    <x v="5467"/>
  </r>
  <r>
    <x v="2"/>
    <n v="1811"/>
    <x v="1871"/>
    <x v="0"/>
    <s v="CM"/>
    <s v="N"/>
    <x v="458"/>
    <x v="41"/>
    <x v="445"/>
    <m/>
    <x v="284"/>
    <m/>
    <x v="3"/>
    <x v="0"/>
    <x v="541"/>
    <d v="2013-09-07T00:00:00"/>
    <x v="9"/>
    <x v="0"/>
    <m/>
    <s v="Sessão da Tarde - &quot;Realidade e Ficção&quot;"/>
    <x v="0"/>
    <x v="0"/>
    <m/>
    <x v="0"/>
    <x v="0"/>
    <x v="1892"/>
    <x v="3"/>
    <x v="0"/>
    <x v="1"/>
    <x v="541"/>
    <x v="5468"/>
  </r>
  <r>
    <x v="2"/>
    <n v="1811"/>
    <x v="1871"/>
    <x v="0"/>
    <s v="CM"/>
    <s v="N"/>
    <x v="458"/>
    <x v="41"/>
    <x v="107"/>
    <m/>
    <x v="83"/>
    <m/>
    <x v="3"/>
    <x v="0"/>
    <x v="583"/>
    <d v="2013-11-11T00:00:00"/>
    <x v="13"/>
    <x v="1"/>
    <m/>
    <m/>
    <x v="521"/>
    <x v="0"/>
    <m/>
    <x v="1"/>
    <x v="0"/>
    <x v="1892"/>
    <x v="3"/>
    <x v="635"/>
    <x v="1"/>
    <x v="583"/>
    <x v="5469"/>
  </r>
  <r>
    <x v="2"/>
    <n v="2122"/>
    <x v="1872"/>
    <x v="0"/>
    <s v="CM"/>
    <s v="N"/>
    <x v="1219"/>
    <x v="2"/>
    <x v="969"/>
    <m/>
    <x v="40"/>
    <m/>
    <x v="3"/>
    <x v="0"/>
    <x v="659"/>
    <m/>
    <x v="12"/>
    <x v="0"/>
    <m/>
    <m/>
    <x v="0"/>
    <x v="1"/>
    <m/>
    <x v="0"/>
    <x v="0"/>
    <x v="1893"/>
    <x v="3"/>
    <x v="0"/>
    <x v="1"/>
    <x v="659"/>
    <x v="5470"/>
  </r>
  <r>
    <x v="2"/>
    <n v="1615"/>
    <x v="1873"/>
    <x v="0"/>
    <s v="CM"/>
    <s v="N"/>
    <x v="1147"/>
    <x v="1"/>
    <x v="898"/>
    <m/>
    <x v="23"/>
    <m/>
    <x v="3"/>
    <x v="0"/>
    <x v="599"/>
    <m/>
    <x v="15"/>
    <x v="0"/>
    <m/>
    <s v="Curta Convidada"/>
    <x v="0"/>
    <x v="1"/>
    <m/>
    <x v="0"/>
    <x v="0"/>
    <x v="1894"/>
    <x v="3"/>
    <x v="0"/>
    <x v="1"/>
    <x v="599"/>
    <x v="5471"/>
  </r>
  <r>
    <x v="2"/>
    <n v="2182"/>
    <x v="1874"/>
    <x v="1"/>
    <s v="CM"/>
    <s v="N"/>
    <x v="1220"/>
    <x v="52"/>
    <x v="25"/>
    <m/>
    <x v="24"/>
    <m/>
    <x v="3"/>
    <x v="0"/>
    <x v="553"/>
    <d v="2013-11-03T00:00:00"/>
    <x v="0"/>
    <x v="0"/>
    <m/>
    <s v="Verdes Anoa"/>
    <x v="0"/>
    <x v="0"/>
    <m/>
    <x v="0"/>
    <x v="2"/>
    <x v="1895"/>
    <x v="3"/>
    <x v="0"/>
    <x v="1"/>
    <x v="553"/>
    <x v="5472"/>
  </r>
  <r>
    <x v="2"/>
    <n v="1587"/>
    <x v="1249"/>
    <x v="0"/>
    <s v="CM"/>
    <s v="N"/>
    <x v="838"/>
    <x v="41"/>
    <x v="454"/>
    <m/>
    <x v="15"/>
    <m/>
    <x v="3"/>
    <x v="0"/>
    <x v="334"/>
    <m/>
    <x v="8"/>
    <x v="1"/>
    <s v="Ficção"/>
    <m/>
    <x v="0"/>
    <x v="0"/>
    <m/>
    <x v="0"/>
    <x v="0"/>
    <x v="1257"/>
    <x v="3"/>
    <x v="0"/>
    <x v="1"/>
    <x v="334"/>
    <x v="5473"/>
  </r>
  <r>
    <x v="2"/>
    <n v="1587"/>
    <x v="1249"/>
    <x v="0"/>
    <s v="CM"/>
    <s v="N"/>
    <x v="838"/>
    <x v="41"/>
    <x v="767"/>
    <m/>
    <x v="65"/>
    <m/>
    <x v="9"/>
    <x v="0"/>
    <x v="542"/>
    <d v="2013-09-08T00:00:00"/>
    <x v="9"/>
    <x v="0"/>
    <m/>
    <m/>
    <x v="0"/>
    <x v="0"/>
    <m/>
    <x v="0"/>
    <x v="0"/>
    <x v="1257"/>
    <x v="9"/>
    <x v="0"/>
    <x v="0"/>
    <x v="542"/>
    <x v="5474"/>
  </r>
  <r>
    <x v="2"/>
    <n v="2036"/>
    <x v="1875"/>
    <x v="0"/>
    <s v="CM"/>
    <s v="N"/>
    <x v="461"/>
    <x v="42"/>
    <x v="870"/>
    <m/>
    <x v="59"/>
    <m/>
    <x v="3"/>
    <x v="0"/>
    <x v="568"/>
    <d v="2013-10-13T00:00:00"/>
    <x v="14"/>
    <x v="0"/>
    <m/>
    <s v="Sessão de Abertura - Mostra Retrospectiva de curtas-metragens de João César Monteiro"/>
    <x v="0"/>
    <x v="0"/>
    <m/>
    <x v="0"/>
    <x v="0"/>
    <x v="1896"/>
    <x v="3"/>
    <x v="0"/>
    <x v="1"/>
    <x v="568"/>
    <x v="5475"/>
  </r>
  <r>
    <x v="2"/>
    <n v="656"/>
    <x v="454"/>
    <x v="1"/>
    <s v="LM"/>
    <s v="N"/>
    <x v="357"/>
    <x v="5"/>
    <x v="885"/>
    <m/>
    <x v="419"/>
    <m/>
    <x v="34"/>
    <x v="0"/>
    <x v="586"/>
    <d v="2013-01-27T00:00:00"/>
    <x v="15"/>
    <x v="0"/>
    <m/>
    <s v="Tous les garçons s'appellent João"/>
    <x v="0"/>
    <x v="0"/>
    <m/>
    <x v="0"/>
    <x v="1"/>
    <x v="456"/>
    <x v="34"/>
    <x v="0"/>
    <x v="0"/>
    <x v="586"/>
    <x v="5476"/>
  </r>
  <r>
    <x v="2"/>
    <n v="657"/>
    <x v="455"/>
    <x v="0"/>
    <s v="CM"/>
    <s v="N"/>
    <x v="358"/>
    <x v="5"/>
    <x v="508"/>
    <m/>
    <x v="27"/>
    <m/>
    <x v="7"/>
    <x v="0"/>
    <x v="557"/>
    <d v="2013-03-17T00:00:00"/>
    <x v="2"/>
    <x v="0"/>
    <m/>
    <s v="Carte Blanche INDIELISBOA: Les nouveaux arrivants"/>
    <x v="0"/>
    <x v="0"/>
    <m/>
    <x v="0"/>
    <x v="0"/>
    <x v="457"/>
    <x v="7"/>
    <x v="0"/>
    <x v="0"/>
    <x v="557"/>
    <x v="5477"/>
  </r>
  <r>
    <x v="2"/>
    <n v="657"/>
    <x v="455"/>
    <x v="0"/>
    <s v="CM"/>
    <s v="N"/>
    <x v="358"/>
    <x v="5"/>
    <x v="920"/>
    <m/>
    <x v="429"/>
    <m/>
    <x v="63"/>
    <x v="0"/>
    <x v="509"/>
    <d v="2013-11-30T00:00:00"/>
    <x v="13"/>
    <x v="0"/>
    <m/>
    <m/>
    <x v="0"/>
    <x v="0"/>
    <m/>
    <x v="0"/>
    <x v="0"/>
    <x v="457"/>
    <x v="63"/>
    <x v="0"/>
    <x v="0"/>
    <x v="509"/>
    <x v="5478"/>
  </r>
  <r>
    <x v="2"/>
    <n v="815"/>
    <x v="1257"/>
    <x v="0"/>
    <s v="CM"/>
    <s v="N"/>
    <x v="843"/>
    <x v="41"/>
    <x v="34"/>
    <m/>
    <x v="32"/>
    <m/>
    <x v="3"/>
    <x v="0"/>
    <x v="525"/>
    <d v="2013-05-12T00:00:00"/>
    <x v="6"/>
    <x v="1"/>
    <s v="Ficção"/>
    <m/>
    <x v="0"/>
    <x v="0"/>
    <m/>
    <x v="0"/>
    <x v="0"/>
    <x v="1265"/>
    <x v="3"/>
    <x v="0"/>
    <x v="1"/>
    <x v="525"/>
    <x v="5479"/>
  </r>
  <r>
    <x v="2"/>
    <n v="815"/>
    <x v="1257"/>
    <x v="0"/>
    <s v="CM"/>
    <s v="N"/>
    <x v="843"/>
    <x v="41"/>
    <x v="864"/>
    <m/>
    <x v="32"/>
    <m/>
    <x v="3"/>
    <x v="0"/>
    <x v="562"/>
    <d v="2013-06-16T00:00:00"/>
    <x v="7"/>
    <x v="0"/>
    <m/>
    <s v="Mostra do Cinema Português"/>
    <x v="0"/>
    <x v="0"/>
    <m/>
    <x v="0"/>
    <x v="0"/>
    <x v="1265"/>
    <x v="3"/>
    <x v="0"/>
    <x v="1"/>
    <x v="562"/>
    <x v="5480"/>
  </r>
  <r>
    <x v="2"/>
    <n v="815"/>
    <x v="1257"/>
    <x v="0"/>
    <s v="CM"/>
    <s v="N"/>
    <x v="843"/>
    <x v="41"/>
    <x v="767"/>
    <m/>
    <x v="65"/>
    <m/>
    <x v="9"/>
    <x v="0"/>
    <x v="542"/>
    <d v="2013-09-08T00:00:00"/>
    <x v="9"/>
    <x v="0"/>
    <m/>
    <m/>
    <x v="0"/>
    <x v="0"/>
    <m/>
    <x v="0"/>
    <x v="0"/>
    <x v="1265"/>
    <x v="9"/>
    <x v="0"/>
    <x v="0"/>
    <x v="542"/>
    <x v="5481"/>
  </r>
  <r>
    <x v="2"/>
    <n v="1955"/>
    <x v="1876"/>
    <x v="0"/>
    <s v="CM"/>
    <s v="N"/>
    <x v="1087"/>
    <x v="41"/>
    <x v="316"/>
    <m/>
    <x v="11"/>
    <m/>
    <x v="3"/>
    <x v="0"/>
    <x v="500"/>
    <d v="2013-08-31T00:00:00"/>
    <x v="16"/>
    <x v="1"/>
    <s v="Ficção"/>
    <m/>
    <x v="0"/>
    <x v="0"/>
    <m/>
    <x v="0"/>
    <x v="0"/>
    <x v="1897"/>
    <x v="3"/>
    <x v="0"/>
    <x v="1"/>
    <x v="500"/>
    <x v="5482"/>
  </r>
  <r>
    <x v="2"/>
    <n v="663"/>
    <x v="458"/>
    <x v="1"/>
    <s v="LM"/>
    <s v="S"/>
    <x v="359"/>
    <x v="3"/>
    <x v="967"/>
    <m/>
    <x v="290"/>
    <m/>
    <x v="3"/>
    <x v="0"/>
    <x v="550"/>
    <m/>
    <x v="2"/>
    <x v="0"/>
    <m/>
    <m/>
    <x v="0"/>
    <x v="1"/>
    <m/>
    <x v="0"/>
    <x v="1"/>
    <x v="460"/>
    <x v="3"/>
    <x v="0"/>
    <x v="1"/>
    <x v="550"/>
    <x v="5483"/>
  </r>
  <r>
    <x v="2"/>
    <n v="663"/>
    <x v="458"/>
    <x v="1"/>
    <s v="LM"/>
    <s v="S"/>
    <x v="359"/>
    <x v="3"/>
    <x v="984"/>
    <m/>
    <x v="200"/>
    <m/>
    <x v="3"/>
    <x v="0"/>
    <x v="582"/>
    <m/>
    <x v="5"/>
    <x v="0"/>
    <m/>
    <m/>
    <x v="0"/>
    <x v="1"/>
    <m/>
    <x v="0"/>
    <x v="1"/>
    <x v="460"/>
    <x v="3"/>
    <x v="0"/>
    <x v="1"/>
    <x v="582"/>
    <x v="5484"/>
  </r>
  <r>
    <x v="2"/>
    <n v="663"/>
    <x v="458"/>
    <x v="1"/>
    <s v="LM"/>
    <s v="S"/>
    <x v="359"/>
    <x v="3"/>
    <x v="575"/>
    <m/>
    <x v="11"/>
    <m/>
    <x v="3"/>
    <x v="0"/>
    <x v="497"/>
    <m/>
    <x v="5"/>
    <x v="0"/>
    <m/>
    <m/>
    <x v="0"/>
    <x v="1"/>
    <m/>
    <x v="0"/>
    <x v="1"/>
    <x v="460"/>
    <x v="3"/>
    <x v="0"/>
    <x v="1"/>
    <x v="497"/>
    <x v="5485"/>
  </r>
  <r>
    <x v="2"/>
    <n v="1757"/>
    <x v="1877"/>
    <x v="0"/>
    <s v="CM"/>
    <s v="N"/>
    <x v="1221"/>
    <x v="41"/>
    <x v="1016"/>
    <m/>
    <x v="23"/>
    <m/>
    <x v="3"/>
    <x v="0"/>
    <x v="697"/>
    <m/>
    <x v="2"/>
    <x v="1"/>
    <m/>
    <m/>
    <x v="0"/>
    <x v="1"/>
    <m/>
    <x v="0"/>
    <x v="0"/>
    <x v="1898"/>
    <x v="3"/>
    <x v="0"/>
    <x v="1"/>
    <x v="697"/>
    <x v="5486"/>
  </r>
  <r>
    <x v="2"/>
    <n v="664"/>
    <x v="459"/>
    <x v="0"/>
    <s v="CM"/>
    <s v="N"/>
    <x v="360"/>
    <x v="2"/>
    <x v="854"/>
    <m/>
    <x v="24"/>
    <m/>
    <x v="3"/>
    <x v="0"/>
    <x v="550"/>
    <d v="2013-03-27T00:00:00"/>
    <x v="2"/>
    <x v="0"/>
    <m/>
    <m/>
    <x v="0"/>
    <x v="1"/>
    <m/>
    <x v="0"/>
    <x v="0"/>
    <x v="461"/>
    <x v="3"/>
    <x v="0"/>
    <x v="1"/>
    <x v="550"/>
    <x v="5487"/>
  </r>
  <r>
    <x v="2"/>
    <n v="665"/>
    <x v="1261"/>
    <x v="0"/>
    <s v="LM"/>
    <s v="S"/>
    <x v="847"/>
    <x v="41"/>
    <x v="585"/>
    <m/>
    <x v="326"/>
    <m/>
    <x v="2"/>
    <x v="0"/>
    <x v="584"/>
    <d v="2013-01-26T00:00:00"/>
    <x v="15"/>
    <x v="0"/>
    <m/>
    <s v="Séances Spéciales"/>
    <x v="0"/>
    <x v="0"/>
    <m/>
    <x v="0"/>
    <x v="5"/>
    <x v="1269"/>
    <x v="2"/>
    <x v="0"/>
    <x v="0"/>
    <x v="584"/>
    <x v="5488"/>
  </r>
  <r>
    <x v="2"/>
    <n v="665"/>
    <x v="1261"/>
    <x v="0"/>
    <s v="LM"/>
    <s v="S"/>
    <x v="847"/>
    <x v="41"/>
    <x v="477"/>
    <m/>
    <x v="59"/>
    <m/>
    <x v="3"/>
    <x v="0"/>
    <x v="522"/>
    <m/>
    <x v="15"/>
    <x v="0"/>
    <m/>
    <m/>
    <x v="0"/>
    <x v="1"/>
    <m/>
    <x v="0"/>
    <x v="5"/>
    <x v="1269"/>
    <x v="3"/>
    <x v="0"/>
    <x v="1"/>
    <x v="522"/>
    <x v="5489"/>
  </r>
  <r>
    <x v="2"/>
    <n v="665"/>
    <x v="1261"/>
    <x v="0"/>
    <s v="LM"/>
    <s v="S"/>
    <x v="847"/>
    <x v="41"/>
    <x v="57"/>
    <m/>
    <x v="40"/>
    <m/>
    <x v="3"/>
    <x v="0"/>
    <x v="616"/>
    <m/>
    <x v="1"/>
    <x v="0"/>
    <m/>
    <m/>
    <x v="0"/>
    <x v="1"/>
    <m/>
    <x v="0"/>
    <x v="5"/>
    <x v="1269"/>
    <x v="3"/>
    <x v="0"/>
    <x v="1"/>
    <x v="616"/>
    <x v="5490"/>
  </r>
  <r>
    <x v="2"/>
    <n v="665"/>
    <x v="1261"/>
    <x v="0"/>
    <s v="LM"/>
    <s v="S"/>
    <x v="847"/>
    <x v="41"/>
    <x v="42"/>
    <m/>
    <x v="39"/>
    <m/>
    <x v="3"/>
    <x v="0"/>
    <x v="503"/>
    <m/>
    <x v="1"/>
    <x v="0"/>
    <m/>
    <m/>
    <x v="0"/>
    <x v="1"/>
    <m/>
    <x v="0"/>
    <x v="5"/>
    <x v="1269"/>
    <x v="3"/>
    <x v="0"/>
    <x v="1"/>
    <x v="503"/>
    <x v="5491"/>
  </r>
  <r>
    <x v="2"/>
    <n v="665"/>
    <x v="1261"/>
    <x v="0"/>
    <s v="LM"/>
    <s v="S"/>
    <x v="847"/>
    <x v="41"/>
    <x v="893"/>
    <m/>
    <x v="24"/>
    <m/>
    <x v="3"/>
    <x v="0"/>
    <x v="503"/>
    <m/>
    <x v="1"/>
    <x v="0"/>
    <m/>
    <m/>
    <x v="522"/>
    <x v="2"/>
    <m/>
    <x v="1"/>
    <x v="5"/>
    <x v="1269"/>
    <x v="3"/>
    <x v="636"/>
    <x v="1"/>
    <x v="503"/>
    <x v="5492"/>
  </r>
  <r>
    <x v="2"/>
    <n v="665"/>
    <x v="1261"/>
    <x v="0"/>
    <s v="LM"/>
    <s v="S"/>
    <x v="847"/>
    <x v="41"/>
    <x v="887"/>
    <m/>
    <x v="424"/>
    <m/>
    <x v="23"/>
    <x v="0"/>
    <x v="588"/>
    <d v="2013-04-02T00:00:00"/>
    <x v="3"/>
    <x v="0"/>
    <m/>
    <s v="Global Vision"/>
    <x v="0"/>
    <x v="0"/>
    <m/>
    <x v="0"/>
    <x v="5"/>
    <x v="1269"/>
    <x v="23"/>
    <x v="0"/>
    <x v="0"/>
    <x v="588"/>
    <x v="5493"/>
  </r>
  <r>
    <x v="2"/>
    <n v="665"/>
    <x v="1261"/>
    <x v="0"/>
    <s v="LM"/>
    <s v="S"/>
    <x v="847"/>
    <x v="41"/>
    <x v="627"/>
    <m/>
    <x v="24"/>
    <m/>
    <x v="3"/>
    <x v="0"/>
    <x v="651"/>
    <m/>
    <x v="14"/>
    <x v="0"/>
    <m/>
    <m/>
    <x v="523"/>
    <x v="2"/>
    <m/>
    <x v="1"/>
    <x v="5"/>
    <x v="1269"/>
    <x v="3"/>
    <x v="637"/>
    <x v="1"/>
    <x v="651"/>
    <x v="5494"/>
  </r>
  <r>
    <x v="2"/>
    <n v="665"/>
    <x v="1261"/>
    <x v="0"/>
    <s v="LM"/>
    <s v="S"/>
    <x v="847"/>
    <x v="41"/>
    <x v="161"/>
    <m/>
    <x v="35"/>
    <m/>
    <x v="2"/>
    <x v="0"/>
    <x v="652"/>
    <d v="2013-11-02T00:00:00"/>
    <x v="0"/>
    <x v="0"/>
    <m/>
    <s v="Espagne: Hommage à Marisa Paredes"/>
    <x v="0"/>
    <x v="0"/>
    <m/>
    <x v="0"/>
    <x v="5"/>
    <x v="1269"/>
    <x v="2"/>
    <x v="0"/>
    <x v="0"/>
    <x v="652"/>
    <x v="5495"/>
  </r>
  <r>
    <x v="2"/>
    <n v="665"/>
    <x v="1261"/>
    <x v="0"/>
    <s v="LM"/>
    <s v="S"/>
    <x v="847"/>
    <x v="41"/>
    <x v="871"/>
    <m/>
    <x v="391"/>
    <m/>
    <x v="1"/>
    <x v="0"/>
    <x v="498"/>
    <d v="2013-11-19T00:00:00"/>
    <x v="13"/>
    <x v="0"/>
    <m/>
    <s v="Sección Oficial"/>
    <x v="0"/>
    <x v="1"/>
    <m/>
    <x v="0"/>
    <x v="5"/>
    <x v="1269"/>
    <x v="1"/>
    <x v="0"/>
    <x v="0"/>
    <x v="498"/>
    <x v="5496"/>
  </r>
  <r>
    <x v="2"/>
    <n v="667"/>
    <x v="461"/>
    <x v="1"/>
    <s v="LM"/>
    <s v="S"/>
    <x v="362"/>
    <x v="1"/>
    <x v="861"/>
    <m/>
    <x v="24"/>
    <m/>
    <x v="3"/>
    <x v="0"/>
    <x v="499"/>
    <d v="2013-06-30T00:00:00"/>
    <x v="7"/>
    <x v="0"/>
    <m/>
    <m/>
    <x v="0"/>
    <x v="1"/>
    <m/>
    <x v="0"/>
    <x v="1"/>
    <x v="463"/>
    <x v="3"/>
    <x v="0"/>
    <x v="1"/>
    <x v="499"/>
    <x v="5497"/>
  </r>
  <r>
    <x v="2"/>
    <n v="669"/>
    <x v="1263"/>
    <x v="2"/>
    <s v="CM"/>
    <s v=""/>
    <x v="33"/>
    <x v="2"/>
    <x v="1004"/>
    <m/>
    <x v="448"/>
    <m/>
    <x v="1"/>
    <x v="0"/>
    <x v="689"/>
    <d v="2013-03-03T00:00:00"/>
    <x v="19"/>
    <x v="0"/>
    <m/>
    <s v="Cortos Actuales 2: Visiones íntimas"/>
    <x v="0"/>
    <x v="1"/>
    <m/>
    <x v="0"/>
    <x v="4"/>
    <x v="1271"/>
    <x v="1"/>
    <x v="0"/>
    <x v="0"/>
    <x v="689"/>
    <x v="5498"/>
  </r>
  <r>
    <x v="2"/>
    <n v="669"/>
    <x v="1263"/>
    <x v="2"/>
    <s v="CM"/>
    <s v=""/>
    <x v="33"/>
    <x v="2"/>
    <x v="26"/>
    <m/>
    <x v="24"/>
    <m/>
    <x v="3"/>
    <x v="0"/>
    <x v="571"/>
    <d v="2013-03-17T00:00:00"/>
    <x v="2"/>
    <x v="1"/>
    <s v="Competição de Curtíssimas"/>
    <m/>
    <x v="0"/>
    <x v="0"/>
    <m/>
    <x v="0"/>
    <x v="4"/>
    <x v="1271"/>
    <x v="3"/>
    <x v="0"/>
    <x v="1"/>
    <x v="571"/>
    <x v="5499"/>
  </r>
  <r>
    <x v="2"/>
    <n v="669"/>
    <x v="1263"/>
    <x v="2"/>
    <s v="CM"/>
    <s v=""/>
    <x v="33"/>
    <x v="2"/>
    <x v="624"/>
    <m/>
    <x v="337"/>
    <m/>
    <x v="5"/>
    <x v="0"/>
    <x v="524"/>
    <d v="2013-04-28T00:00:00"/>
    <x v="5"/>
    <x v="0"/>
    <m/>
    <s v="Panorama 4"/>
    <x v="0"/>
    <x v="0"/>
    <m/>
    <x v="0"/>
    <x v="4"/>
    <x v="1271"/>
    <x v="5"/>
    <x v="0"/>
    <x v="0"/>
    <x v="524"/>
    <x v="5500"/>
  </r>
  <r>
    <x v="2"/>
    <n v="669"/>
    <x v="1263"/>
    <x v="2"/>
    <s v="CM"/>
    <s v=""/>
    <x v="33"/>
    <x v="2"/>
    <x v="872"/>
    <m/>
    <x v="422"/>
    <m/>
    <x v="3"/>
    <x v="0"/>
    <x v="518"/>
    <d v="2013-10-26T00:00:00"/>
    <x v="14"/>
    <x v="1"/>
    <s v="Sessão Competitina nº 1"/>
    <m/>
    <x v="0"/>
    <x v="0"/>
    <m/>
    <x v="0"/>
    <x v="4"/>
    <x v="1271"/>
    <x v="3"/>
    <x v="0"/>
    <x v="1"/>
    <x v="518"/>
    <x v="5501"/>
  </r>
  <r>
    <x v="2"/>
    <n v="671"/>
    <x v="463"/>
    <x v="1"/>
    <s v="LM"/>
    <s v=""/>
    <x v="25"/>
    <x v="9"/>
    <x v="835"/>
    <m/>
    <x v="243"/>
    <m/>
    <x v="64"/>
    <x v="0"/>
    <x v="515"/>
    <d v="2013-06-29T00:00:00"/>
    <x v="7"/>
    <x v="0"/>
    <m/>
    <s v="Portugal Euphoria"/>
    <x v="0"/>
    <x v="0"/>
    <m/>
    <x v="0"/>
    <x v="1"/>
    <x v="465"/>
    <x v="64"/>
    <x v="0"/>
    <x v="0"/>
    <x v="515"/>
    <x v="5502"/>
  </r>
  <r>
    <x v="2"/>
    <n v="671"/>
    <x v="463"/>
    <x v="1"/>
    <s v="LM"/>
    <s v=""/>
    <x v="25"/>
    <x v="9"/>
    <x v="905"/>
    <m/>
    <x v="61"/>
    <m/>
    <x v="2"/>
    <x v="0"/>
    <x v="509"/>
    <d v="2013-12-01T00:00:00"/>
    <x v="11"/>
    <x v="0"/>
    <m/>
    <s v="Ida e Volta: Hommage au Portugal"/>
    <x v="0"/>
    <x v="0"/>
    <m/>
    <x v="0"/>
    <x v="1"/>
    <x v="465"/>
    <x v="2"/>
    <x v="0"/>
    <x v="0"/>
    <x v="509"/>
    <x v="5503"/>
  </r>
  <r>
    <x v="2"/>
    <n v="2065"/>
    <x v="1878"/>
    <x v="1"/>
    <s v="CM"/>
    <s v="N"/>
    <x v="1222"/>
    <x v="52"/>
    <x v="88"/>
    <m/>
    <x v="67"/>
    <m/>
    <x v="3"/>
    <x v="0"/>
    <x v="528"/>
    <d v="2013-10-26T00:00:00"/>
    <x v="14"/>
    <x v="1"/>
    <s v="Lusofonia: Curtas-Metragens"/>
    <m/>
    <x v="0"/>
    <x v="0"/>
    <m/>
    <x v="0"/>
    <x v="2"/>
    <x v="1899"/>
    <x v="3"/>
    <x v="0"/>
    <x v="1"/>
    <x v="528"/>
    <x v="5504"/>
  </r>
  <r>
    <x v="2"/>
    <n v="1791"/>
    <x v="1879"/>
    <x v="0"/>
    <s v="CM"/>
    <s v="N"/>
    <x v="263"/>
    <x v="2"/>
    <x v="825"/>
    <m/>
    <x v="409"/>
    <m/>
    <x v="3"/>
    <x v="0"/>
    <x v="499"/>
    <m/>
    <x v="7"/>
    <x v="1"/>
    <m/>
    <m/>
    <x v="0"/>
    <x v="0"/>
    <m/>
    <x v="0"/>
    <x v="0"/>
    <x v="1900"/>
    <x v="3"/>
    <x v="0"/>
    <x v="1"/>
    <x v="499"/>
    <x v="5505"/>
  </r>
  <r>
    <x v="2"/>
    <n v="1894"/>
    <x v="1880"/>
    <x v="0"/>
    <s v="CM"/>
    <s v="N"/>
    <x v="347"/>
    <x v="52"/>
    <x v="68"/>
    <m/>
    <x v="53"/>
    <m/>
    <x v="3"/>
    <x v="0"/>
    <x v="573"/>
    <d v="2013-07-14T00:00:00"/>
    <x v="8"/>
    <x v="1"/>
    <s v="Competição Nacional"/>
    <m/>
    <x v="0"/>
    <x v="0"/>
    <m/>
    <x v="0"/>
    <x v="0"/>
    <x v="1901"/>
    <x v="3"/>
    <x v="0"/>
    <x v="1"/>
    <x v="573"/>
    <x v="5506"/>
  </r>
  <r>
    <x v="2"/>
    <n v="1894"/>
    <x v="1880"/>
    <x v="0"/>
    <s v="CM"/>
    <s v="N"/>
    <x v="347"/>
    <x v="52"/>
    <x v="48"/>
    <m/>
    <x v="24"/>
    <m/>
    <x v="3"/>
    <x v="0"/>
    <x v="569"/>
    <d v="2013-09-15T00:00:00"/>
    <x v="9"/>
    <x v="1"/>
    <s v="Prémio Yorn MOTELx"/>
    <m/>
    <x v="0"/>
    <x v="0"/>
    <m/>
    <x v="0"/>
    <x v="0"/>
    <x v="1901"/>
    <x v="3"/>
    <x v="0"/>
    <x v="1"/>
    <x v="569"/>
    <x v="5507"/>
  </r>
  <r>
    <x v="2"/>
    <n v="1894"/>
    <x v="1880"/>
    <x v="0"/>
    <s v="CM"/>
    <s v="N"/>
    <x v="347"/>
    <x v="52"/>
    <x v="1017"/>
    <m/>
    <x v="259"/>
    <m/>
    <x v="15"/>
    <x v="0"/>
    <x v="698"/>
    <d v="2013-11-03T00:00:00"/>
    <x v="0"/>
    <x v="1"/>
    <s v="European Fantastic Shorts"/>
    <m/>
    <x v="0"/>
    <x v="0"/>
    <m/>
    <x v="0"/>
    <x v="0"/>
    <x v="1901"/>
    <x v="15"/>
    <x v="0"/>
    <x v="0"/>
    <x v="698"/>
    <x v="5508"/>
  </r>
  <r>
    <x v="2"/>
    <n v="1673"/>
    <x v="1881"/>
    <x v="0"/>
    <s v="CM"/>
    <s v="S"/>
    <x v="1223"/>
    <x v="41"/>
    <x v="62"/>
    <m/>
    <x v="23"/>
    <m/>
    <x v="3"/>
    <x v="0"/>
    <x v="503"/>
    <d v="2013-03-10T00:00:00"/>
    <x v="19"/>
    <x v="1"/>
    <s v="Prémio de Cinema Português - Melhor Filme"/>
    <m/>
    <x v="0"/>
    <x v="0"/>
    <m/>
    <x v="0"/>
    <x v="0"/>
    <x v="1902"/>
    <x v="3"/>
    <x v="0"/>
    <x v="1"/>
    <x v="503"/>
    <x v="5509"/>
  </r>
  <r>
    <x v="2"/>
    <n v="2043"/>
    <x v="1882"/>
    <x v="1"/>
    <s v="CM"/>
    <s v="N"/>
    <x v="1224"/>
    <x v="41"/>
    <x v="826"/>
    <m/>
    <x v="24"/>
    <m/>
    <x v="3"/>
    <x v="0"/>
    <x v="505"/>
    <d v="2013-09-29T00:00:00"/>
    <x v="9"/>
    <x v="1"/>
    <m/>
    <m/>
    <x v="0"/>
    <x v="0"/>
    <m/>
    <x v="0"/>
    <x v="2"/>
    <x v="1903"/>
    <x v="3"/>
    <x v="0"/>
    <x v="1"/>
    <x v="505"/>
    <x v="5510"/>
  </r>
  <r>
    <x v="2"/>
    <n v="1697"/>
    <x v="1883"/>
    <x v="4"/>
    <s v="CM"/>
    <s v="N"/>
    <x v="1225"/>
    <x v="2"/>
    <x v="62"/>
    <m/>
    <x v="23"/>
    <m/>
    <x v="3"/>
    <x v="0"/>
    <x v="503"/>
    <d v="2013-03-10T00:00:00"/>
    <x v="19"/>
    <x v="1"/>
    <s v="Prémio de Cinema Português - Escolas de Cinema"/>
    <m/>
    <x v="0"/>
    <x v="0"/>
    <s v="Escola Artística de Soares dos Reis"/>
    <x v="0"/>
    <x v="8"/>
    <x v="1904"/>
    <x v="3"/>
    <x v="0"/>
    <x v="1"/>
    <x v="503"/>
    <x v="5511"/>
  </r>
  <r>
    <x v="2"/>
    <n v="1674"/>
    <x v="1884"/>
    <x v="0"/>
    <s v="CM"/>
    <s v="N"/>
    <x v="456"/>
    <x v="41"/>
    <x v="62"/>
    <m/>
    <x v="23"/>
    <m/>
    <x v="3"/>
    <x v="0"/>
    <x v="503"/>
    <d v="2013-03-10T00:00:00"/>
    <x v="19"/>
    <x v="1"/>
    <s v="Prémio de Cinema Português - Melhor Filme"/>
    <m/>
    <x v="0"/>
    <x v="0"/>
    <m/>
    <x v="0"/>
    <x v="0"/>
    <x v="1905"/>
    <x v="3"/>
    <x v="0"/>
    <x v="1"/>
    <x v="503"/>
    <x v="5512"/>
  </r>
  <r>
    <x v="2"/>
    <n v="1674"/>
    <x v="1884"/>
    <x v="0"/>
    <s v="CM"/>
    <s v="N"/>
    <x v="456"/>
    <x v="41"/>
    <x v="192"/>
    <m/>
    <x v="140"/>
    <m/>
    <x v="3"/>
    <x v="0"/>
    <x v="334"/>
    <d v="2013-07-28T00:00:00"/>
    <x v="8"/>
    <x v="0"/>
    <m/>
    <s v="Panorama Cinema Português"/>
    <x v="0"/>
    <x v="0"/>
    <m/>
    <x v="0"/>
    <x v="0"/>
    <x v="1905"/>
    <x v="3"/>
    <x v="0"/>
    <x v="1"/>
    <x v="334"/>
    <x v="5513"/>
  </r>
  <r>
    <x v="2"/>
    <n v="1621"/>
    <x v="1885"/>
    <x v="0"/>
    <s v="CM"/>
    <s v="N"/>
    <x v="190"/>
    <x v="41"/>
    <x v="90"/>
    <m/>
    <x v="69"/>
    <m/>
    <x v="8"/>
    <x v="0"/>
    <x v="602"/>
    <d v="2013-02-03T00:00:00"/>
    <x v="18"/>
    <x v="0"/>
    <m/>
    <s v="Spectrum Shorts - Guimarães: Rocking the Cradle"/>
    <x v="0"/>
    <x v="0"/>
    <m/>
    <x v="0"/>
    <x v="0"/>
    <x v="1906"/>
    <x v="8"/>
    <x v="0"/>
    <x v="0"/>
    <x v="602"/>
    <x v="5514"/>
  </r>
  <r>
    <x v="2"/>
    <n v="1621"/>
    <x v="1885"/>
    <x v="0"/>
    <s v="CM"/>
    <s v="N"/>
    <x v="190"/>
    <x v="41"/>
    <x v="68"/>
    <m/>
    <x v="53"/>
    <m/>
    <x v="3"/>
    <x v="0"/>
    <x v="573"/>
    <d v="2013-07-14T00:00:00"/>
    <x v="8"/>
    <x v="0"/>
    <m/>
    <s v="Panorama Nacional"/>
    <x v="0"/>
    <x v="0"/>
    <m/>
    <x v="0"/>
    <x v="0"/>
    <x v="1906"/>
    <x v="3"/>
    <x v="0"/>
    <x v="1"/>
    <x v="573"/>
    <x v="5515"/>
  </r>
  <r>
    <x v="2"/>
    <n v="1621"/>
    <x v="1885"/>
    <x v="0"/>
    <s v="CM"/>
    <s v="N"/>
    <x v="190"/>
    <x v="41"/>
    <x v="857"/>
    <m/>
    <x v="419"/>
    <m/>
    <x v="34"/>
    <x v="0"/>
    <x v="554"/>
    <d v="2013-08-25T00:00:00"/>
    <x v="16"/>
    <x v="1"/>
    <s v="Courts métrages 2"/>
    <m/>
    <x v="0"/>
    <x v="0"/>
    <m/>
    <x v="0"/>
    <x v="0"/>
    <x v="1906"/>
    <x v="34"/>
    <x v="0"/>
    <x v="0"/>
    <x v="554"/>
    <x v="5516"/>
  </r>
  <r>
    <x v="2"/>
    <n v="1983"/>
    <x v="1886"/>
    <x v="1"/>
    <s v="CM"/>
    <s v="N"/>
    <x v="1226"/>
    <x v="52"/>
    <x v="58"/>
    <m/>
    <x v="47"/>
    <m/>
    <x v="3"/>
    <x v="0"/>
    <x v="542"/>
    <d v="2013-09-08T00:00:00"/>
    <x v="9"/>
    <x v="0"/>
    <m/>
    <m/>
    <x v="0"/>
    <x v="1"/>
    <m/>
    <x v="0"/>
    <x v="2"/>
    <x v="1907"/>
    <x v="3"/>
    <x v="0"/>
    <x v="1"/>
    <x v="542"/>
    <x v="5517"/>
  </r>
  <r>
    <x v="2"/>
    <n v="1983"/>
    <x v="1886"/>
    <x v="1"/>
    <s v="CM"/>
    <s v="N"/>
    <x v="1226"/>
    <x v="52"/>
    <x v="25"/>
    <m/>
    <x v="24"/>
    <m/>
    <x v="3"/>
    <x v="0"/>
    <x v="553"/>
    <d v="2013-11-03T00:00:00"/>
    <x v="0"/>
    <x v="0"/>
    <m/>
    <s v="Verdes Anoa"/>
    <x v="0"/>
    <x v="0"/>
    <m/>
    <x v="0"/>
    <x v="2"/>
    <x v="1907"/>
    <x v="3"/>
    <x v="0"/>
    <x v="1"/>
    <x v="553"/>
    <x v="5518"/>
  </r>
  <r>
    <x v="2"/>
    <n v="1890"/>
    <x v="1887"/>
    <x v="0"/>
    <s v="CM"/>
    <s v="S"/>
    <x v="428"/>
    <x v="52"/>
    <x v="68"/>
    <m/>
    <x v="53"/>
    <m/>
    <x v="3"/>
    <x v="0"/>
    <x v="573"/>
    <d v="2013-07-14T00:00:00"/>
    <x v="8"/>
    <x v="1"/>
    <s v="Competição Nacional"/>
    <m/>
    <x v="524"/>
    <x v="0"/>
    <m/>
    <x v="1"/>
    <x v="0"/>
    <x v="1908"/>
    <x v="3"/>
    <x v="638"/>
    <x v="1"/>
    <x v="573"/>
    <x v="5519"/>
  </r>
  <r>
    <x v="2"/>
    <n v="1890"/>
    <x v="1887"/>
    <x v="0"/>
    <s v="CM"/>
    <s v="S"/>
    <x v="428"/>
    <x v="52"/>
    <x v="870"/>
    <m/>
    <x v="59"/>
    <m/>
    <x v="3"/>
    <x v="0"/>
    <x v="568"/>
    <d v="2013-10-13T00:00:00"/>
    <x v="14"/>
    <x v="1"/>
    <s v="Competição Nacional"/>
    <m/>
    <x v="0"/>
    <x v="0"/>
    <m/>
    <x v="0"/>
    <x v="0"/>
    <x v="1908"/>
    <x v="3"/>
    <x v="0"/>
    <x v="1"/>
    <x v="568"/>
    <x v="5520"/>
  </r>
  <r>
    <x v="2"/>
    <n v="1890"/>
    <x v="1887"/>
    <x v="0"/>
    <s v="CM"/>
    <s v="S"/>
    <x v="428"/>
    <x v="52"/>
    <x v="151"/>
    <m/>
    <x v="116"/>
    <m/>
    <x v="1"/>
    <x v="0"/>
    <x v="699"/>
    <d v="2013-11-23T00:00:00"/>
    <x v="13"/>
    <x v="1"/>
    <s v="Sección Oficial Cortometrajes"/>
    <m/>
    <x v="525"/>
    <x v="0"/>
    <m/>
    <x v="1"/>
    <x v="0"/>
    <x v="1908"/>
    <x v="1"/>
    <x v="639"/>
    <x v="0"/>
    <x v="699"/>
    <x v="5521"/>
  </r>
  <r>
    <x v="2"/>
    <n v="1890"/>
    <x v="1887"/>
    <x v="0"/>
    <s v="CM"/>
    <s v="S"/>
    <x v="428"/>
    <x v="52"/>
    <x v="133"/>
    <m/>
    <x v="101"/>
    <m/>
    <x v="3"/>
    <x v="0"/>
    <x v="502"/>
    <d v="2013-12-08T00:00:00"/>
    <x v="12"/>
    <x v="1"/>
    <s v="Sessão Competitiva de Curtas-Metragens 4"/>
    <m/>
    <x v="526"/>
    <x v="0"/>
    <m/>
    <x v="1"/>
    <x v="0"/>
    <x v="1908"/>
    <x v="3"/>
    <x v="640"/>
    <x v="1"/>
    <x v="502"/>
    <x v="5522"/>
  </r>
  <r>
    <x v="2"/>
    <n v="2067"/>
    <x v="1888"/>
    <x v="1"/>
    <s v="CM"/>
    <s v="N"/>
    <x v="1227"/>
    <x v="52"/>
    <x v="88"/>
    <m/>
    <x v="67"/>
    <m/>
    <x v="3"/>
    <x v="0"/>
    <x v="528"/>
    <d v="2013-10-26T00:00:00"/>
    <x v="14"/>
    <x v="1"/>
    <s v="Lusofonia: Panorama Regional"/>
    <m/>
    <x v="0"/>
    <x v="0"/>
    <m/>
    <x v="0"/>
    <x v="2"/>
    <x v="1909"/>
    <x v="3"/>
    <x v="0"/>
    <x v="1"/>
    <x v="528"/>
    <x v="5523"/>
  </r>
  <r>
    <x v="2"/>
    <n v="689"/>
    <x v="1273"/>
    <x v="0"/>
    <s v="CM"/>
    <s v="S"/>
    <x v="293"/>
    <x v="3"/>
    <x v="90"/>
    <m/>
    <x v="69"/>
    <m/>
    <x v="8"/>
    <x v="0"/>
    <x v="602"/>
    <d v="2013-02-03T00:00:00"/>
    <x v="18"/>
    <x v="0"/>
    <m/>
    <s v="Spectrum Shorts - Short Stories: Lunar Eclipses"/>
    <x v="0"/>
    <x v="0"/>
    <m/>
    <x v="0"/>
    <x v="0"/>
    <x v="1281"/>
    <x v="8"/>
    <x v="0"/>
    <x v="0"/>
    <x v="602"/>
    <x v="5524"/>
  </r>
  <r>
    <x v="2"/>
    <n v="689"/>
    <x v="1273"/>
    <x v="0"/>
    <s v="CM"/>
    <s v="S"/>
    <x v="293"/>
    <x v="3"/>
    <x v="854"/>
    <m/>
    <x v="24"/>
    <m/>
    <x v="3"/>
    <x v="0"/>
    <x v="550"/>
    <d v="2013-03-27T00:00:00"/>
    <x v="2"/>
    <x v="0"/>
    <m/>
    <m/>
    <x v="0"/>
    <x v="1"/>
    <m/>
    <x v="0"/>
    <x v="0"/>
    <x v="1281"/>
    <x v="3"/>
    <x v="0"/>
    <x v="1"/>
    <x v="550"/>
    <x v="5525"/>
  </r>
  <r>
    <x v="2"/>
    <n v="690"/>
    <x v="472"/>
    <x v="1"/>
    <s v="LM"/>
    <s v="S"/>
    <x v="370"/>
    <x v="5"/>
    <x v="337"/>
    <m/>
    <x v="37"/>
    <m/>
    <x v="3"/>
    <x v="0"/>
    <x v="700"/>
    <m/>
    <x v="2"/>
    <x v="0"/>
    <m/>
    <m/>
    <x v="0"/>
    <x v="1"/>
    <m/>
    <x v="0"/>
    <x v="1"/>
    <x v="474"/>
    <x v="3"/>
    <x v="0"/>
    <x v="1"/>
    <x v="700"/>
    <x v="5526"/>
  </r>
  <r>
    <x v="2"/>
    <n v="690"/>
    <x v="472"/>
    <x v="1"/>
    <s v="LM"/>
    <s v="S"/>
    <x v="370"/>
    <x v="5"/>
    <x v="337"/>
    <m/>
    <x v="37"/>
    <m/>
    <x v="3"/>
    <x v="0"/>
    <x v="700"/>
    <m/>
    <x v="2"/>
    <x v="0"/>
    <m/>
    <m/>
    <x v="0"/>
    <x v="1"/>
    <m/>
    <x v="0"/>
    <x v="1"/>
    <x v="474"/>
    <x v="3"/>
    <x v="0"/>
    <x v="1"/>
    <x v="700"/>
    <x v="5527"/>
  </r>
  <r>
    <x v="2"/>
    <n v="1729"/>
    <x v="1889"/>
    <x v="2"/>
    <s v="CM"/>
    <s v="S"/>
    <x v="1014"/>
    <x v="3"/>
    <x v="26"/>
    <m/>
    <x v="24"/>
    <m/>
    <x v="3"/>
    <x v="0"/>
    <x v="571"/>
    <d v="2013-03-17T00:00:00"/>
    <x v="2"/>
    <x v="1"/>
    <s v="Competição SPAutores/Vasco Granja"/>
    <m/>
    <x v="7"/>
    <x v="0"/>
    <m/>
    <x v="1"/>
    <x v="4"/>
    <x v="1910"/>
    <x v="3"/>
    <x v="641"/>
    <x v="1"/>
    <x v="571"/>
    <x v="5528"/>
  </r>
  <r>
    <x v="2"/>
    <n v="1729"/>
    <x v="1889"/>
    <x v="2"/>
    <s v="CM"/>
    <s v="S"/>
    <x v="1014"/>
    <x v="3"/>
    <x v="1018"/>
    <m/>
    <x v="24"/>
    <m/>
    <x v="3"/>
    <x v="0"/>
    <x v="497"/>
    <m/>
    <x v="5"/>
    <x v="1"/>
    <m/>
    <m/>
    <x v="527"/>
    <x v="1"/>
    <m/>
    <x v="1"/>
    <x v="4"/>
    <x v="1910"/>
    <x v="3"/>
    <x v="642"/>
    <x v="1"/>
    <x v="497"/>
    <x v="5529"/>
  </r>
  <r>
    <x v="2"/>
    <n v="1729"/>
    <x v="1889"/>
    <x v="2"/>
    <s v="CM"/>
    <s v="S"/>
    <x v="1014"/>
    <x v="3"/>
    <x v="975"/>
    <m/>
    <x v="441"/>
    <m/>
    <x v="75"/>
    <x v="0"/>
    <x v="666"/>
    <d v="2013-06-21T00:00:00"/>
    <x v="22"/>
    <x v="1"/>
    <m/>
    <m/>
    <x v="0"/>
    <x v="0"/>
    <m/>
    <x v="0"/>
    <x v="4"/>
    <x v="1910"/>
    <x v="75"/>
    <x v="0"/>
    <x v="0"/>
    <x v="666"/>
    <x v="5530"/>
  </r>
  <r>
    <x v="2"/>
    <n v="1729"/>
    <x v="1889"/>
    <x v="2"/>
    <s v="CM"/>
    <s v="S"/>
    <x v="1014"/>
    <x v="3"/>
    <x v="827"/>
    <m/>
    <x v="24"/>
    <m/>
    <x v="3"/>
    <x v="0"/>
    <x v="506"/>
    <m/>
    <x v="7"/>
    <x v="1"/>
    <m/>
    <m/>
    <x v="0"/>
    <x v="0"/>
    <m/>
    <x v="0"/>
    <x v="4"/>
    <x v="1910"/>
    <x v="3"/>
    <x v="0"/>
    <x v="1"/>
    <x v="506"/>
    <x v="5531"/>
  </r>
  <r>
    <x v="2"/>
    <n v="1729"/>
    <x v="1889"/>
    <x v="2"/>
    <s v="CM"/>
    <s v="S"/>
    <x v="1014"/>
    <x v="3"/>
    <x v="900"/>
    <m/>
    <x v="15"/>
    <m/>
    <x v="3"/>
    <x v="0"/>
    <x v="601"/>
    <m/>
    <x v="8"/>
    <x v="1"/>
    <m/>
    <m/>
    <x v="528"/>
    <x v="1"/>
    <m/>
    <x v="1"/>
    <x v="4"/>
    <x v="1910"/>
    <x v="3"/>
    <x v="643"/>
    <x v="1"/>
    <x v="601"/>
    <x v="5532"/>
  </r>
  <r>
    <x v="2"/>
    <n v="1729"/>
    <x v="1889"/>
    <x v="2"/>
    <s v="CM"/>
    <s v="S"/>
    <x v="1014"/>
    <x v="3"/>
    <x v="951"/>
    <m/>
    <x v="11"/>
    <m/>
    <x v="3"/>
    <x v="0"/>
    <x v="568"/>
    <d v="2013-10-12T00:00:00"/>
    <x v="14"/>
    <x v="1"/>
    <s v="Animação"/>
    <m/>
    <x v="430"/>
    <x v="0"/>
    <m/>
    <x v="1"/>
    <x v="4"/>
    <x v="1910"/>
    <x v="3"/>
    <x v="644"/>
    <x v="1"/>
    <x v="568"/>
    <x v="5533"/>
  </r>
  <r>
    <x v="2"/>
    <n v="1729"/>
    <x v="1889"/>
    <x v="2"/>
    <s v="CM"/>
    <s v="S"/>
    <x v="1014"/>
    <x v="3"/>
    <x v="245"/>
    <m/>
    <x v="172"/>
    <m/>
    <x v="49"/>
    <x v="0"/>
    <x v="546"/>
    <d v="2013-12-01T00:00:00"/>
    <x v="11"/>
    <x v="0"/>
    <m/>
    <s v="Panorama I"/>
    <x v="0"/>
    <x v="0"/>
    <m/>
    <x v="0"/>
    <x v="4"/>
    <x v="1910"/>
    <x v="49"/>
    <x v="0"/>
    <x v="0"/>
    <x v="546"/>
    <x v="5534"/>
  </r>
  <r>
    <x v="2"/>
    <n v="1729"/>
    <x v="1889"/>
    <x v="2"/>
    <s v="CM"/>
    <s v="S"/>
    <x v="1014"/>
    <x v="3"/>
    <x v="907"/>
    <m/>
    <x v="24"/>
    <m/>
    <x v="3"/>
    <x v="0"/>
    <x v="606"/>
    <d v="2013-12-15T00:00:00"/>
    <x v="12"/>
    <x v="1"/>
    <s v="Categoria Fundação INATEL"/>
    <m/>
    <x v="7"/>
    <x v="2"/>
    <m/>
    <x v="1"/>
    <x v="4"/>
    <x v="1910"/>
    <x v="3"/>
    <x v="645"/>
    <x v="1"/>
    <x v="606"/>
    <x v="5535"/>
  </r>
  <r>
    <x v="2"/>
    <n v="1636"/>
    <x v="1890"/>
    <x v="2"/>
    <s v="CM"/>
    <s v="N"/>
    <x v="1228"/>
    <x v="5"/>
    <x v="840"/>
    <m/>
    <x v="24"/>
    <m/>
    <x v="3"/>
    <x v="0"/>
    <x v="522"/>
    <d v="2013-01-27T00:00:00"/>
    <x v="15"/>
    <x v="1"/>
    <s v="Competição ClapKids"/>
    <m/>
    <x v="0"/>
    <x v="0"/>
    <m/>
    <x v="0"/>
    <x v="4"/>
    <x v="1911"/>
    <x v="3"/>
    <x v="0"/>
    <x v="1"/>
    <x v="522"/>
    <x v="5536"/>
  </r>
  <r>
    <x v="2"/>
    <n v="1771"/>
    <x v="1891"/>
    <x v="0"/>
    <s v="CM"/>
    <s v="N"/>
    <x v="186"/>
    <x v="52"/>
    <x v="146"/>
    <m/>
    <x v="24"/>
    <m/>
    <x v="3"/>
    <x v="0"/>
    <x v="537"/>
    <d v="2013-04-28T00:00:00"/>
    <x v="5"/>
    <x v="1"/>
    <s v="Competição Internacional Curtas 7, Competição Nacional Curtas 1"/>
    <m/>
    <x v="529"/>
    <x v="0"/>
    <m/>
    <x v="1"/>
    <x v="0"/>
    <x v="1912"/>
    <x v="3"/>
    <x v="646"/>
    <x v="1"/>
    <x v="537"/>
    <x v="5537"/>
  </r>
  <r>
    <x v="2"/>
    <n v="1771"/>
    <x v="1891"/>
    <x v="0"/>
    <s v="CM"/>
    <s v="N"/>
    <x v="186"/>
    <x v="52"/>
    <x v="68"/>
    <m/>
    <x v="53"/>
    <m/>
    <x v="3"/>
    <x v="0"/>
    <x v="573"/>
    <d v="2013-07-14T00:00:00"/>
    <x v="8"/>
    <x v="0"/>
    <m/>
    <s v="Panorama Nacional"/>
    <x v="0"/>
    <x v="0"/>
    <m/>
    <x v="0"/>
    <x v="0"/>
    <x v="1912"/>
    <x v="3"/>
    <x v="0"/>
    <x v="1"/>
    <x v="573"/>
    <x v="5538"/>
  </r>
  <r>
    <x v="2"/>
    <n v="1771"/>
    <x v="1891"/>
    <x v="0"/>
    <s v="CM"/>
    <s v="N"/>
    <x v="186"/>
    <x v="52"/>
    <x v="870"/>
    <m/>
    <x v="59"/>
    <m/>
    <x v="3"/>
    <x v="0"/>
    <x v="568"/>
    <d v="2013-10-13T00:00:00"/>
    <x v="14"/>
    <x v="1"/>
    <s v="Competição Nacional"/>
    <m/>
    <x v="0"/>
    <x v="0"/>
    <m/>
    <x v="0"/>
    <x v="0"/>
    <x v="1912"/>
    <x v="3"/>
    <x v="0"/>
    <x v="1"/>
    <x v="568"/>
    <x v="5539"/>
  </r>
  <r>
    <x v="2"/>
    <n v="1771"/>
    <x v="1891"/>
    <x v="0"/>
    <s v="CM"/>
    <s v="N"/>
    <x v="186"/>
    <x v="52"/>
    <x v="309"/>
    <m/>
    <x v="174"/>
    <m/>
    <x v="1"/>
    <x v="0"/>
    <x v="545"/>
    <d v="2013-11-24T00:00:00"/>
    <x v="13"/>
    <x v="1"/>
    <s v="L'Alternativa Oficiales: Cortos 2"/>
    <m/>
    <x v="530"/>
    <x v="0"/>
    <m/>
    <x v="1"/>
    <x v="0"/>
    <x v="1912"/>
    <x v="1"/>
    <x v="647"/>
    <x v="0"/>
    <x v="545"/>
    <x v="5540"/>
  </r>
  <r>
    <x v="2"/>
    <n v="1585"/>
    <x v="1275"/>
    <x v="0"/>
    <s v="CM"/>
    <s v="N"/>
    <x v="856"/>
    <x v="41"/>
    <x v="1019"/>
    <m/>
    <x v="23"/>
    <m/>
    <x v="3"/>
    <x v="0"/>
    <x v="610"/>
    <m/>
    <x v="5"/>
    <x v="0"/>
    <m/>
    <s v="Curta convidada"/>
    <x v="0"/>
    <x v="1"/>
    <m/>
    <x v="0"/>
    <x v="0"/>
    <x v="1283"/>
    <x v="3"/>
    <x v="0"/>
    <x v="1"/>
    <x v="610"/>
    <x v="5541"/>
  </r>
  <r>
    <x v="2"/>
    <n v="1944"/>
    <x v="1892"/>
    <x v="0"/>
    <s v="CM"/>
    <s v="N"/>
    <x v="106"/>
    <x v="52"/>
    <x v="68"/>
    <m/>
    <x v="53"/>
    <m/>
    <x v="3"/>
    <x v="0"/>
    <x v="573"/>
    <d v="2013-07-14T00:00:00"/>
    <x v="8"/>
    <x v="0"/>
    <m/>
    <s v="Estaleiro"/>
    <x v="0"/>
    <x v="0"/>
    <m/>
    <x v="0"/>
    <x v="0"/>
    <x v="1913"/>
    <x v="3"/>
    <x v="0"/>
    <x v="1"/>
    <x v="573"/>
    <x v="5542"/>
  </r>
  <r>
    <x v="2"/>
    <n v="1944"/>
    <x v="1892"/>
    <x v="0"/>
    <s v="CM"/>
    <s v="N"/>
    <x v="106"/>
    <x v="52"/>
    <x v="147"/>
    <m/>
    <x v="112"/>
    <m/>
    <x v="34"/>
    <x v="0"/>
    <x v="626"/>
    <d v="2013-08-17T00:00:00"/>
    <x v="16"/>
    <x v="2"/>
    <m/>
    <s v="Fuori Concorso: Shorts"/>
    <x v="0"/>
    <x v="0"/>
    <m/>
    <x v="0"/>
    <x v="0"/>
    <x v="1913"/>
    <x v="34"/>
    <x v="0"/>
    <x v="0"/>
    <x v="626"/>
    <x v="5543"/>
  </r>
  <r>
    <x v="2"/>
    <n v="1944"/>
    <x v="1892"/>
    <x v="0"/>
    <s v="CM"/>
    <s v="N"/>
    <x v="106"/>
    <x v="52"/>
    <x v="948"/>
    <m/>
    <x v="246"/>
    <m/>
    <x v="24"/>
    <x v="0"/>
    <x v="645"/>
    <d v="2013-08-23T00:00:00"/>
    <x v="16"/>
    <x v="0"/>
    <m/>
    <s v="Carte Blanche: Vila do Conde"/>
    <x v="0"/>
    <x v="0"/>
    <m/>
    <x v="0"/>
    <x v="0"/>
    <x v="1913"/>
    <x v="24"/>
    <x v="0"/>
    <x v="0"/>
    <x v="645"/>
    <x v="5544"/>
  </r>
  <r>
    <x v="2"/>
    <n v="1944"/>
    <x v="1892"/>
    <x v="0"/>
    <s v="CM"/>
    <s v="N"/>
    <x v="106"/>
    <x v="52"/>
    <x v="148"/>
    <m/>
    <x v="113"/>
    <m/>
    <x v="7"/>
    <x v="0"/>
    <x v="505"/>
    <d v="2013-10-11T00:00:00"/>
    <x v="10"/>
    <x v="0"/>
    <m/>
    <s v="Cinema of Our Time"/>
    <x v="0"/>
    <x v="0"/>
    <m/>
    <x v="0"/>
    <x v="0"/>
    <x v="1913"/>
    <x v="7"/>
    <x v="0"/>
    <x v="0"/>
    <x v="505"/>
    <x v="5545"/>
  </r>
  <r>
    <x v="2"/>
    <n v="1944"/>
    <x v="1892"/>
    <x v="0"/>
    <s v="CM"/>
    <s v="N"/>
    <x v="106"/>
    <x v="52"/>
    <x v="1020"/>
    <m/>
    <x v="454"/>
    <m/>
    <x v="11"/>
    <x v="0"/>
    <x v="619"/>
    <d v="2013-10-03T00:00:00"/>
    <x v="10"/>
    <x v="1"/>
    <s v="Official Selection"/>
    <m/>
    <x v="0"/>
    <x v="0"/>
    <s v="Director de Fotografia: José Magro"/>
    <x v="0"/>
    <x v="0"/>
    <x v="1913"/>
    <x v="11"/>
    <x v="0"/>
    <x v="0"/>
    <x v="619"/>
    <x v="5546"/>
  </r>
  <r>
    <x v="2"/>
    <n v="1944"/>
    <x v="1892"/>
    <x v="0"/>
    <s v="CM"/>
    <s v="N"/>
    <x v="106"/>
    <x v="52"/>
    <x v="389"/>
    <m/>
    <x v="173"/>
    <m/>
    <x v="7"/>
    <x v="0"/>
    <x v="615"/>
    <d v="2013-10-20T00:00:00"/>
    <x v="14"/>
    <x v="1"/>
    <s v="Compétition Internationale Courts-Métrages: Des Villes et des Hommes"/>
    <m/>
    <x v="0"/>
    <x v="0"/>
    <m/>
    <x v="0"/>
    <x v="0"/>
    <x v="1913"/>
    <x v="7"/>
    <x v="0"/>
    <x v="0"/>
    <x v="615"/>
    <x v="5547"/>
  </r>
  <r>
    <x v="2"/>
    <n v="1944"/>
    <x v="1892"/>
    <x v="0"/>
    <s v="CM"/>
    <s v="N"/>
    <x v="106"/>
    <x v="52"/>
    <x v="837"/>
    <m/>
    <x v="414"/>
    <m/>
    <x v="18"/>
    <x v="0"/>
    <x v="518"/>
    <d v="2013-10-23T00:00:00"/>
    <x v="14"/>
    <x v="0"/>
    <m/>
    <s v="Beyond Docs"/>
    <x v="0"/>
    <x v="0"/>
    <m/>
    <x v="0"/>
    <x v="0"/>
    <x v="1913"/>
    <x v="18"/>
    <x v="0"/>
    <x v="0"/>
    <x v="518"/>
    <x v="5548"/>
  </r>
  <r>
    <x v="2"/>
    <n v="1944"/>
    <x v="1892"/>
    <x v="0"/>
    <s v="CM"/>
    <s v="N"/>
    <x v="106"/>
    <x v="52"/>
    <x v="492"/>
    <m/>
    <x v="128"/>
    <m/>
    <x v="1"/>
    <x v="0"/>
    <x v="519"/>
    <d v="2013-11-16T00:00:00"/>
    <x v="13"/>
    <x v="0"/>
    <m/>
    <s v="Focus Europa: Portugal"/>
    <x v="0"/>
    <x v="0"/>
    <m/>
    <x v="0"/>
    <x v="0"/>
    <x v="1913"/>
    <x v="1"/>
    <x v="0"/>
    <x v="0"/>
    <x v="519"/>
    <x v="5549"/>
  </r>
  <r>
    <x v="2"/>
    <n v="1944"/>
    <x v="1892"/>
    <x v="0"/>
    <s v="CM"/>
    <s v="N"/>
    <x v="106"/>
    <x v="52"/>
    <x v="143"/>
    <m/>
    <x v="109"/>
    <m/>
    <x v="2"/>
    <x v="0"/>
    <x v="519"/>
    <d v="2013-11-16T00:00:00"/>
    <x v="13"/>
    <x v="0"/>
    <m/>
    <s v="Cartes Blanches: Vila do Conde"/>
    <x v="0"/>
    <x v="0"/>
    <m/>
    <x v="0"/>
    <x v="0"/>
    <x v="1913"/>
    <x v="2"/>
    <x v="0"/>
    <x v="0"/>
    <x v="519"/>
    <x v="5550"/>
  </r>
  <r>
    <x v="2"/>
    <n v="1944"/>
    <x v="1892"/>
    <x v="0"/>
    <s v="CM"/>
    <s v="N"/>
    <x v="106"/>
    <x v="52"/>
    <x v="352"/>
    <m/>
    <x v="147"/>
    <m/>
    <x v="1"/>
    <x v="0"/>
    <x v="699"/>
    <d v="2013-11-22T00:00:00"/>
    <x v="13"/>
    <x v="1"/>
    <s v="Sección Oficial/Concurso Internacional"/>
    <m/>
    <x v="531"/>
    <x v="0"/>
    <m/>
    <x v="1"/>
    <x v="0"/>
    <x v="1913"/>
    <x v="1"/>
    <x v="648"/>
    <x v="0"/>
    <x v="699"/>
    <x v="5551"/>
  </r>
  <r>
    <x v="2"/>
    <n v="1944"/>
    <x v="1892"/>
    <x v="0"/>
    <s v="CM"/>
    <s v="N"/>
    <x v="106"/>
    <x v="52"/>
    <x v="890"/>
    <m/>
    <x v="319"/>
    <m/>
    <x v="1"/>
    <x v="0"/>
    <x v="594"/>
    <d v="2013-12-13T00:00:00"/>
    <x v="11"/>
    <x v="0"/>
    <m/>
    <s v="Curtametraxes: João Pedro Rodrigues"/>
    <x v="0"/>
    <x v="1"/>
    <s v="No CGAI"/>
    <x v="0"/>
    <x v="0"/>
    <x v="1913"/>
    <x v="1"/>
    <x v="0"/>
    <x v="0"/>
    <x v="594"/>
    <x v="5552"/>
  </r>
  <r>
    <x v="2"/>
    <n v="1720"/>
    <x v="1893"/>
    <x v="0"/>
    <s v="CM"/>
    <s v="N"/>
    <x v="1229"/>
    <x v="2"/>
    <x v="62"/>
    <m/>
    <x v="23"/>
    <m/>
    <x v="3"/>
    <x v="0"/>
    <x v="503"/>
    <d v="2013-03-10T00:00:00"/>
    <x v="19"/>
    <x v="1"/>
    <s v="Prémio de Cinema Português - Escolas de Cinema"/>
    <m/>
    <x v="0"/>
    <x v="0"/>
    <s v="Universidade do Minho"/>
    <x v="0"/>
    <x v="0"/>
    <x v="1914"/>
    <x v="3"/>
    <x v="0"/>
    <x v="1"/>
    <x v="503"/>
    <x v="5553"/>
  </r>
  <r>
    <x v="2"/>
    <n v="1843"/>
    <x v="1894"/>
    <x v="0"/>
    <s v="CM"/>
    <s v="N"/>
    <x v="1059"/>
    <x v="52"/>
    <x v="454"/>
    <m/>
    <x v="15"/>
    <m/>
    <x v="3"/>
    <x v="0"/>
    <x v="334"/>
    <m/>
    <x v="8"/>
    <x v="1"/>
    <s v="Ficção"/>
    <m/>
    <x v="0"/>
    <x v="0"/>
    <m/>
    <x v="0"/>
    <x v="0"/>
    <x v="1915"/>
    <x v="3"/>
    <x v="0"/>
    <x v="1"/>
    <x v="334"/>
    <x v="5554"/>
  </r>
  <r>
    <x v="2"/>
    <n v="1843"/>
    <x v="1894"/>
    <x v="0"/>
    <s v="CM"/>
    <s v="N"/>
    <x v="1059"/>
    <x v="52"/>
    <x v="1021"/>
    <m/>
    <x v="15"/>
    <m/>
    <x v="3"/>
    <x v="0"/>
    <x v="542"/>
    <m/>
    <x v="9"/>
    <x v="1"/>
    <m/>
    <m/>
    <x v="0"/>
    <x v="1"/>
    <m/>
    <x v="0"/>
    <x v="0"/>
    <x v="1915"/>
    <x v="3"/>
    <x v="0"/>
    <x v="1"/>
    <x v="542"/>
    <x v="5555"/>
  </r>
  <r>
    <x v="2"/>
    <n v="1386"/>
    <x v="1280"/>
    <x v="1"/>
    <s v="CM"/>
    <s v="N"/>
    <x v="859"/>
    <x v="41"/>
    <x v="539"/>
    <m/>
    <x v="76"/>
    <m/>
    <x v="3"/>
    <x v="0"/>
    <x v="678"/>
    <d v="2013-04-21T00:00:00"/>
    <x v="5"/>
    <x v="0"/>
    <m/>
    <s v="Spectrum Português"/>
    <x v="0"/>
    <x v="0"/>
    <m/>
    <x v="0"/>
    <x v="2"/>
    <x v="1288"/>
    <x v="3"/>
    <x v="0"/>
    <x v="1"/>
    <x v="678"/>
    <x v="5556"/>
  </r>
  <r>
    <x v="2"/>
    <n v="702"/>
    <x v="1281"/>
    <x v="0"/>
    <s v="CM"/>
    <s v="S"/>
    <x v="401"/>
    <x v="3"/>
    <x v="90"/>
    <m/>
    <x v="69"/>
    <m/>
    <x v="8"/>
    <x v="0"/>
    <x v="602"/>
    <d v="2013-02-03T00:00:00"/>
    <x v="18"/>
    <x v="0"/>
    <m/>
    <s v="Spectrum Shorts - Take Off"/>
    <x v="0"/>
    <x v="0"/>
    <m/>
    <x v="0"/>
    <x v="0"/>
    <x v="1289"/>
    <x v="8"/>
    <x v="0"/>
    <x v="0"/>
    <x v="602"/>
    <x v="5557"/>
  </r>
  <r>
    <x v="2"/>
    <n v="702"/>
    <x v="1281"/>
    <x v="0"/>
    <s v="CM"/>
    <s v="S"/>
    <x v="401"/>
    <x v="3"/>
    <x v="427"/>
    <m/>
    <x v="275"/>
    <m/>
    <x v="65"/>
    <x v="0"/>
    <x v="638"/>
    <d v="2013-03-10T00:00:00"/>
    <x v="2"/>
    <x v="0"/>
    <m/>
    <s v="EFA - Short Matters 3"/>
    <x v="0"/>
    <x v="0"/>
    <m/>
    <x v="0"/>
    <x v="0"/>
    <x v="1289"/>
    <x v="65"/>
    <x v="0"/>
    <x v="0"/>
    <x v="638"/>
    <x v="5558"/>
  </r>
  <r>
    <x v="2"/>
    <n v="702"/>
    <x v="1281"/>
    <x v="0"/>
    <s v="CM"/>
    <s v="S"/>
    <x v="401"/>
    <x v="3"/>
    <x v="323"/>
    <m/>
    <x v="209"/>
    <m/>
    <x v="51"/>
    <x v="0"/>
    <x v="590"/>
    <d v="2013-04-14T00:00:00"/>
    <x v="5"/>
    <x v="0"/>
    <m/>
    <s v="European Film Academy"/>
    <x v="0"/>
    <x v="0"/>
    <m/>
    <x v="0"/>
    <x v="0"/>
    <x v="1289"/>
    <x v="51"/>
    <x v="0"/>
    <x v="0"/>
    <x v="590"/>
    <x v="5559"/>
  </r>
  <r>
    <x v="2"/>
    <n v="702"/>
    <x v="1281"/>
    <x v="0"/>
    <s v="CM"/>
    <s v="S"/>
    <x v="401"/>
    <x v="3"/>
    <x v="522"/>
    <m/>
    <x v="165"/>
    <m/>
    <x v="4"/>
    <x v="0"/>
    <x v="590"/>
    <d v="2013-04-21T00:00:00"/>
    <x v="5"/>
    <x v="0"/>
    <m/>
    <s v="Vanguardia y Género"/>
    <x v="0"/>
    <x v="0"/>
    <m/>
    <x v="0"/>
    <x v="0"/>
    <x v="1289"/>
    <x v="4"/>
    <x v="0"/>
    <x v="0"/>
    <x v="590"/>
    <x v="5560"/>
  </r>
  <r>
    <x v="2"/>
    <n v="702"/>
    <x v="1281"/>
    <x v="0"/>
    <s v="CM"/>
    <s v="S"/>
    <x v="401"/>
    <x v="3"/>
    <x v="973"/>
    <m/>
    <x v="440"/>
    <m/>
    <x v="51"/>
    <x v="0"/>
    <x v="612"/>
    <d v="2013-04-28T00:00:00"/>
    <x v="5"/>
    <x v="0"/>
    <m/>
    <s v="Short Matters!"/>
    <x v="0"/>
    <x v="0"/>
    <m/>
    <x v="0"/>
    <x v="0"/>
    <x v="1289"/>
    <x v="51"/>
    <x v="0"/>
    <x v="0"/>
    <x v="612"/>
    <x v="5561"/>
  </r>
  <r>
    <x v="2"/>
    <n v="702"/>
    <x v="1281"/>
    <x v="0"/>
    <s v="CM"/>
    <s v="S"/>
    <x v="401"/>
    <x v="3"/>
    <x v="864"/>
    <m/>
    <x v="32"/>
    <m/>
    <x v="3"/>
    <x v="0"/>
    <x v="562"/>
    <d v="2013-06-16T00:00:00"/>
    <x v="7"/>
    <x v="0"/>
    <m/>
    <s v="Short Matters - Programa III"/>
    <x v="0"/>
    <x v="0"/>
    <m/>
    <x v="0"/>
    <x v="0"/>
    <x v="1289"/>
    <x v="3"/>
    <x v="0"/>
    <x v="1"/>
    <x v="562"/>
    <x v="5562"/>
  </r>
  <r>
    <x v="2"/>
    <n v="702"/>
    <x v="1281"/>
    <x v="0"/>
    <s v="CM"/>
    <s v="S"/>
    <x v="401"/>
    <x v="3"/>
    <x v="1022"/>
    <m/>
    <x v="455"/>
    <m/>
    <x v="50"/>
    <x v="0"/>
    <x v="506"/>
    <d v="2013-06-16T00:00:00"/>
    <x v="7"/>
    <x v="0"/>
    <m/>
    <s v="EFA 3"/>
    <x v="0"/>
    <x v="0"/>
    <m/>
    <x v="0"/>
    <x v="0"/>
    <x v="1289"/>
    <x v="50"/>
    <x v="0"/>
    <x v="0"/>
    <x v="506"/>
    <x v="5563"/>
  </r>
  <r>
    <x v="2"/>
    <n v="702"/>
    <x v="1281"/>
    <x v="0"/>
    <s v="CM"/>
    <s v="S"/>
    <x v="401"/>
    <x v="3"/>
    <x v="835"/>
    <m/>
    <x v="243"/>
    <m/>
    <x v="64"/>
    <x v="0"/>
    <x v="515"/>
    <d v="2013-06-29T00:00:00"/>
    <x v="7"/>
    <x v="0"/>
    <m/>
    <s v="Short Matters! Seance 2"/>
    <x v="0"/>
    <x v="0"/>
    <m/>
    <x v="0"/>
    <x v="0"/>
    <x v="1289"/>
    <x v="64"/>
    <x v="0"/>
    <x v="0"/>
    <x v="515"/>
    <x v="5564"/>
  </r>
  <r>
    <x v="2"/>
    <n v="702"/>
    <x v="1281"/>
    <x v="0"/>
    <s v="CM"/>
    <s v="S"/>
    <x v="401"/>
    <x v="3"/>
    <x v="922"/>
    <m/>
    <x v="117"/>
    <m/>
    <x v="9"/>
    <x v="0"/>
    <x v="618"/>
    <d v="2013-08-04T00:00:00"/>
    <x v="25"/>
    <x v="0"/>
    <m/>
    <s v="New Portuguese Cinema"/>
    <x v="0"/>
    <x v="0"/>
    <m/>
    <x v="0"/>
    <x v="0"/>
    <x v="1289"/>
    <x v="9"/>
    <x v="0"/>
    <x v="0"/>
    <x v="618"/>
    <x v="5565"/>
  </r>
  <r>
    <x v="2"/>
    <n v="702"/>
    <x v="1281"/>
    <x v="0"/>
    <s v="CM"/>
    <s v="S"/>
    <x v="401"/>
    <x v="3"/>
    <x v="927"/>
    <m/>
    <x v="431"/>
    <m/>
    <x v="74"/>
    <x v="0"/>
    <x v="623"/>
    <d v="2013-08-25T00:00:00"/>
    <x v="16"/>
    <x v="0"/>
    <m/>
    <s v="EFA Short Matters"/>
    <x v="0"/>
    <x v="0"/>
    <m/>
    <x v="0"/>
    <x v="0"/>
    <x v="1289"/>
    <x v="74"/>
    <x v="0"/>
    <x v="0"/>
    <x v="623"/>
    <x v="5566"/>
  </r>
  <r>
    <x v="2"/>
    <n v="702"/>
    <x v="1281"/>
    <x v="0"/>
    <s v="CM"/>
    <s v="S"/>
    <x v="401"/>
    <x v="3"/>
    <x v="918"/>
    <m/>
    <x v="256"/>
    <m/>
    <x v="9"/>
    <x v="0"/>
    <x v="541"/>
    <d v="2013-09-08T00:00:00"/>
    <x v="9"/>
    <x v="0"/>
    <m/>
    <s v="The Way of All Flesh"/>
    <x v="0"/>
    <x v="0"/>
    <m/>
    <x v="0"/>
    <x v="0"/>
    <x v="1289"/>
    <x v="9"/>
    <x v="0"/>
    <x v="0"/>
    <x v="541"/>
    <x v="5567"/>
  </r>
  <r>
    <x v="2"/>
    <n v="702"/>
    <x v="1281"/>
    <x v="0"/>
    <s v="CM"/>
    <s v="S"/>
    <x v="401"/>
    <x v="3"/>
    <x v="1023"/>
    <m/>
    <x v="424"/>
    <m/>
    <x v="23"/>
    <x v="0"/>
    <x v="624"/>
    <d v="2013-10-12T00:00:00"/>
    <x v="14"/>
    <x v="0"/>
    <m/>
    <m/>
    <x v="0"/>
    <x v="0"/>
    <m/>
    <x v="0"/>
    <x v="0"/>
    <x v="1289"/>
    <x v="23"/>
    <x v="0"/>
    <x v="0"/>
    <x v="624"/>
    <x v="5568"/>
  </r>
  <r>
    <x v="2"/>
    <n v="702"/>
    <x v="1281"/>
    <x v="0"/>
    <s v="CM"/>
    <s v="S"/>
    <x v="401"/>
    <x v="3"/>
    <x v="1024"/>
    <m/>
    <x v="85"/>
    <m/>
    <x v="23"/>
    <x v="0"/>
    <x v="701"/>
    <d v="2013-11-02T00:00:00"/>
    <x v="0"/>
    <x v="0"/>
    <m/>
    <m/>
    <x v="0"/>
    <x v="0"/>
    <m/>
    <x v="0"/>
    <x v="0"/>
    <x v="1289"/>
    <x v="23"/>
    <x v="0"/>
    <x v="0"/>
    <x v="701"/>
    <x v="5569"/>
  </r>
  <r>
    <x v="2"/>
    <n v="702"/>
    <x v="1281"/>
    <x v="0"/>
    <s v="CM"/>
    <s v="S"/>
    <x v="401"/>
    <x v="3"/>
    <x v="95"/>
    <m/>
    <x v="74"/>
    <m/>
    <x v="1"/>
    <x v="0"/>
    <x v="519"/>
    <d v="2013-11-15T00:00:00"/>
    <x v="13"/>
    <x v="0"/>
    <m/>
    <s v="Short Matters 1"/>
    <x v="0"/>
    <x v="0"/>
    <m/>
    <x v="0"/>
    <x v="0"/>
    <x v="1289"/>
    <x v="1"/>
    <x v="0"/>
    <x v="0"/>
    <x v="519"/>
    <x v="5570"/>
  </r>
  <r>
    <x v="2"/>
    <n v="702"/>
    <x v="1281"/>
    <x v="0"/>
    <s v="CM"/>
    <s v="S"/>
    <x v="401"/>
    <x v="3"/>
    <x v="890"/>
    <m/>
    <x v="319"/>
    <m/>
    <x v="1"/>
    <x v="0"/>
    <x v="594"/>
    <d v="2013-12-13T00:00:00"/>
    <x v="11"/>
    <x v="0"/>
    <m/>
    <s v="Curtametraxes: João Pedro Rodrigues"/>
    <x v="0"/>
    <x v="1"/>
    <s v="No CGAI"/>
    <x v="0"/>
    <x v="0"/>
    <x v="1289"/>
    <x v="1"/>
    <x v="0"/>
    <x v="0"/>
    <x v="594"/>
    <x v="5571"/>
  </r>
  <r>
    <x v="2"/>
    <n v="1985"/>
    <x v="1895"/>
    <x v="0"/>
    <s v="CM"/>
    <s v="N"/>
    <x v="789"/>
    <x v="1"/>
    <x v="58"/>
    <m/>
    <x v="47"/>
    <m/>
    <x v="3"/>
    <x v="0"/>
    <x v="542"/>
    <d v="2013-09-08T00:00:00"/>
    <x v="9"/>
    <x v="0"/>
    <m/>
    <s v="Homenagem a Urbano Tavares Rodrigues"/>
    <x v="0"/>
    <x v="1"/>
    <m/>
    <x v="0"/>
    <x v="0"/>
    <x v="1916"/>
    <x v="3"/>
    <x v="0"/>
    <x v="1"/>
    <x v="542"/>
    <x v="5572"/>
  </r>
  <r>
    <x v="2"/>
    <n v="1881"/>
    <x v="1896"/>
    <x v="1"/>
    <s v="CM"/>
    <s v="N"/>
    <x v="1230"/>
    <x v="3"/>
    <x v="519"/>
    <m/>
    <x v="24"/>
    <m/>
    <x v="3"/>
    <x v="0"/>
    <x v="504"/>
    <d v="2013-05-11T00:00:00"/>
    <x v="6"/>
    <x v="0"/>
    <m/>
    <m/>
    <x v="0"/>
    <x v="1"/>
    <m/>
    <x v="0"/>
    <x v="2"/>
    <x v="1917"/>
    <x v="3"/>
    <x v="0"/>
    <x v="1"/>
    <x v="504"/>
    <x v="5573"/>
  </r>
  <r>
    <x v="2"/>
    <n v="1756"/>
    <x v="1897"/>
    <x v="3"/>
    <s v="CM"/>
    <s v=""/>
    <x v="362"/>
    <x v="18"/>
    <x v="3"/>
    <m/>
    <x v="3"/>
    <m/>
    <x v="2"/>
    <x v="0"/>
    <x v="596"/>
    <d v="2013-03-31T00:00:00"/>
    <x v="2"/>
    <x v="0"/>
    <m/>
    <s v="Les Bonnes - Remue-ménage en Images!"/>
    <x v="0"/>
    <x v="0"/>
    <m/>
    <x v="0"/>
    <x v="6"/>
    <x v="1918"/>
    <x v="2"/>
    <x v="0"/>
    <x v="0"/>
    <x v="596"/>
    <x v="5574"/>
  </r>
  <r>
    <x v="2"/>
    <n v="711"/>
    <x v="488"/>
    <x v="0"/>
    <s v="LM"/>
    <s v="N"/>
    <x v="381"/>
    <x v="30"/>
    <x v="846"/>
    <m/>
    <x v="417"/>
    <m/>
    <x v="11"/>
    <x v="0"/>
    <x v="535"/>
    <d v="2013-08-03T00:00:00"/>
    <x v="25"/>
    <x v="0"/>
    <m/>
    <s v="Focus Portugal: Silent Films"/>
    <x v="0"/>
    <x v="0"/>
    <m/>
    <x v="0"/>
    <x v="5"/>
    <x v="490"/>
    <x v="11"/>
    <x v="0"/>
    <x v="0"/>
    <x v="535"/>
    <x v="5575"/>
  </r>
  <r>
    <x v="2"/>
    <n v="1602"/>
    <x v="1285"/>
    <x v="2"/>
    <s v="CM"/>
    <s v="N"/>
    <x v="861"/>
    <x v="41"/>
    <x v="62"/>
    <m/>
    <x v="23"/>
    <m/>
    <x v="3"/>
    <x v="0"/>
    <x v="503"/>
    <d v="2013-03-10T00:00:00"/>
    <x v="19"/>
    <x v="1"/>
    <s v="Prémio de Cinema Português - Escolas de Cinema"/>
    <m/>
    <x v="0"/>
    <x v="0"/>
    <s v="Escola Artística de Soares dos Reis"/>
    <x v="0"/>
    <x v="4"/>
    <x v="1293"/>
    <x v="3"/>
    <x v="0"/>
    <x v="1"/>
    <x v="503"/>
    <x v="5576"/>
  </r>
  <r>
    <x v="2"/>
    <n v="713"/>
    <x v="490"/>
    <x v="1"/>
    <s v="CM"/>
    <s v="N"/>
    <x v="383"/>
    <x v="2"/>
    <x v="868"/>
    <m/>
    <x v="24"/>
    <m/>
    <x v="3"/>
    <x v="0"/>
    <x v="565"/>
    <m/>
    <x v="1"/>
    <x v="0"/>
    <m/>
    <m/>
    <x v="40"/>
    <x v="2"/>
    <m/>
    <x v="1"/>
    <x v="2"/>
    <x v="492"/>
    <x v="3"/>
    <x v="42"/>
    <x v="1"/>
    <x v="565"/>
    <x v="5577"/>
  </r>
  <r>
    <x v="2"/>
    <n v="1833"/>
    <x v="1898"/>
    <x v="1"/>
    <s v="LM"/>
    <s v="S"/>
    <x v="1231"/>
    <x v="22"/>
    <x v="906"/>
    <m/>
    <x v="348"/>
    <m/>
    <x v="3"/>
    <x v="0"/>
    <x v="592"/>
    <d v="2013-06-23T00:00:00"/>
    <x v="7"/>
    <x v="0"/>
    <m/>
    <m/>
    <x v="0"/>
    <x v="0"/>
    <m/>
    <x v="0"/>
    <x v="1"/>
    <x v="1919"/>
    <x v="3"/>
    <x v="0"/>
    <x v="1"/>
    <x v="592"/>
    <x v="5578"/>
  </r>
  <r>
    <x v="2"/>
    <n v="2004"/>
    <x v="1899"/>
    <x v="0"/>
    <s v="CM"/>
    <s v="N"/>
    <x v="1232"/>
    <x v="52"/>
    <x v="976"/>
    <m/>
    <x v="442"/>
    <m/>
    <x v="3"/>
    <x v="0"/>
    <x v="667"/>
    <d v="2013-09-21T00:00:00"/>
    <x v="9"/>
    <x v="0"/>
    <m/>
    <s v="A nossa colheita"/>
    <x v="0"/>
    <x v="0"/>
    <m/>
    <x v="0"/>
    <x v="0"/>
    <x v="1920"/>
    <x v="3"/>
    <x v="0"/>
    <x v="1"/>
    <x v="667"/>
    <x v="5579"/>
  </r>
  <r>
    <x v="2"/>
    <n v="721"/>
    <x v="498"/>
    <x v="0"/>
    <s v="CM"/>
    <s v="N"/>
    <x v="388"/>
    <x v="3"/>
    <x v="426"/>
    <m/>
    <x v="274"/>
    <m/>
    <x v="9"/>
    <x v="0"/>
    <x v="660"/>
    <d v="2013-02-19T00:00:00"/>
    <x v="1"/>
    <x v="0"/>
    <m/>
    <s v="Your Shorts are showin': Middle/High Shool Edtion"/>
    <x v="0"/>
    <x v="0"/>
    <m/>
    <x v="0"/>
    <x v="0"/>
    <x v="500"/>
    <x v="9"/>
    <x v="0"/>
    <x v="0"/>
    <x v="660"/>
    <x v="5580"/>
  </r>
  <r>
    <x v="2"/>
    <n v="721"/>
    <x v="498"/>
    <x v="0"/>
    <s v="CM"/>
    <s v="N"/>
    <x v="388"/>
    <x v="3"/>
    <x v="34"/>
    <m/>
    <x v="32"/>
    <m/>
    <x v="3"/>
    <x v="0"/>
    <x v="525"/>
    <d v="2013-05-12T00:00:00"/>
    <x v="6"/>
    <x v="1"/>
    <s v="Ficção"/>
    <m/>
    <x v="27"/>
    <x v="0"/>
    <m/>
    <x v="1"/>
    <x v="0"/>
    <x v="500"/>
    <x v="3"/>
    <x v="649"/>
    <x v="1"/>
    <x v="525"/>
    <x v="5581"/>
  </r>
  <r>
    <x v="2"/>
    <n v="721"/>
    <x v="498"/>
    <x v="0"/>
    <s v="CM"/>
    <s v="N"/>
    <x v="388"/>
    <x v="3"/>
    <x v="864"/>
    <m/>
    <x v="32"/>
    <m/>
    <x v="3"/>
    <x v="0"/>
    <x v="562"/>
    <d v="2013-06-16T00:00:00"/>
    <x v="7"/>
    <x v="0"/>
    <m/>
    <s v="Curtas Sadinas"/>
    <x v="0"/>
    <x v="0"/>
    <m/>
    <x v="0"/>
    <x v="0"/>
    <x v="500"/>
    <x v="3"/>
    <x v="0"/>
    <x v="1"/>
    <x v="562"/>
    <x v="5582"/>
  </r>
  <r>
    <x v="2"/>
    <n v="721"/>
    <x v="498"/>
    <x v="0"/>
    <s v="CM"/>
    <s v="N"/>
    <x v="388"/>
    <x v="3"/>
    <x v="987"/>
    <m/>
    <x v="13"/>
    <m/>
    <x v="3"/>
    <x v="0"/>
    <x v="675"/>
    <d v="2013-07-22T00:00:00"/>
    <x v="8"/>
    <x v="0"/>
    <m/>
    <m/>
    <x v="0"/>
    <x v="1"/>
    <m/>
    <x v="0"/>
    <x v="0"/>
    <x v="500"/>
    <x v="3"/>
    <x v="0"/>
    <x v="1"/>
    <x v="675"/>
    <x v="5583"/>
  </r>
  <r>
    <x v="2"/>
    <n v="721"/>
    <x v="498"/>
    <x v="0"/>
    <s v="CM"/>
    <s v="N"/>
    <x v="388"/>
    <x v="3"/>
    <x v="923"/>
    <m/>
    <x v="15"/>
    <m/>
    <x v="3"/>
    <x v="0"/>
    <x v="544"/>
    <m/>
    <x v="13"/>
    <x v="0"/>
    <m/>
    <s v="Projecto Convidado: Festival &quot;VistaCurta&quot;"/>
    <x v="0"/>
    <x v="1"/>
    <m/>
    <x v="0"/>
    <x v="0"/>
    <x v="500"/>
    <x v="3"/>
    <x v="0"/>
    <x v="1"/>
    <x v="544"/>
    <x v="5584"/>
  </r>
  <r>
    <x v="2"/>
    <n v="721"/>
    <x v="498"/>
    <x v="0"/>
    <s v="CM"/>
    <s v="N"/>
    <x v="388"/>
    <x v="3"/>
    <x v="923"/>
    <m/>
    <x v="15"/>
    <m/>
    <x v="3"/>
    <x v="0"/>
    <x v="544"/>
    <m/>
    <x v="13"/>
    <x v="0"/>
    <m/>
    <s v="Projecto Convidado: Festival &quot;VistaCurta&quot;"/>
    <x v="0"/>
    <x v="1"/>
    <m/>
    <x v="0"/>
    <x v="0"/>
    <x v="500"/>
    <x v="3"/>
    <x v="0"/>
    <x v="1"/>
    <x v="544"/>
    <x v="5585"/>
  </r>
  <r>
    <x v="2"/>
    <n v="2205"/>
    <x v="1900"/>
    <x v="1"/>
    <s v="CM"/>
    <s v="N"/>
    <x v="1094"/>
    <x v="51"/>
    <x v="905"/>
    <m/>
    <x v="61"/>
    <m/>
    <x v="2"/>
    <x v="0"/>
    <x v="509"/>
    <d v="2013-12-01T00:00:00"/>
    <x v="11"/>
    <x v="0"/>
    <m/>
    <s v="Ida e Volta: Hommage au Portugal"/>
    <x v="0"/>
    <x v="0"/>
    <m/>
    <x v="0"/>
    <x v="2"/>
    <x v="1921"/>
    <x v="2"/>
    <x v="0"/>
    <x v="0"/>
    <x v="509"/>
    <x v="5586"/>
  </r>
  <r>
    <x v="2"/>
    <n v="1945"/>
    <x v="1901"/>
    <x v="3"/>
    <s v="CM"/>
    <s v="N"/>
    <x v="306"/>
    <x v="3"/>
    <x v="316"/>
    <m/>
    <x v="11"/>
    <m/>
    <x v="3"/>
    <x v="0"/>
    <x v="500"/>
    <d v="2013-08-31T00:00:00"/>
    <x v="16"/>
    <x v="1"/>
    <s v="Ficção"/>
    <m/>
    <x v="0"/>
    <x v="0"/>
    <m/>
    <x v="0"/>
    <x v="6"/>
    <x v="1922"/>
    <x v="3"/>
    <x v="0"/>
    <x v="1"/>
    <x v="500"/>
    <x v="5587"/>
  </r>
  <r>
    <x v="2"/>
    <n v="1945"/>
    <x v="1901"/>
    <x v="3"/>
    <s v="CM"/>
    <s v="N"/>
    <x v="306"/>
    <x v="3"/>
    <x v="951"/>
    <m/>
    <x v="11"/>
    <m/>
    <x v="3"/>
    <x v="0"/>
    <x v="568"/>
    <d v="2013-10-12T00:00:00"/>
    <x v="14"/>
    <x v="1"/>
    <s v="Ficção"/>
    <m/>
    <x v="0"/>
    <x v="0"/>
    <m/>
    <x v="0"/>
    <x v="6"/>
    <x v="1922"/>
    <x v="3"/>
    <x v="0"/>
    <x v="1"/>
    <x v="568"/>
    <x v="5588"/>
  </r>
  <r>
    <x v="2"/>
    <n v="1633"/>
    <x v="1902"/>
    <x v="1"/>
    <s v="CM"/>
    <s v="N"/>
    <x v="1233"/>
    <x v="41"/>
    <x v="840"/>
    <m/>
    <x v="24"/>
    <m/>
    <x v="3"/>
    <x v="0"/>
    <x v="522"/>
    <d v="2013-01-27T00:00:00"/>
    <x v="15"/>
    <x v="1"/>
    <s v="Competição Geral"/>
    <m/>
    <x v="0"/>
    <x v="0"/>
    <m/>
    <x v="0"/>
    <x v="2"/>
    <x v="1923"/>
    <x v="3"/>
    <x v="0"/>
    <x v="1"/>
    <x v="522"/>
    <x v="5589"/>
  </r>
  <r>
    <x v="2"/>
    <n v="1633"/>
    <x v="1902"/>
    <x v="1"/>
    <s v="CM"/>
    <s v="N"/>
    <x v="1233"/>
    <x v="41"/>
    <x v="831"/>
    <m/>
    <x v="348"/>
    <m/>
    <x v="3"/>
    <x v="0"/>
    <x v="511"/>
    <m/>
    <x v="2"/>
    <x v="1"/>
    <s v="Curta-metragem documental"/>
    <m/>
    <x v="0"/>
    <x v="0"/>
    <m/>
    <x v="0"/>
    <x v="2"/>
    <x v="1923"/>
    <x v="3"/>
    <x v="0"/>
    <x v="1"/>
    <x v="511"/>
    <x v="5590"/>
  </r>
  <r>
    <x v="2"/>
    <n v="1633"/>
    <x v="1902"/>
    <x v="1"/>
    <s v="CM"/>
    <s v="N"/>
    <x v="1233"/>
    <x v="41"/>
    <x v="146"/>
    <m/>
    <x v="24"/>
    <m/>
    <x v="3"/>
    <x v="0"/>
    <x v="537"/>
    <d v="2013-04-28T00:00:00"/>
    <x v="5"/>
    <x v="1"/>
    <s v="Novíssimos - Documentário"/>
    <m/>
    <x v="0"/>
    <x v="0"/>
    <m/>
    <x v="0"/>
    <x v="2"/>
    <x v="1923"/>
    <x v="3"/>
    <x v="0"/>
    <x v="1"/>
    <x v="537"/>
    <x v="5591"/>
  </r>
  <r>
    <x v="2"/>
    <n v="1704"/>
    <x v="1903"/>
    <x v="2"/>
    <s v="CM"/>
    <s v="N"/>
    <x v="1234"/>
    <x v="41"/>
    <x v="62"/>
    <m/>
    <x v="23"/>
    <m/>
    <x v="3"/>
    <x v="0"/>
    <x v="503"/>
    <d v="2013-03-10T00:00:00"/>
    <x v="19"/>
    <x v="1"/>
    <s v="Prémio de Cinema Português - Escolas de Cinema"/>
    <m/>
    <x v="0"/>
    <x v="0"/>
    <s v="EPI/ETIC"/>
    <x v="0"/>
    <x v="4"/>
    <x v="1924"/>
    <x v="3"/>
    <x v="0"/>
    <x v="1"/>
    <x v="503"/>
    <x v="5592"/>
  </r>
  <r>
    <x v="2"/>
    <n v="1383"/>
    <x v="1290"/>
    <x v="1"/>
    <s v="CM"/>
    <s v="N"/>
    <x v="3"/>
    <x v="2"/>
    <x v="884"/>
    <m/>
    <x v="24"/>
    <m/>
    <x v="3"/>
    <x v="0"/>
    <x v="584"/>
    <m/>
    <x v="15"/>
    <x v="1"/>
    <m/>
    <m/>
    <x v="0"/>
    <x v="1"/>
    <m/>
    <x v="0"/>
    <x v="2"/>
    <x v="1298"/>
    <x v="3"/>
    <x v="0"/>
    <x v="1"/>
    <x v="584"/>
    <x v="5593"/>
  </r>
  <r>
    <x v="2"/>
    <n v="727"/>
    <x v="503"/>
    <x v="0"/>
    <s v="CM"/>
    <s v="S"/>
    <x v="80"/>
    <x v="5"/>
    <x v="896"/>
    <m/>
    <x v="20"/>
    <m/>
    <x v="5"/>
    <x v="0"/>
    <x v="540"/>
    <d v="2013-08-30T00:00:00"/>
    <x v="16"/>
    <x v="0"/>
    <m/>
    <m/>
    <x v="0"/>
    <x v="1"/>
    <s v="Kino Arsenal"/>
    <x v="0"/>
    <x v="0"/>
    <x v="505"/>
    <x v="5"/>
    <x v="0"/>
    <x v="0"/>
    <x v="540"/>
    <x v="5594"/>
  </r>
  <r>
    <x v="2"/>
    <n v="727"/>
    <x v="503"/>
    <x v="0"/>
    <s v="CM"/>
    <s v="S"/>
    <x v="80"/>
    <x v="5"/>
    <x v="895"/>
    <m/>
    <x v="425"/>
    <m/>
    <x v="0"/>
    <x v="0"/>
    <x v="597"/>
    <d v="2013-09-14T00:00:00"/>
    <x v="9"/>
    <x v="0"/>
    <m/>
    <s v="Mostra Portugal Contemporânei"/>
    <x v="0"/>
    <x v="0"/>
    <m/>
    <x v="0"/>
    <x v="0"/>
    <x v="505"/>
    <x v="0"/>
    <x v="0"/>
    <x v="0"/>
    <x v="597"/>
    <x v="5595"/>
  </r>
  <r>
    <x v="2"/>
    <n v="727"/>
    <x v="503"/>
    <x v="0"/>
    <s v="CM"/>
    <s v="S"/>
    <x v="80"/>
    <x v="5"/>
    <x v="709"/>
    <m/>
    <x v="65"/>
    <m/>
    <x v="9"/>
    <x v="0"/>
    <x v="619"/>
    <d v="2013-10-13T00:00:00"/>
    <x v="10"/>
    <x v="0"/>
    <m/>
    <s v="Views from the Avant-Garde Program 7: Sandro Aguilar - Dive: Approach and Exit"/>
    <x v="0"/>
    <x v="0"/>
    <m/>
    <x v="0"/>
    <x v="0"/>
    <x v="505"/>
    <x v="9"/>
    <x v="0"/>
    <x v="0"/>
    <x v="619"/>
    <x v="5596"/>
  </r>
  <r>
    <x v="2"/>
    <n v="727"/>
    <x v="503"/>
    <x v="0"/>
    <s v="CM"/>
    <s v="S"/>
    <x v="80"/>
    <x v="5"/>
    <x v="890"/>
    <m/>
    <x v="319"/>
    <m/>
    <x v="1"/>
    <x v="0"/>
    <x v="594"/>
    <d v="2013-12-13T00:00:00"/>
    <x v="11"/>
    <x v="0"/>
    <m/>
    <s v="Curtametraxes: Sandro Aguilar"/>
    <x v="0"/>
    <x v="1"/>
    <s v="No CGAI"/>
    <x v="0"/>
    <x v="0"/>
    <x v="505"/>
    <x v="1"/>
    <x v="0"/>
    <x v="0"/>
    <x v="594"/>
    <x v="5597"/>
  </r>
  <r>
    <x v="2"/>
    <n v="2047"/>
    <x v="1904"/>
    <x v="3"/>
    <s v="CM"/>
    <s v="N"/>
    <x v="297"/>
    <x v="1"/>
    <x v="951"/>
    <m/>
    <x v="11"/>
    <m/>
    <x v="3"/>
    <x v="0"/>
    <x v="568"/>
    <d v="2013-10-12T00:00:00"/>
    <x v="14"/>
    <x v="1"/>
    <s v="Experimental"/>
    <m/>
    <x v="420"/>
    <x v="0"/>
    <m/>
    <x v="1"/>
    <x v="6"/>
    <x v="1925"/>
    <x v="3"/>
    <x v="650"/>
    <x v="1"/>
    <x v="568"/>
    <x v="5598"/>
  </r>
  <r>
    <x v="2"/>
    <n v="2024"/>
    <x v="1905"/>
    <x v="1"/>
    <s v="CM"/>
    <s v="N"/>
    <x v="1235"/>
    <x v="3"/>
    <x v="826"/>
    <m/>
    <x v="24"/>
    <m/>
    <x v="3"/>
    <x v="0"/>
    <x v="505"/>
    <d v="2013-09-29T00:00:00"/>
    <x v="9"/>
    <x v="1"/>
    <m/>
    <m/>
    <x v="0"/>
    <x v="0"/>
    <m/>
    <x v="0"/>
    <x v="2"/>
    <x v="1926"/>
    <x v="3"/>
    <x v="0"/>
    <x v="1"/>
    <x v="505"/>
    <x v="5599"/>
  </r>
  <r>
    <x v="2"/>
    <n v="1714"/>
    <x v="1906"/>
    <x v="1"/>
    <s v="CM"/>
    <s v="N"/>
    <x v="1236"/>
    <x v="52"/>
    <x v="866"/>
    <m/>
    <x v="23"/>
    <m/>
    <x v="3"/>
    <x v="0"/>
    <x v="557"/>
    <m/>
    <x v="2"/>
    <x v="0"/>
    <m/>
    <s v="Mestrado de CAM - Comunicação Audiovisual e Multimedia"/>
    <x v="0"/>
    <x v="1"/>
    <m/>
    <x v="0"/>
    <x v="2"/>
    <x v="1927"/>
    <x v="3"/>
    <x v="0"/>
    <x v="1"/>
    <x v="557"/>
    <x v="5600"/>
  </r>
  <r>
    <x v="2"/>
    <n v="2064"/>
    <x v="1907"/>
    <x v="1"/>
    <s v="CM"/>
    <s v="N"/>
    <x v="1237"/>
    <x v="52"/>
    <x v="88"/>
    <m/>
    <x v="67"/>
    <m/>
    <x v="3"/>
    <x v="0"/>
    <x v="528"/>
    <d v="2013-10-26T00:00:00"/>
    <x v="14"/>
    <x v="1"/>
    <s v="Lusofonia: Longas Metragens"/>
    <m/>
    <x v="532"/>
    <x v="0"/>
    <m/>
    <x v="1"/>
    <x v="2"/>
    <x v="1928"/>
    <x v="3"/>
    <x v="651"/>
    <x v="1"/>
    <x v="528"/>
    <x v="5601"/>
  </r>
  <r>
    <x v="2"/>
    <n v="733"/>
    <x v="506"/>
    <x v="2"/>
    <s v="CM"/>
    <s v="S"/>
    <x v="266"/>
    <x v="1"/>
    <x v="885"/>
    <m/>
    <x v="419"/>
    <m/>
    <x v="34"/>
    <x v="0"/>
    <x v="586"/>
    <d v="2013-01-27T00:00:00"/>
    <x v="15"/>
    <x v="0"/>
    <m/>
    <s v="Petit Black Movie: Aigre-doux à la portugaise"/>
    <x v="0"/>
    <x v="0"/>
    <m/>
    <x v="0"/>
    <x v="4"/>
    <x v="508"/>
    <x v="34"/>
    <x v="0"/>
    <x v="0"/>
    <x v="586"/>
    <x v="5602"/>
  </r>
  <r>
    <x v="2"/>
    <n v="735"/>
    <x v="508"/>
    <x v="1"/>
    <s v="CM"/>
    <s v="N"/>
    <x v="393"/>
    <x v="3"/>
    <x v="62"/>
    <m/>
    <x v="23"/>
    <m/>
    <x v="3"/>
    <x v="0"/>
    <x v="503"/>
    <d v="2013-03-10T00:00:00"/>
    <x v="19"/>
    <x v="1"/>
    <s v="Prémio de Cinema Português - Melhor Filme"/>
    <m/>
    <x v="533"/>
    <x v="0"/>
    <m/>
    <x v="1"/>
    <x v="2"/>
    <x v="510"/>
    <x v="3"/>
    <x v="652"/>
    <x v="1"/>
    <x v="503"/>
    <x v="5603"/>
  </r>
  <r>
    <x v="2"/>
    <n v="735"/>
    <x v="508"/>
    <x v="1"/>
    <s v="CM"/>
    <s v="N"/>
    <x v="393"/>
    <x v="3"/>
    <x v="316"/>
    <m/>
    <x v="11"/>
    <m/>
    <x v="3"/>
    <x v="0"/>
    <x v="500"/>
    <d v="2013-08-31T00:00:00"/>
    <x v="16"/>
    <x v="1"/>
    <s v="Documentário"/>
    <m/>
    <x v="534"/>
    <x v="0"/>
    <m/>
    <x v="1"/>
    <x v="2"/>
    <x v="510"/>
    <x v="3"/>
    <x v="653"/>
    <x v="1"/>
    <x v="500"/>
    <x v="5604"/>
  </r>
  <r>
    <x v="2"/>
    <n v="735"/>
    <x v="508"/>
    <x v="1"/>
    <s v="CM"/>
    <s v="N"/>
    <x v="393"/>
    <x v="3"/>
    <x v="873"/>
    <m/>
    <x v="297"/>
    <m/>
    <x v="3"/>
    <x v="0"/>
    <x v="509"/>
    <d v="2013-11-27T00:00:00"/>
    <x v="13"/>
    <x v="1"/>
    <s v="Memórias, Gestos e Espaços"/>
    <m/>
    <x v="0"/>
    <x v="0"/>
    <m/>
    <x v="0"/>
    <x v="2"/>
    <x v="510"/>
    <x v="3"/>
    <x v="0"/>
    <x v="1"/>
    <x v="509"/>
    <x v="5605"/>
  </r>
  <r>
    <x v="2"/>
    <n v="740"/>
    <x v="513"/>
    <x v="0"/>
    <s v="CM"/>
    <s v="N"/>
    <x v="397"/>
    <x v="2"/>
    <x v="868"/>
    <m/>
    <x v="24"/>
    <m/>
    <x v="3"/>
    <x v="0"/>
    <x v="565"/>
    <m/>
    <x v="1"/>
    <x v="0"/>
    <m/>
    <m/>
    <x v="535"/>
    <x v="2"/>
    <m/>
    <x v="1"/>
    <x v="0"/>
    <x v="515"/>
    <x v="3"/>
    <x v="654"/>
    <x v="1"/>
    <x v="565"/>
    <x v="5606"/>
  </r>
  <r>
    <x v="2"/>
    <n v="2112"/>
    <x v="1908"/>
    <x v="1"/>
    <s v="CM"/>
    <s v="N"/>
    <x v="68"/>
    <x v="6"/>
    <x v="873"/>
    <m/>
    <x v="297"/>
    <m/>
    <x v="3"/>
    <x v="0"/>
    <x v="509"/>
    <d v="2013-11-27T00:00:00"/>
    <x v="13"/>
    <x v="0"/>
    <m/>
    <s v="Homenagem à Ria de Aveiro"/>
    <x v="0"/>
    <x v="0"/>
    <m/>
    <x v="0"/>
    <x v="2"/>
    <x v="1929"/>
    <x v="3"/>
    <x v="0"/>
    <x v="1"/>
    <x v="509"/>
    <x v="5607"/>
  </r>
  <r>
    <x v="2"/>
    <n v="745"/>
    <x v="516"/>
    <x v="0"/>
    <s v="CM"/>
    <s v="N"/>
    <x v="9"/>
    <x v="5"/>
    <x v="912"/>
    <m/>
    <x v="23"/>
    <m/>
    <x v="3"/>
    <x v="0"/>
    <x v="590"/>
    <m/>
    <x v="5"/>
    <x v="0"/>
    <m/>
    <s v="Curta convidada"/>
    <x v="0"/>
    <x v="1"/>
    <m/>
    <x v="0"/>
    <x v="0"/>
    <x v="518"/>
    <x v="3"/>
    <x v="0"/>
    <x v="1"/>
    <x v="590"/>
    <x v="5608"/>
  </r>
  <r>
    <x v="2"/>
    <n v="745"/>
    <x v="516"/>
    <x v="0"/>
    <s v="CM"/>
    <s v="N"/>
    <x v="9"/>
    <x v="5"/>
    <x v="987"/>
    <m/>
    <x v="13"/>
    <m/>
    <x v="3"/>
    <x v="0"/>
    <x v="675"/>
    <d v="2013-07-22T00:00:00"/>
    <x v="8"/>
    <x v="0"/>
    <m/>
    <m/>
    <x v="0"/>
    <x v="1"/>
    <m/>
    <x v="0"/>
    <x v="0"/>
    <x v="518"/>
    <x v="3"/>
    <x v="0"/>
    <x v="1"/>
    <x v="675"/>
    <x v="5609"/>
  </r>
  <r>
    <x v="2"/>
    <n v="745"/>
    <x v="516"/>
    <x v="0"/>
    <s v="CM"/>
    <s v="N"/>
    <x v="9"/>
    <x v="5"/>
    <x v="833"/>
    <m/>
    <x v="15"/>
    <m/>
    <x v="3"/>
    <x v="0"/>
    <x v="512"/>
    <m/>
    <x v="16"/>
    <x v="0"/>
    <m/>
    <m/>
    <x v="0"/>
    <x v="1"/>
    <s v="Sessão Especial integrada nos PALCOS LIVRES"/>
    <x v="0"/>
    <x v="0"/>
    <x v="518"/>
    <x v="3"/>
    <x v="0"/>
    <x v="1"/>
    <x v="512"/>
    <x v="5610"/>
  </r>
  <r>
    <x v="2"/>
    <n v="1319"/>
    <x v="1297"/>
    <x v="0"/>
    <s v="CM"/>
    <s v="N"/>
    <x v="871"/>
    <x v="2"/>
    <x v="34"/>
    <m/>
    <x v="32"/>
    <m/>
    <x v="3"/>
    <x v="0"/>
    <x v="525"/>
    <d v="2013-05-12T00:00:00"/>
    <x v="6"/>
    <x v="1"/>
    <s v="Documentário Regional"/>
    <m/>
    <x v="0"/>
    <x v="0"/>
    <m/>
    <x v="0"/>
    <x v="0"/>
    <x v="1306"/>
    <x v="3"/>
    <x v="0"/>
    <x v="1"/>
    <x v="525"/>
    <x v="5611"/>
  </r>
  <r>
    <x v="2"/>
    <n v="1931"/>
    <x v="1909"/>
    <x v="0"/>
    <s v="LM"/>
    <s v="N"/>
    <x v="20"/>
    <x v="45"/>
    <x v="846"/>
    <m/>
    <x v="417"/>
    <m/>
    <x v="11"/>
    <x v="0"/>
    <x v="535"/>
    <d v="2013-08-03T00:00:00"/>
    <x v="25"/>
    <x v="0"/>
    <m/>
    <s v="Focus Portugal: Manoel de Oliveira"/>
    <x v="0"/>
    <x v="0"/>
    <m/>
    <x v="0"/>
    <x v="5"/>
    <x v="1930"/>
    <x v="11"/>
    <x v="0"/>
    <x v="0"/>
    <x v="535"/>
    <x v="5612"/>
  </r>
  <r>
    <x v="2"/>
    <n v="2001"/>
    <x v="1910"/>
    <x v="0"/>
    <s v="CM"/>
    <s v="N"/>
    <x v="1238"/>
    <x v="52"/>
    <x v="48"/>
    <m/>
    <x v="24"/>
    <m/>
    <x v="3"/>
    <x v="0"/>
    <x v="569"/>
    <d v="2013-09-15T00:00:00"/>
    <x v="9"/>
    <x v="1"/>
    <s v="Prémio Yorn MOTELx"/>
    <m/>
    <x v="0"/>
    <x v="0"/>
    <m/>
    <x v="0"/>
    <x v="0"/>
    <x v="1931"/>
    <x v="3"/>
    <x v="0"/>
    <x v="1"/>
    <x v="569"/>
    <x v="5613"/>
  </r>
  <r>
    <x v="2"/>
    <n v="749"/>
    <x v="1300"/>
    <x v="1"/>
    <s v="LM"/>
    <s v="N"/>
    <x v="874"/>
    <x v="41"/>
    <x v="146"/>
    <m/>
    <x v="24"/>
    <m/>
    <x v="3"/>
    <x v="0"/>
    <x v="537"/>
    <d v="2013-04-28T00:00:00"/>
    <x v="5"/>
    <x v="0"/>
    <m/>
    <s v="Sessões Especiais - Documentário"/>
    <x v="0"/>
    <x v="0"/>
    <m/>
    <x v="0"/>
    <x v="1"/>
    <x v="1309"/>
    <x v="3"/>
    <x v="0"/>
    <x v="1"/>
    <x v="537"/>
    <x v="5614"/>
  </r>
  <r>
    <x v="2"/>
    <n v="749"/>
    <x v="1300"/>
    <x v="1"/>
    <s v="LM"/>
    <s v="N"/>
    <x v="874"/>
    <x v="41"/>
    <x v="519"/>
    <m/>
    <x v="24"/>
    <m/>
    <x v="3"/>
    <x v="0"/>
    <x v="504"/>
    <d v="2013-05-11T00:00:00"/>
    <x v="6"/>
    <x v="0"/>
    <m/>
    <m/>
    <x v="0"/>
    <x v="1"/>
    <m/>
    <x v="0"/>
    <x v="1"/>
    <x v="1309"/>
    <x v="3"/>
    <x v="0"/>
    <x v="1"/>
    <x v="504"/>
    <x v="5615"/>
  </r>
  <r>
    <x v="2"/>
    <n v="749"/>
    <x v="1300"/>
    <x v="1"/>
    <s v="LM"/>
    <s v="N"/>
    <x v="874"/>
    <x v="41"/>
    <x v="158"/>
    <m/>
    <x v="121"/>
    <m/>
    <x v="3"/>
    <x v="0"/>
    <x v="568"/>
    <d v="2013-10-13T00:00:00"/>
    <x v="14"/>
    <x v="0"/>
    <m/>
    <s v="Case Studies"/>
    <x v="0"/>
    <x v="0"/>
    <m/>
    <x v="0"/>
    <x v="1"/>
    <x v="1309"/>
    <x v="3"/>
    <x v="0"/>
    <x v="1"/>
    <x v="568"/>
    <x v="5616"/>
  </r>
  <r>
    <x v="2"/>
    <n v="750"/>
    <x v="520"/>
    <x v="0"/>
    <s v="LM"/>
    <s v="S"/>
    <x v="401"/>
    <x v="1"/>
    <x v="846"/>
    <m/>
    <x v="417"/>
    <m/>
    <x v="11"/>
    <x v="0"/>
    <x v="535"/>
    <d v="2013-08-03T00:00:00"/>
    <x v="25"/>
    <x v="0"/>
    <m/>
    <s v="Focus Portugal: Contemporary Cinema"/>
    <x v="0"/>
    <x v="0"/>
    <m/>
    <x v="0"/>
    <x v="5"/>
    <x v="522"/>
    <x v="11"/>
    <x v="0"/>
    <x v="0"/>
    <x v="535"/>
    <x v="5617"/>
  </r>
  <r>
    <x v="2"/>
    <n v="750"/>
    <x v="520"/>
    <x v="0"/>
    <s v="LM"/>
    <s v="S"/>
    <x v="401"/>
    <x v="1"/>
    <x v="920"/>
    <m/>
    <x v="429"/>
    <m/>
    <x v="63"/>
    <x v="0"/>
    <x v="509"/>
    <d v="2013-11-30T00:00:00"/>
    <x v="13"/>
    <x v="0"/>
    <m/>
    <m/>
    <x v="0"/>
    <x v="0"/>
    <m/>
    <x v="0"/>
    <x v="5"/>
    <x v="522"/>
    <x v="63"/>
    <x v="0"/>
    <x v="0"/>
    <x v="509"/>
    <x v="5618"/>
  </r>
  <r>
    <x v="2"/>
    <n v="1865"/>
    <x v="1911"/>
    <x v="2"/>
    <s v="CM"/>
    <s v="N"/>
    <x v="1168"/>
    <x v="41"/>
    <x v="854"/>
    <m/>
    <x v="24"/>
    <m/>
    <x v="3"/>
    <x v="0"/>
    <x v="550"/>
    <d v="2013-03-27T00:00:00"/>
    <x v="2"/>
    <x v="0"/>
    <m/>
    <m/>
    <x v="0"/>
    <x v="1"/>
    <m/>
    <x v="0"/>
    <x v="4"/>
    <x v="1932"/>
    <x v="3"/>
    <x v="0"/>
    <x v="1"/>
    <x v="550"/>
    <x v="5619"/>
  </r>
  <r>
    <x v="2"/>
    <n v="1864"/>
    <x v="1912"/>
    <x v="2"/>
    <s v="CM"/>
    <s v="N"/>
    <x v="1168"/>
    <x v="41"/>
    <x v="854"/>
    <m/>
    <x v="24"/>
    <m/>
    <x v="3"/>
    <x v="0"/>
    <x v="550"/>
    <d v="2013-03-27T00:00:00"/>
    <x v="2"/>
    <x v="0"/>
    <m/>
    <m/>
    <x v="0"/>
    <x v="1"/>
    <m/>
    <x v="0"/>
    <x v="4"/>
    <x v="1933"/>
    <x v="3"/>
    <x v="0"/>
    <x v="1"/>
    <x v="550"/>
    <x v="5620"/>
  </r>
  <r>
    <x v="2"/>
    <n v="1716"/>
    <x v="1913"/>
    <x v="1"/>
    <s v=""/>
    <s v="N"/>
    <x v="1239"/>
    <x v="2"/>
    <x v="967"/>
    <m/>
    <x v="290"/>
    <m/>
    <x v="3"/>
    <x v="0"/>
    <x v="588"/>
    <m/>
    <x v="2"/>
    <x v="0"/>
    <m/>
    <m/>
    <x v="0"/>
    <x v="1"/>
    <m/>
    <x v="0"/>
    <x v="11"/>
    <x v="1934"/>
    <x v="3"/>
    <x v="0"/>
    <x v="1"/>
    <x v="588"/>
    <x v="5621"/>
  </r>
  <r>
    <x v="2"/>
    <n v="755"/>
    <x v="525"/>
    <x v="0"/>
    <s v="LM"/>
    <s v="N"/>
    <x v="63"/>
    <x v="31"/>
    <x v="906"/>
    <m/>
    <x v="348"/>
    <m/>
    <x v="3"/>
    <x v="0"/>
    <x v="592"/>
    <d v="2013-06-23T00:00:00"/>
    <x v="7"/>
    <x v="0"/>
    <m/>
    <s v="Homenagem a Paulo Rocha"/>
    <x v="0"/>
    <x v="0"/>
    <m/>
    <x v="0"/>
    <x v="5"/>
    <x v="527"/>
    <x v="3"/>
    <x v="0"/>
    <x v="1"/>
    <x v="592"/>
    <x v="5622"/>
  </r>
  <r>
    <x v="2"/>
    <n v="755"/>
    <x v="525"/>
    <x v="0"/>
    <s v="LM"/>
    <s v="N"/>
    <x v="63"/>
    <x v="31"/>
    <x v="147"/>
    <m/>
    <x v="112"/>
    <m/>
    <x v="34"/>
    <x v="0"/>
    <x v="626"/>
    <d v="2013-08-17T00:00:00"/>
    <x v="16"/>
    <x v="0"/>
    <m/>
    <s v="Histoire(s) du cinéma: Tribute to Paulo Rocha"/>
    <x v="0"/>
    <x v="0"/>
    <m/>
    <x v="0"/>
    <x v="5"/>
    <x v="527"/>
    <x v="34"/>
    <x v="0"/>
    <x v="0"/>
    <x v="626"/>
    <x v="5623"/>
  </r>
  <r>
    <x v="2"/>
    <n v="755"/>
    <x v="525"/>
    <x v="0"/>
    <s v="LM"/>
    <s v="N"/>
    <x v="63"/>
    <x v="31"/>
    <x v="1025"/>
    <m/>
    <x v="24"/>
    <m/>
    <x v="3"/>
    <x v="0"/>
    <x v="630"/>
    <d v="2013-12-15T00:00:00"/>
    <x v="12"/>
    <x v="0"/>
    <m/>
    <s v="II - Para Paulo Rocha"/>
    <x v="0"/>
    <x v="1"/>
    <m/>
    <x v="0"/>
    <x v="5"/>
    <x v="527"/>
    <x v="3"/>
    <x v="0"/>
    <x v="1"/>
    <x v="630"/>
    <x v="5624"/>
  </r>
  <r>
    <x v="2"/>
    <n v="757"/>
    <x v="527"/>
    <x v="1"/>
    <s v="LM"/>
    <s v="S"/>
    <x v="235"/>
    <x v="1"/>
    <x v="575"/>
    <m/>
    <x v="11"/>
    <m/>
    <x v="3"/>
    <x v="0"/>
    <x v="595"/>
    <m/>
    <x v="1"/>
    <x v="0"/>
    <m/>
    <m/>
    <x v="0"/>
    <x v="1"/>
    <m/>
    <x v="0"/>
    <x v="1"/>
    <x v="529"/>
    <x v="3"/>
    <x v="0"/>
    <x v="1"/>
    <x v="595"/>
    <x v="5625"/>
  </r>
  <r>
    <x v="2"/>
    <n v="757"/>
    <x v="527"/>
    <x v="1"/>
    <s v="LM"/>
    <s v="S"/>
    <x v="235"/>
    <x v="1"/>
    <x v="984"/>
    <m/>
    <x v="200"/>
    <m/>
    <x v="3"/>
    <x v="0"/>
    <x v="587"/>
    <m/>
    <x v="1"/>
    <x v="0"/>
    <m/>
    <m/>
    <x v="0"/>
    <x v="1"/>
    <m/>
    <x v="0"/>
    <x v="1"/>
    <x v="529"/>
    <x v="3"/>
    <x v="0"/>
    <x v="1"/>
    <x v="587"/>
    <x v="5626"/>
  </r>
  <r>
    <x v="2"/>
    <n v="757"/>
    <x v="527"/>
    <x v="1"/>
    <s v="LM"/>
    <s v="S"/>
    <x v="235"/>
    <x v="1"/>
    <x v="1026"/>
    <m/>
    <x v="24"/>
    <m/>
    <x v="3"/>
    <x v="0"/>
    <x v="591"/>
    <m/>
    <x v="6"/>
    <x v="0"/>
    <m/>
    <m/>
    <x v="0"/>
    <x v="1"/>
    <m/>
    <x v="0"/>
    <x v="1"/>
    <x v="529"/>
    <x v="3"/>
    <x v="0"/>
    <x v="1"/>
    <x v="591"/>
    <x v="5627"/>
  </r>
  <r>
    <x v="2"/>
    <n v="758"/>
    <x v="1303"/>
    <x v="0"/>
    <s v="CM"/>
    <s v="N"/>
    <x v="877"/>
    <x v="2"/>
    <x v="930"/>
    <m/>
    <x v="24"/>
    <m/>
    <x v="3"/>
    <x v="0"/>
    <x v="524"/>
    <m/>
    <x v="5"/>
    <x v="1"/>
    <m/>
    <m/>
    <x v="0"/>
    <x v="1"/>
    <m/>
    <x v="0"/>
    <x v="0"/>
    <x v="1312"/>
    <x v="3"/>
    <x v="0"/>
    <x v="1"/>
    <x v="524"/>
    <x v="5628"/>
  </r>
  <r>
    <x v="2"/>
    <n v="759"/>
    <x v="528"/>
    <x v="2"/>
    <s v="CM"/>
    <s v="S"/>
    <x v="406"/>
    <x v="3"/>
    <x v="854"/>
    <m/>
    <x v="24"/>
    <m/>
    <x v="3"/>
    <x v="0"/>
    <x v="550"/>
    <d v="2013-03-27T00:00:00"/>
    <x v="2"/>
    <x v="0"/>
    <m/>
    <m/>
    <x v="0"/>
    <x v="1"/>
    <m/>
    <x v="0"/>
    <x v="4"/>
    <x v="530"/>
    <x v="3"/>
    <x v="0"/>
    <x v="1"/>
    <x v="550"/>
    <x v="5629"/>
  </r>
  <r>
    <x v="2"/>
    <n v="759"/>
    <x v="528"/>
    <x v="2"/>
    <s v="CM"/>
    <s v="S"/>
    <x v="406"/>
    <x v="3"/>
    <x v="34"/>
    <m/>
    <x v="32"/>
    <m/>
    <x v="3"/>
    <x v="0"/>
    <x v="525"/>
    <d v="2013-05-12T00:00:00"/>
    <x v="6"/>
    <x v="1"/>
    <s v="Animação"/>
    <m/>
    <x v="0"/>
    <x v="0"/>
    <m/>
    <x v="0"/>
    <x v="4"/>
    <x v="530"/>
    <x v="3"/>
    <x v="0"/>
    <x v="1"/>
    <x v="525"/>
    <x v="5630"/>
  </r>
  <r>
    <x v="2"/>
    <n v="759"/>
    <x v="528"/>
    <x v="2"/>
    <s v="CM"/>
    <s v="S"/>
    <x v="406"/>
    <x v="3"/>
    <x v="316"/>
    <m/>
    <x v="11"/>
    <m/>
    <x v="3"/>
    <x v="0"/>
    <x v="500"/>
    <d v="2013-08-31T00:00:00"/>
    <x v="16"/>
    <x v="1"/>
    <s v="Animação"/>
    <m/>
    <x v="0"/>
    <x v="0"/>
    <m/>
    <x v="0"/>
    <x v="4"/>
    <x v="530"/>
    <x v="3"/>
    <x v="0"/>
    <x v="1"/>
    <x v="500"/>
    <x v="5631"/>
  </r>
  <r>
    <x v="2"/>
    <n v="763"/>
    <x v="1306"/>
    <x v="0"/>
    <s v="CM"/>
    <s v="N"/>
    <x v="419"/>
    <x v="41"/>
    <x v="886"/>
    <m/>
    <x v="215"/>
    <m/>
    <x v="60"/>
    <x v="0"/>
    <x v="587"/>
    <d v="2013-03-03T00:00:00"/>
    <x v="19"/>
    <x v="1"/>
    <s v="Aciertos"/>
    <m/>
    <x v="0"/>
    <x v="0"/>
    <m/>
    <x v="0"/>
    <x v="0"/>
    <x v="1315"/>
    <x v="60"/>
    <x v="0"/>
    <x v="0"/>
    <x v="587"/>
    <x v="5632"/>
  </r>
  <r>
    <x v="2"/>
    <n v="763"/>
    <x v="1306"/>
    <x v="0"/>
    <s v="CM"/>
    <s v="N"/>
    <x v="419"/>
    <x v="41"/>
    <x v="432"/>
    <m/>
    <x v="39"/>
    <m/>
    <x v="3"/>
    <x v="0"/>
    <x v="582"/>
    <d v="2013-04-20T00:00:00"/>
    <x v="5"/>
    <x v="1"/>
    <s v="Competição Nacional - Sessão 1"/>
    <m/>
    <x v="536"/>
    <x v="0"/>
    <m/>
    <x v="1"/>
    <x v="0"/>
    <x v="1315"/>
    <x v="3"/>
    <x v="655"/>
    <x v="1"/>
    <x v="582"/>
    <x v="5633"/>
  </r>
  <r>
    <x v="2"/>
    <n v="763"/>
    <x v="1306"/>
    <x v="0"/>
    <s v="CM"/>
    <s v="N"/>
    <x v="419"/>
    <x v="41"/>
    <x v="839"/>
    <m/>
    <x v="82"/>
    <m/>
    <x v="21"/>
    <x v="0"/>
    <x v="521"/>
    <d v="2013-07-07T00:00:00"/>
    <x v="17"/>
    <x v="0"/>
    <m/>
    <s v="Falado em português: Estamos aqui"/>
    <x v="0"/>
    <x v="1"/>
    <m/>
    <x v="0"/>
    <x v="0"/>
    <x v="1315"/>
    <x v="21"/>
    <x v="0"/>
    <x v="0"/>
    <x v="521"/>
    <x v="5634"/>
  </r>
  <r>
    <x v="2"/>
    <n v="763"/>
    <x v="1306"/>
    <x v="0"/>
    <s v="CM"/>
    <s v="N"/>
    <x v="419"/>
    <x v="41"/>
    <x v="882"/>
    <m/>
    <x v="14"/>
    <m/>
    <x v="3"/>
    <x v="0"/>
    <x v="544"/>
    <d v="2013-11-03T00:00:00"/>
    <x v="13"/>
    <x v="0"/>
    <m/>
    <m/>
    <x v="0"/>
    <x v="3"/>
    <m/>
    <x v="0"/>
    <x v="0"/>
    <x v="1315"/>
    <x v="3"/>
    <x v="0"/>
    <x v="1"/>
    <x v="544"/>
    <x v="5635"/>
  </r>
  <r>
    <x v="2"/>
    <n v="769"/>
    <x v="535"/>
    <x v="2"/>
    <s v="CM"/>
    <s v="S"/>
    <x v="411"/>
    <x v="3"/>
    <x v="854"/>
    <m/>
    <x v="24"/>
    <m/>
    <x v="3"/>
    <x v="0"/>
    <x v="550"/>
    <d v="2013-03-27T00:00:00"/>
    <x v="2"/>
    <x v="0"/>
    <m/>
    <m/>
    <x v="0"/>
    <x v="1"/>
    <m/>
    <x v="0"/>
    <x v="4"/>
    <x v="537"/>
    <x v="3"/>
    <x v="0"/>
    <x v="1"/>
    <x v="550"/>
    <x v="5636"/>
  </r>
  <r>
    <x v="2"/>
    <n v="1622"/>
    <x v="1914"/>
    <x v="0"/>
    <s v="CM"/>
    <s v="N"/>
    <x v="87"/>
    <x v="41"/>
    <x v="90"/>
    <m/>
    <x v="69"/>
    <m/>
    <x v="8"/>
    <x v="0"/>
    <x v="602"/>
    <d v="2013-02-03T00:00:00"/>
    <x v="18"/>
    <x v="0"/>
    <m/>
    <s v="Spectrum Shorts - Guimarães: Rocking the Cradle"/>
    <x v="0"/>
    <x v="0"/>
    <m/>
    <x v="0"/>
    <x v="0"/>
    <x v="1935"/>
    <x v="8"/>
    <x v="0"/>
    <x v="0"/>
    <x v="602"/>
    <x v="5637"/>
  </r>
  <r>
    <x v="2"/>
    <n v="1622"/>
    <x v="1914"/>
    <x v="0"/>
    <s v="CM"/>
    <s v="N"/>
    <x v="87"/>
    <x v="41"/>
    <x v="68"/>
    <m/>
    <x v="53"/>
    <m/>
    <x v="3"/>
    <x v="0"/>
    <x v="573"/>
    <d v="2013-07-14T00:00:00"/>
    <x v="8"/>
    <x v="1"/>
    <s v="Competição Nacional"/>
    <m/>
    <x v="0"/>
    <x v="0"/>
    <m/>
    <x v="0"/>
    <x v="0"/>
    <x v="1935"/>
    <x v="3"/>
    <x v="0"/>
    <x v="1"/>
    <x v="573"/>
    <x v="5638"/>
  </r>
  <r>
    <x v="2"/>
    <n v="1622"/>
    <x v="1914"/>
    <x v="0"/>
    <s v="CM"/>
    <s v="N"/>
    <x v="87"/>
    <x v="41"/>
    <x v="870"/>
    <m/>
    <x v="59"/>
    <m/>
    <x v="3"/>
    <x v="0"/>
    <x v="568"/>
    <d v="2013-10-13T00:00:00"/>
    <x v="14"/>
    <x v="1"/>
    <s v="Competição Nacional"/>
    <m/>
    <x v="0"/>
    <x v="0"/>
    <m/>
    <x v="0"/>
    <x v="0"/>
    <x v="1935"/>
    <x v="3"/>
    <x v="0"/>
    <x v="1"/>
    <x v="568"/>
    <x v="5639"/>
  </r>
  <r>
    <x v="2"/>
    <n v="772"/>
    <x v="537"/>
    <x v="0"/>
    <s v="CM"/>
    <s v="S"/>
    <x v="290"/>
    <x v="5"/>
    <x v="920"/>
    <m/>
    <x v="429"/>
    <m/>
    <x v="63"/>
    <x v="0"/>
    <x v="509"/>
    <d v="2013-11-30T00:00:00"/>
    <x v="13"/>
    <x v="0"/>
    <m/>
    <m/>
    <x v="0"/>
    <x v="0"/>
    <m/>
    <x v="0"/>
    <x v="0"/>
    <x v="539"/>
    <x v="63"/>
    <x v="0"/>
    <x v="0"/>
    <x v="509"/>
    <x v="5640"/>
  </r>
  <r>
    <x v="2"/>
    <n v="775"/>
    <x v="1311"/>
    <x v="0"/>
    <s v="CM"/>
    <s v="N"/>
    <x v="690"/>
    <x v="3"/>
    <x v="839"/>
    <m/>
    <x v="82"/>
    <m/>
    <x v="21"/>
    <x v="0"/>
    <x v="521"/>
    <d v="2013-07-07T00:00:00"/>
    <x v="17"/>
    <x v="0"/>
    <m/>
    <s v="Falado em português: Estamos aqui"/>
    <x v="0"/>
    <x v="1"/>
    <m/>
    <x v="0"/>
    <x v="0"/>
    <x v="1320"/>
    <x v="21"/>
    <x v="0"/>
    <x v="0"/>
    <x v="521"/>
    <x v="5641"/>
  </r>
  <r>
    <x v="2"/>
    <n v="1721"/>
    <x v="1915"/>
    <x v="0"/>
    <s v="CM"/>
    <s v="N"/>
    <x v="1240"/>
    <x v="2"/>
    <x v="62"/>
    <m/>
    <x v="23"/>
    <m/>
    <x v="3"/>
    <x v="0"/>
    <x v="503"/>
    <d v="2013-03-10T00:00:00"/>
    <x v="19"/>
    <x v="1"/>
    <s v="Prémio de Cinema Português - Escolas de Cinema"/>
    <m/>
    <x v="0"/>
    <x v="0"/>
    <s v="Universidade do Minho"/>
    <x v="0"/>
    <x v="0"/>
    <x v="1936"/>
    <x v="3"/>
    <x v="0"/>
    <x v="1"/>
    <x v="503"/>
    <x v="5642"/>
  </r>
  <r>
    <x v="2"/>
    <n v="1616"/>
    <x v="542"/>
    <x v="3"/>
    <s v="CM"/>
    <s v="N"/>
    <x v="866"/>
    <x v="41"/>
    <x v="1027"/>
    <m/>
    <x v="23"/>
    <m/>
    <x v="3"/>
    <x v="0"/>
    <x v="702"/>
    <m/>
    <x v="15"/>
    <x v="1"/>
    <m/>
    <m/>
    <x v="0"/>
    <x v="1"/>
    <m/>
    <x v="0"/>
    <x v="6"/>
    <x v="1937"/>
    <x v="3"/>
    <x v="0"/>
    <x v="1"/>
    <x v="702"/>
    <x v="5643"/>
  </r>
  <r>
    <x v="2"/>
    <n v="782"/>
    <x v="542"/>
    <x v="1"/>
    <s v="LM"/>
    <s v="N"/>
    <x v="1"/>
    <x v="27"/>
    <x v="824"/>
    <m/>
    <x v="408"/>
    <m/>
    <x v="9"/>
    <x v="0"/>
    <x v="498"/>
    <d v="2013-11-17T00:00:00"/>
    <x v="13"/>
    <x v="0"/>
    <m/>
    <m/>
    <x v="0"/>
    <x v="1"/>
    <s v="No BAM/PFA"/>
    <x v="0"/>
    <x v="1"/>
    <x v="544"/>
    <x v="9"/>
    <x v="0"/>
    <x v="0"/>
    <x v="498"/>
    <x v="5644"/>
  </r>
  <r>
    <x v="2"/>
    <n v="1498"/>
    <x v="1319"/>
    <x v="2"/>
    <s v="CM"/>
    <s v="N"/>
    <x v="889"/>
    <x v="41"/>
    <x v="220"/>
    <m/>
    <x v="154"/>
    <m/>
    <x v="0"/>
    <x v="0"/>
    <x v="566"/>
    <d v="2013-08-18T00:00:00"/>
    <x v="16"/>
    <x v="0"/>
    <m/>
    <s v="Futuro Animador"/>
    <x v="0"/>
    <x v="0"/>
    <m/>
    <x v="0"/>
    <x v="4"/>
    <x v="1328"/>
    <x v="0"/>
    <x v="0"/>
    <x v="0"/>
    <x v="566"/>
    <x v="5645"/>
  </r>
  <r>
    <x v="2"/>
    <n v="1498"/>
    <x v="1319"/>
    <x v="2"/>
    <s v="CM"/>
    <s v="N"/>
    <x v="889"/>
    <x v="41"/>
    <x v="0"/>
    <m/>
    <x v="0"/>
    <m/>
    <x v="0"/>
    <x v="0"/>
    <x v="684"/>
    <d v="2013-11-07T00:00:00"/>
    <x v="0"/>
    <x v="0"/>
    <m/>
    <s v="Panorama Infantojuvenil - Infantil 1"/>
    <x v="0"/>
    <x v="0"/>
    <m/>
    <x v="0"/>
    <x v="4"/>
    <x v="1328"/>
    <x v="0"/>
    <x v="0"/>
    <x v="0"/>
    <x v="684"/>
    <x v="5646"/>
  </r>
  <r>
    <x v="2"/>
    <n v="1969"/>
    <x v="1916"/>
    <x v="1"/>
    <s v="CM"/>
    <s v="N"/>
    <x v="1121"/>
    <x v="41"/>
    <x v="445"/>
    <m/>
    <x v="284"/>
    <m/>
    <x v="3"/>
    <x v="0"/>
    <x v="541"/>
    <d v="2013-09-07T00:00:00"/>
    <x v="9"/>
    <x v="0"/>
    <m/>
    <s v="Sesão Especial daTarde - &quot;Documentários&quot;"/>
    <x v="0"/>
    <x v="0"/>
    <m/>
    <x v="0"/>
    <x v="2"/>
    <x v="1938"/>
    <x v="3"/>
    <x v="0"/>
    <x v="1"/>
    <x v="541"/>
    <x v="5647"/>
  </r>
  <r>
    <x v="2"/>
    <n v="1524"/>
    <x v="1321"/>
    <x v="1"/>
    <s v="LM"/>
    <s v="S"/>
    <x v="348"/>
    <x v="1"/>
    <x v="846"/>
    <m/>
    <x v="417"/>
    <m/>
    <x v="11"/>
    <x v="0"/>
    <x v="535"/>
    <d v="2013-08-03T00:00:00"/>
    <x v="25"/>
    <x v="0"/>
    <m/>
    <s v="Focus Portugal: Pedro Costa"/>
    <x v="0"/>
    <x v="0"/>
    <m/>
    <x v="0"/>
    <x v="1"/>
    <x v="1330"/>
    <x v="11"/>
    <x v="0"/>
    <x v="0"/>
    <x v="535"/>
    <x v="5648"/>
  </r>
  <r>
    <x v="2"/>
    <n v="1524"/>
    <x v="1321"/>
    <x v="1"/>
    <s v="LM"/>
    <s v="S"/>
    <x v="348"/>
    <x v="1"/>
    <x v="848"/>
    <m/>
    <x v="165"/>
    <m/>
    <x v="4"/>
    <x v="0"/>
    <x v="540"/>
    <d v="2013-09-01T00:00:00"/>
    <x v="20"/>
    <x v="0"/>
    <m/>
    <m/>
    <x v="0"/>
    <x v="1"/>
    <m/>
    <x v="0"/>
    <x v="1"/>
    <x v="1330"/>
    <x v="4"/>
    <x v="0"/>
    <x v="0"/>
    <x v="540"/>
    <x v="5649"/>
  </r>
  <r>
    <x v="2"/>
    <n v="2085"/>
    <x v="1917"/>
    <x v="0"/>
    <s v="CM"/>
    <s v="N"/>
    <x v="1241"/>
    <x v="41"/>
    <x v="454"/>
    <m/>
    <x v="15"/>
    <m/>
    <x v="3"/>
    <x v="0"/>
    <x v="334"/>
    <m/>
    <x v="8"/>
    <x v="1"/>
    <s v="Filme Escolar"/>
    <m/>
    <x v="537"/>
    <x v="0"/>
    <m/>
    <x v="1"/>
    <x v="0"/>
    <x v="1939"/>
    <x v="3"/>
    <x v="656"/>
    <x v="1"/>
    <x v="334"/>
    <x v="5650"/>
  </r>
  <r>
    <x v="2"/>
    <n v="1982"/>
    <x v="1918"/>
    <x v="0"/>
    <s v="CM"/>
    <s v="N"/>
    <x v="1208"/>
    <x v="5"/>
    <x v="58"/>
    <m/>
    <x v="47"/>
    <m/>
    <x v="3"/>
    <x v="0"/>
    <x v="542"/>
    <d v="2013-09-08T00:00:00"/>
    <x v="9"/>
    <x v="0"/>
    <m/>
    <m/>
    <x v="0"/>
    <x v="1"/>
    <m/>
    <x v="0"/>
    <x v="0"/>
    <x v="1940"/>
    <x v="3"/>
    <x v="0"/>
    <x v="1"/>
    <x v="542"/>
    <x v="5651"/>
  </r>
  <r>
    <x v="2"/>
    <n v="1660"/>
    <x v="1919"/>
    <x v="0"/>
    <s v="CM"/>
    <s v="N"/>
    <x v="1242"/>
    <x v="3"/>
    <x v="1028"/>
    <m/>
    <x v="23"/>
    <m/>
    <x v="3"/>
    <x v="0"/>
    <x v="616"/>
    <m/>
    <x v="1"/>
    <x v="1"/>
    <m/>
    <m/>
    <x v="0"/>
    <x v="1"/>
    <m/>
    <x v="0"/>
    <x v="0"/>
    <x v="1941"/>
    <x v="3"/>
    <x v="0"/>
    <x v="1"/>
    <x v="616"/>
    <x v="5652"/>
  </r>
  <r>
    <x v="2"/>
    <n v="787"/>
    <x v="546"/>
    <x v="0"/>
    <s v="LM"/>
    <s v="S"/>
    <x v="418"/>
    <x v="12"/>
    <x v="1029"/>
    <m/>
    <x v="456"/>
    <m/>
    <x v="3"/>
    <x v="0"/>
    <x v="570"/>
    <d v="2013-07-13T00:00:00"/>
    <x v="8"/>
    <x v="0"/>
    <m/>
    <m/>
    <x v="0"/>
    <x v="0"/>
    <m/>
    <x v="0"/>
    <x v="5"/>
    <x v="548"/>
    <x v="3"/>
    <x v="0"/>
    <x v="1"/>
    <x v="570"/>
    <x v="5653"/>
  </r>
  <r>
    <x v="2"/>
    <n v="2002"/>
    <x v="1920"/>
    <x v="0"/>
    <s v="CM"/>
    <s v="N"/>
    <x v="1243"/>
    <x v="52"/>
    <x v="48"/>
    <m/>
    <x v="24"/>
    <m/>
    <x v="3"/>
    <x v="0"/>
    <x v="569"/>
    <d v="2013-09-15T00:00:00"/>
    <x v="9"/>
    <x v="1"/>
    <s v="Prémio Yorn MOTELx"/>
    <m/>
    <x v="0"/>
    <x v="0"/>
    <m/>
    <x v="0"/>
    <x v="0"/>
    <x v="1942"/>
    <x v="3"/>
    <x v="0"/>
    <x v="1"/>
    <x v="569"/>
    <x v="5654"/>
  </r>
  <r>
    <x v="2"/>
    <n v="1624"/>
    <x v="1921"/>
    <x v="0"/>
    <s v="LM"/>
    <s v="S"/>
    <x v="1244"/>
    <x v="41"/>
    <x v="375"/>
    <m/>
    <x v="20"/>
    <m/>
    <x v="5"/>
    <x v="0"/>
    <x v="496"/>
    <d v="2013-02-17T00:00:00"/>
    <x v="1"/>
    <x v="1"/>
    <s v="Wettbewerb"/>
    <m/>
    <x v="0"/>
    <x v="0"/>
    <m/>
    <x v="0"/>
    <x v="5"/>
    <x v="1943"/>
    <x v="5"/>
    <x v="0"/>
    <x v="0"/>
    <x v="496"/>
    <x v="5655"/>
  </r>
  <r>
    <x v="2"/>
    <n v="1624"/>
    <x v="1921"/>
    <x v="0"/>
    <s v="LM"/>
    <s v="S"/>
    <x v="1244"/>
    <x v="41"/>
    <x v="888"/>
    <m/>
    <x v="103"/>
    <m/>
    <x v="31"/>
    <x v="0"/>
    <x v="589"/>
    <d v="2013-04-14T00:00:00"/>
    <x v="3"/>
    <x v="0"/>
    <m/>
    <s v="From Literature to Silver Screen"/>
    <x v="0"/>
    <x v="0"/>
    <m/>
    <x v="0"/>
    <x v="5"/>
    <x v="1943"/>
    <x v="31"/>
    <x v="0"/>
    <x v="0"/>
    <x v="589"/>
    <x v="5656"/>
  </r>
  <r>
    <x v="2"/>
    <n v="1624"/>
    <x v="1921"/>
    <x v="0"/>
    <s v="LM"/>
    <s v="S"/>
    <x v="1244"/>
    <x v="41"/>
    <x v="179"/>
    <m/>
    <x v="133"/>
    <m/>
    <x v="0"/>
    <x v="0"/>
    <x v="501"/>
    <d v="2013-10-31T00:00:00"/>
    <x v="14"/>
    <x v="0"/>
    <m/>
    <s v="Perspectiva Internacional"/>
    <x v="0"/>
    <x v="0"/>
    <m/>
    <x v="0"/>
    <x v="5"/>
    <x v="1943"/>
    <x v="0"/>
    <x v="0"/>
    <x v="0"/>
    <x v="501"/>
    <x v="5657"/>
  </r>
  <r>
    <x v="2"/>
    <n v="1624"/>
    <x v="1921"/>
    <x v="0"/>
    <s v="LM"/>
    <s v="S"/>
    <x v="1244"/>
    <x v="41"/>
    <x v="99"/>
    <m/>
    <x v="78"/>
    <m/>
    <x v="20"/>
    <x v="0"/>
    <x v="583"/>
    <d v="2013-11-13T00:00:00"/>
    <x v="13"/>
    <x v="0"/>
    <m/>
    <m/>
    <x v="0"/>
    <x v="0"/>
    <m/>
    <x v="0"/>
    <x v="5"/>
    <x v="1943"/>
    <x v="20"/>
    <x v="0"/>
    <x v="0"/>
    <x v="583"/>
    <x v="5658"/>
  </r>
  <r>
    <x v="2"/>
    <n v="2072"/>
    <x v="1922"/>
    <x v="0"/>
    <s v="CM"/>
    <s v="N"/>
    <x v="1245"/>
    <x v="2"/>
    <x v="928"/>
    <m/>
    <x v="78"/>
    <m/>
    <x v="20"/>
    <x v="0"/>
    <x v="528"/>
    <d v="2013-10-20T00:00:00"/>
    <x v="14"/>
    <x v="1"/>
    <s v="Ó Bhéal International Film Competition 2013"/>
    <m/>
    <x v="538"/>
    <x v="0"/>
    <m/>
    <x v="1"/>
    <x v="0"/>
    <x v="1944"/>
    <x v="20"/>
    <x v="657"/>
    <x v="0"/>
    <x v="528"/>
    <x v="5659"/>
  </r>
  <r>
    <x v="2"/>
    <n v="1523"/>
    <x v="1324"/>
    <x v="0"/>
    <s v="LM"/>
    <s v="S"/>
    <x v="348"/>
    <x v="20"/>
    <x v="865"/>
    <m/>
    <x v="419"/>
    <m/>
    <x v="34"/>
    <x v="0"/>
    <x v="563"/>
    <d v="2013-02-28T00:00:00"/>
    <x v="18"/>
    <x v="0"/>
    <m/>
    <m/>
    <x v="0"/>
    <x v="1"/>
    <s v="Cinemathèque Suisse"/>
    <x v="0"/>
    <x v="5"/>
    <x v="1333"/>
    <x v="34"/>
    <x v="0"/>
    <x v="0"/>
    <x v="563"/>
    <x v="5660"/>
  </r>
  <r>
    <x v="2"/>
    <n v="1523"/>
    <x v="1324"/>
    <x v="0"/>
    <s v="LM"/>
    <s v="S"/>
    <x v="348"/>
    <x v="20"/>
    <x v="1002"/>
    <m/>
    <x v="76"/>
    <m/>
    <x v="3"/>
    <x v="0"/>
    <x v="524"/>
    <d v="2013-05-03T00:00:00"/>
    <x v="4"/>
    <x v="0"/>
    <m/>
    <m/>
    <x v="0"/>
    <x v="1"/>
    <m/>
    <x v="0"/>
    <x v="5"/>
    <x v="1333"/>
    <x v="3"/>
    <x v="0"/>
    <x v="1"/>
    <x v="524"/>
    <x v="5661"/>
  </r>
  <r>
    <x v="2"/>
    <n v="1523"/>
    <x v="1324"/>
    <x v="0"/>
    <s v="LM"/>
    <s v="S"/>
    <x v="348"/>
    <x v="20"/>
    <x v="846"/>
    <m/>
    <x v="417"/>
    <m/>
    <x v="11"/>
    <x v="0"/>
    <x v="535"/>
    <d v="2013-08-03T00:00:00"/>
    <x v="25"/>
    <x v="0"/>
    <m/>
    <s v="Focus Portugal: Pedro Costa"/>
    <x v="0"/>
    <x v="0"/>
    <m/>
    <x v="0"/>
    <x v="5"/>
    <x v="1333"/>
    <x v="11"/>
    <x v="0"/>
    <x v="0"/>
    <x v="535"/>
    <x v="5662"/>
  </r>
  <r>
    <x v="2"/>
    <n v="1523"/>
    <x v="1324"/>
    <x v="0"/>
    <s v="LM"/>
    <s v="S"/>
    <x v="348"/>
    <x v="20"/>
    <x v="581"/>
    <m/>
    <x v="213"/>
    <m/>
    <x v="8"/>
    <x v="0"/>
    <x v="581"/>
    <d v="2013-12-01T00:00:00"/>
    <x v="11"/>
    <x v="0"/>
    <m/>
    <s v="IDFA's Top 10: Rithy Panh"/>
    <x v="0"/>
    <x v="0"/>
    <m/>
    <x v="0"/>
    <x v="5"/>
    <x v="1333"/>
    <x v="8"/>
    <x v="0"/>
    <x v="0"/>
    <x v="581"/>
    <x v="5663"/>
  </r>
  <r>
    <x v="2"/>
    <n v="1523"/>
    <x v="1324"/>
    <x v="0"/>
    <s v="LM"/>
    <s v="S"/>
    <x v="348"/>
    <x v="20"/>
    <x v="1030"/>
    <m/>
    <x v="65"/>
    <m/>
    <x v="9"/>
    <x v="0"/>
    <x v="703"/>
    <d v="2013-12-12T00:00:00"/>
    <x v="12"/>
    <x v="0"/>
    <m/>
    <m/>
    <x v="0"/>
    <x v="1"/>
    <s v="Film Society of Lincoln Center"/>
    <x v="0"/>
    <x v="5"/>
    <x v="1333"/>
    <x v="9"/>
    <x v="0"/>
    <x v="0"/>
    <x v="703"/>
    <x v="5664"/>
  </r>
  <r>
    <x v="2"/>
    <n v="797"/>
    <x v="1326"/>
    <x v="0"/>
    <s v="CM"/>
    <s v="N"/>
    <x v="127"/>
    <x v="41"/>
    <x v="899"/>
    <m/>
    <x v="24"/>
    <m/>
    <x v="3"/>
    <x v="0"/>
    <x v="600"/>
    <m/>
    <x v="1"/>
    <x v="0"/>
    <m/>
    <s v="Curta Convidada"/>
    <x v="0"/>
    <x v="1"/>
    <m/>
    <x v="0"/>
    <x v="0"/>
    <x v="1335"/>
    <x v="3"/>
    <x v="0"/>
    <x v="1"/>
    <x v="600"/>
    <x v="5665"/>
  </r>
  <r>
    <x v="2"/>
    <n v="797"/>
    <x v="1326"/>
    <x v="0"/>
    <s v="CM"/>
    <s v="N"/>
    <x v="127"/>
    <x v="41"/>
    <x v="39"/>
    <m/>
    <x v="23"/>
    <m/>
    <x v="3"/>
    <x v="0"/>
    <x v="657"/>
    <m/>
    <x v="8"/>
    <x v="0"/>
    <m/>
    <m/>
    <x v="0"/>
    <x v="1"/>
    <s v="Cineclube do Porto"/>
    <x v="0"/>
    <x v="0"/>
    <x v="1335"/>
    <x v="3"/>
    <x v="0"/>
    <x v="1"/>
    <x v="657"/>
    <x v="5666"/>
  </r>
  <r>
    <x v="2"/>
    <n v="405"/>
    <x v="1327"/>
    <x v="1"/>
    <s v="CM"/>
    <s v="N"/>
    <x v="892"/>
    <x v="3"/>
    <x v="519"/>
    <m/>
    <x v="24"/>
    <m/>
    <x v="3"/>
    <x v="0"/>
    <x v="504"/>
    <d v="2013-05-11T00:00:00"/>
    <x v="6"/>
    <x v="0"/>
    <m/>
    <m/>
    <x v="0"/>
    <x v="1"/>
    <m/>
    <x v="0"/>
    <x v="2"/>
    <x v="1336"/>
    <x v="3"/>
    <x v="0"/>
    <x v="1"/>
    <x v="504"/>
    <x v="5667"/>
  </r>
  <r>
    <x v="2"/>
    <n v="800"/>
    <x v="557"/>
    <x v="0"/>
    <s v="CM"/>
    <s v="N"/>
    <x v="238"/>
    <x v="3"/>
    <x v="316"/>
    <m/>
    <x v="11"/>
    <m/>
    <x v="3"/>
    <x v="0"/>
    <x v="500"/>
    <d v="2013-08-31T00:00:00"/>
    <x v="16"/>
    <x v="1"/>
    <s v="Ficção"/>
    <m/>
    <x v="539"/>
    <x v="0"/>
    <m/>
    <x v="1"/>
    <x v="0"/>
    <x v="559"/>
    <x v="3"/>
    <x v="658"/>
    <x v="1"/>
    <x v="500"/>
    <x v="5668"/>
  </r>
  <r>
    <x v="2"/>
    <n v="1936"/>
    <x v="1923"/>
    <x v="1"/>
    <s v="LM"/>
    <s v="N"/>
    <x v="1246"/>
    <x v="1"/>
    <x v="192"/>
    <m/>
    <x v="140"/>
    <m/>
    <x v="3"/>
    <x v="0"/>
    <x v="334"/>
    <d v="2013-07-28T00:00:00"/>
    <x v="8"/>
    <x v="0"/>
    <m/>
    <s v="Panorama Cinema Português"/>
    <x v="0"/>
    <x v="0"/>
    <m/>
    <x v="0"/>
    <x v="1"/>
    <x v="1945"/>
    <x v="3"/>
    <x v="0"/>
    <x v="1"/>
    <x v="334"/>
    <x v="5669"/>
  </r>
  <r>
    <x v="2"/>
    <n v="2089"/>
    <x v="1924"/>
    <x v="0"/>
    <s v="LM"/>
    <s v="S"/>
    <x v="20"/>
    <x v="11"/>
    <x v="950"/>
    <m/>
    <x v="321"/>
    <m/>
    <x v="3"/>
    <x v="0"/>
    <x v="509"/>
    <d v="2013-12-01T00:00:00"/>
    <x v="11"/>
    <x v="0"/>
    <m/>
    <m/>
    <x v="0"/>
    <x v="1"/>
    <m/>
    <x v="0"/>
    <x v="5"/>
    <x v="1946"/>
    <x v="3"/>
    <x v="0"/>
    <x v="1"/>
    <x v="509"/>
    <x v="5670"/>
  </r>
  <r>
    <x v="2"/>
    <n v="802"/>
    <x v="559"/>
    <x v="0"/>
    <s v="CM"/>
    <s v="N"/>
    <x v="425"/>
    <x v="5"/>
    <x v="922"/>
    <m/>
    <x v="117"/>
    <m/>
    <x v="9"/>
    <x v="0"/>
    <x v="618"/>
    <d v="2013-08-04T00:00:00"/>
    <x v="25"/>
    <x v="0"/>
    <m/>
    <s v="New Portuguese Cinema"/>
    <x v="0"/>
    <x v="0"/>
    <m/>
    <x v="0"/>
    <x v="0"/>
    <x v="561"/>
    <x v="9"/>
    <x v="0"/>
    <x v="0"/>
    <x v="618"/>
    <x v="5671"/>
  </r>
  <r>
    <x v="2"/>
    <n v="803"/>
    <x v="1328"/>
    <x v="1"/>
    <s v="LM"/>
    <s v="N"/>
    <x v="460"/>
    <x v="2"/>
    <x v="829"/>
    <m/>
    <x v="411"/>
    <m/>
    <x v="0"/>
    <x v="0"/>
    <x v="508"/>
    <d v="2013-06-08T00:00:00"/>
    <x v="7"/>
    <x v="1"/>
    <s v="Competição Mostra Estrangeira"/>
    <m/>
    <x v="540"/>
    <x v="0"/>
    <m/>
    <x v="1"/>
    <x v="1"/>
    <x v="1337"/>
    <x v="0"/>
    <x v="659"/>
    <x v="0"/>
    <x v="508"/>
    <x v="5672"/>
  </r>
  <r>
    <x v="2"/>
    <n v="1808"/>
    <x v="1925"/>
    <x v="1"/>
    <s v="LM"/>
    <s v=""/>
    <x v="158"/>
    <x v="22"/>
    <x v="844"/>
    <m/>
    <x v="0"/>
    <m/>
    <x v="0"/>
    <x v="0"/>
    <x v="533"/>
    <d v="2013-06-06T00:00:00"/>
    <x v="22"/>
    <x v="0"/>
    <m/>
    <m/>
    <x v="0"/>
    <x v="1"/>
    <m/>
    <x v="0"/>
    <x v="1"/>
    <x v="1947"/>
    <x v="0"/>
    <x v="0"/>
    <x v="0"/>
    <x v="533"/>
    <x v="5673"/>
  </r>
  <r>
    <x v="2"/>
    <n v="804"/>
    <x v="560"/>
    <x v="2"/>
    <s v="CM"/>
    <s v="N"/>
    <x v="426"/>
    <x v="3"/>
    <x v="840"/>
    <m/>
    <x v="24"/>
    <m/>
    <x v="3"/>
    <x v="0"/>
    <x v="522"/>
    <d v="2013-01-27T00:00:00"/>
    <x v="15"/>
    <x v="1"/>
    <s v="Competição ClapKids"/>
    <m/>
    <x v="541"/>
    <x v="0"/>
    <m/>
    <x v="1"/>
    <x v="4"/>
    <x v="562"/>
    <x v="3"/>
    <x v="660"/>
    <x v="1"/>
    <x v="522"/>
    <x v="5674"/>
  </r>
  <r>
    <x v="2"/>
    <n v="1675"/>
    <x v="1926"/>
    <x v="0"/>
    <s v="CM"/>
    <s v="N"/>
    <x v="119"/>
    <x v="41"/>
    <x v="62"/>
    <m/>
    <x v="23"/>
    <m/>
    <x v="3"/>
    <x v="0"/>
    <x v="503"/>
    <d v="2013-03-10T00:00:00"/>
    <x v="19"/>
    <x v="1"/>
    <s v="Prémio de Cinema Português - Melhor Filme"/>
    <m/>
    <x v="0"/>
    <x v="0"/>
    <m/>
    <x v="0"/>
    <x v="0"/>
    <x v="1948"/>
    <x v="3"/>
    <x v="0"/>
    <x v="1"/>
    <x v="503"/>
    <x v="5675"/>
  </r>
  <r>
    <x v="2"/>
    <n v="1937"/>
    <x v="1927"/>
    <x v="0"/>
    <s v="CM"/>
    <s v="N"/>
    <x v="449"/>
    <x v="2"/>
    <x v="192"/>
    <m/>
    <x v="140"/>
    <m/>
    <x v="3"/>
    <x v="0"/>
    <x v="334"/>
    <d v="2013-07-28T00:00:00"/>
    <x v="8"/>
    <x v="0"/>
    <m/>
    <s v="Panorama Cinema Português"/>
    <x v="0"/>
    <x v="0"/>
    <m/>
    <x v="0"/>
    <x v="0"/>
    <x v="1949"/>
    <x v="3"/>
    <x v="0"/>
    <x v="1"/>
    <x v="334"/>
    <x v="5676"/>
  </r>
  <r>
    <x v="2"/>
    <n v="808"/>
    <x v="563"/>
    <x v="0"/>
    <s v="CM"/>
    <s v="N"/>
    <x v="427"/>
    <x v="3"/>
    <x v="865"/>
    <m/>
    <x v="419"/>
    <m/>
    <x v="34"/>
    <x v="0"/>
    <x v="563"/>
    <d v="2013-01-28T00:00:00"/>
    <x v="15"/>
    <x v="0"/>
    <m/>
    <m/>
    <x v="0"/>
    <x v="1"/>
    <s v="Cinémathèque Suisse"/>
    <x v="0"/>
    <x v="0"/>
    <x v="565"/>
    <x v="34"/>
    <x v="0"/>
    <x v="0"/>
    <x v="563"/>
    <x v="5677"/>
  </r>
  <r>
    <x v="2"/>
    <n v="808"/>
    <x v="563"/>
    <x v="0"/>
    <s v="CM"/>
    <s v="N"/>
    <x v="427"/>
    <x v="3"/>
    <x v="854"/>
    <m/>
    <x v="24"/>
    <m/>
    <x v="3"/>
    <x v="0"/>
    <x v="550"/>
    <d v="2013-03-27T00:00:00"/>
    <x v="2"/>
    <x v="0"/>
    <m/>
    <m/>
    <x v="0"/>
    <x v="1"/>
    <m/>
    <x v="0"/>
    <x v="0"/>
    <x v="565"/>
    <x v="3"/>
    <x v="0"/>
    <x v="1"/>
    <x v="550"/>
    <x v="5678"/>
  </r>
  <r>
    <x v="2"/>
    <n v="808"/>
    <x v="563"/>
    <x v="0"/>
    <s v="CM"/>
    <s v="N"/>
    <x v="427"/>
    <x v="3"/>
    <x v="839"/>
    <m/>
    <x v="82"/>
    <m/>
    <x v="21"/>
    <x v="0"/>
    <x v="521"/>
    <d v="2013-07-07T00:00:00"/>
    <x v="17"/>
    <x v="0"/>
    <m/>
    <s v="Falado em português: Estamos aqui"/>
    <x v="0"/>
    <x v="1"/>
    <m/>
    <x v="0"/>
    <x v="0"/>
    <x v="565"/>
    <x v="21"/>
    <x v="0"/>
    <x v="0"/>
    <x v="521"/>
    <x v="5679"/>
  </r>
  <r>
    <x v="2"/>
    <n v="1305"/>
    <x v="1331"/>
    <x v="0"/>
    <s v="CM"/>
    <s v="N"/>
    <x v="770"/>
    <x v="2"/>
    <x v="831"/>
    <m/>
    <x v="348"/>
    <m/>
    <x v="3"/>
    <x v="0"/>
    <x v="511"/>
    <m/>
    <x v="2"/>
    <x v="1"/>
    <s v="Curta-metragem de ficção"/>
    <m/>
    <x v="0"/>
    <x v="0"/>
    <m/>
    <x v="0"/>
    <x v="0"/>
    <x v="1340"/>
    <x v="3"/>
    <x v="0"/>
    <x v="1"/>
    <x v="511"/>
    <x v="5680"/>
  </r>
  <r>
    <x v="2"/>
    <n v="1986"/>
    <x v="1928"/>
    <x v="1"/>
    <s v="CM"/>
    <s v="N"/>
    <x v="917"/>
    <x v="4"/>
    <x v="58"/>
    <m/>
    <x v="47"/>
    <m/>
    <x v="3"/>
    <x v="0"/>
    <x v="542"/>
    <d v="2013-09-08T00:00:00"/>
    <x v="9"/>
    <x v="0"/>
    <m/>
    <s v="Homenagem a Urbano Tavares Rodrigues"/>
    <x v="0"/>
    <x v="1"/>
    <m/>
    <x v="0"/>
    <x v="2"/>
    <x v="1950"/>
    <x v="3"/>
    <x v="0"/>
    <x v="1"/>
    <x v="542"/>
    <x v="5681"/>
  </r>
  <r>
    <x v="2"/>
    <n v="2034"/>
    <x v="1929"/>
    <x v="0"/>
    <s v="CM"/>
    <s v="N"/>
    <x v="461"/>
    <x v="48"/>
    <x v="870"/>
    <m/>
    <x v="59"/>
    <m/>
    <x v="3"/>
    <x v="0"/>
    <x v="568"/>
    <d v="2013-10-13T00:00:00"/>
    <x v="14"/>
    <x v="0"/>
    <m/>
    <s v="Sessão de Abertura - Mostra Retrospectiva de curtas-metragens de João César Monteiro"/>
    <x v="0"/>
    <x v="0"/>
    <m/>
    <x v="0"/>
    <x v="0"/>
    <x v="1951"/>
    <x v="3"/>
    <x v="0"/>
    <x v="1"/>
    <x v="568"/>
    <x v="5682"/>
  </r>
  <r>
    <x v="2"/>
    <n v="1820"/>
    <x v="1930"/>
    <x v="0"/>
    <s v="CM"/>
    <s v="N"/>
    <x v="428"/>
    <x v="52"/>
    <x v="827"/>
    <m/>
    <x v="24"/>
    <m/>
    <x v="3"/>
    <x v="0"/>
    <x v="632"/>
    <m/>
    <x v="8"/>
    <x v="1"/>
    <m/>
    <m/>
    <x v="0"/>
    <x v="0"/>
    <m/>
    <x v="0"/>
    <x v="0"/>
    <x v="1952"/>
    <x v="3"/>
    <x v="0"/>
    <x v="1"/>
    <x v="632"/>
    <x v="5683"/>
  </r>
  <r>
    <x v="2"/>
    <n v="1820"/>
    <x v="1930"/>
    <x v="0"/>
    <s v="CM"/>
    <s v="N"/>
    <x v="428"/>
    <x v="52"/>
    <x v="316"/>
    <m/>
    <x v="11"/>
    <m/>
    <x v="3"/>
    <x v="0"/>
    <x v="500"/>
    <d v="2013-08-31T00:00:00"/>
    <x v="16"/>
    <x v="1"/>
    <s v="Ficção"/>
    <m/>
    <x v="0"/>
    <x v="0"/>
    <m/>
    <x v="0"/>
    <x v="0"/>
    <x v="1952"/>
    <x v="3"/>
    <x v="0"/>
    <x v="1"/>
    <x v="500"/>
    <x v="5684"/>
  </r>
  <r>
    <x v="2"/>
    <n v="2117"/>
    <x v="1931"/>
    <x v="2"/>
    <s v="CM"/>
    <s v="N"/>
    <x v="1165"/>
    <x v="2"/>
    <x v="969"/>
    <m/>
    <x v="40"/>
    <m/>
    <x v="3"/>
    <x v="0"/>
    <x v="659"/>
    <m/>
    <x v="12"/>
    <x v="0"/>
    <m/>
    <m/>
    <x v="0"/>
    <x v="1"/>
    <m/>
    <x v="0"/>
    <x v="4"/>
    <x v="1953"/>
    <x v="3"/>
    <x v="0"/>
    <x v="1"/>
    <x v="659"/>
    <x v="5685"/>
  </r>
  <r>
    <x v="2"/>
    <n v="817"/>
    <x v="570"/>
    <x v="0"/>
    <s v="LM"/>
    <s v="S"/>
    <x v="47"/>
    <x v="5"/>
    <x v="1031"/>
    <m/>
    <x v="332"/>
    <m/>
    <x v="9"/>
    <x v="0"/>
    <x v="649"/>
    <d v="2013-04-06T00:00:00"/>
    <x v="3"/>
    <x v="0"/>
    <m/>
    <s v="Narrative Feature Films"/>
    <x v="0"/>
    <x v="0"/>
    <m/>
    <x v="0"/>
    <x v="5"/>
    <x v="572"/>
    <x v="9"/>
    <x v="0"/>
    <x v="0"/>
    <x v="649"/>
    <x v="5686"/>
  </r>
  <r>
    <x v="2"/>
    <n v="817"/>
    <x v="570"/>
    <x v="0"/>
    <s v="LM"/>
    <s v="S"/>
    <x v="47"/>
    <x v="5"/>
    <x v="843"/>
    <m/>
    <x v="253"/>
    <m/>
    <x v="0"/>
    <x v="0"/>
    <x v="532"/>
    <d v="2013-05-26T00:00:00"/>
    <x v="6"/>
    <x v="0"/>
    <m/>
    <m/>
    <x v="0"/>
    <x v="1"/>
    <m/>
    <x v="0"/>
    <x v="5"/>
    <x v="572"/>
    <x v="0"/>
    <x v="0"/>
    <x v="0"/>
    <x v="532"/>
    <x v="5687"/>
  </r>
  <r>
    <x v="2"/>
    <n v="817"/>
    <x v="570"/>
    <x v="0"/>
    <s v="LM"/>
    <s v="S"/>
    <x v="47"/>
    <x v="5"/>
    <x v="844"/>
    <m/>
    <x v="0"/>
    <m/>
    <x v="0"/>
    <x v="0"/>
    <x v="533"/>
    <d v="2013-06-06T00:00:00"/>
    <x v="22"/>
    <x v="0"/>
    <m/>
    <m/>
    <x v="0"/>
    <x v="1"/>
    <m/>
    <x v="0"/>
    <x v="5"/>
    <x v="572"/>
    <x v="0"/>
    <x v="0"/>
    <x v="0"/>
    <x v="533"/>
    <x v="5688"/>
  </r>
  <r>
    <x v="2"/>
    <n v="819"/>
    <x v="571"/>
    <x v="2"/>
    <s v="CM"/>
    <s v="N"/>
    <x v="433"/>
    <x v="3"/>
    <x v="34"/>
    <m/>
    <x v="32"/>
    <m/>
    <x v="3"/>
    <x v="0"/>
    <x v="525"/>
    <d v="2013-05-12T00:00:00"/>
    <x v="6"/>
    <x v="1"/>
    <s v="Curta-metragem Escolar"/>
    <m/>
    <x v="7"/>
    <x v="0"/>
    <m/>
    <x v="1"/>
    <x v="4"/>
    <x v="573"/>
    <x v="3"/>
    <x v="661"/>
    <x v="1"/>
    <x v="525"/>
    <x v="5689"/>
  </r>
  <r>
    <x v="2"/>
    <n v="2014"/>
    <x v="1932"/>
    <x v="0"/>
    <s v="CM"/>
    <s v="N"/>
    <x v="600"/>
    <x v="41"/>
    <x v="146"/>
    <m/>
    <x v="24"/>
    <m/>
    <x v="3"/>
    <x v="0"/>
    <x v="537"/>
    <d v="2013-04-28T00:00:00"/>
    <x v="5"/>
    <x v="0"/>
    <m/>
    <s v="Sessões Especiais - Ficção"/>
    <x v="0"/>
    <x v="0"/>
    <m/>
    <x v="0"/>
    <x v="0"/>
    <x v="1954"/>
    <x v="3"/>
    <x v="0"/>
    <x v="1"/>
    <x v="537"/>
    <x v="5690"/>
  </r>
  <r>
    <x v="2"/>
    <n v="2037"/>
    <x v="1933"/>
    <x v="0"/>
    <s v="CM"/>
    <s v="N"/>
    <x v="461"/>
    <x v="42"/>
    <x v="870"/>
    <m/>
    <x v="59"/>
    <m/>
    <x v="3"/>
    <x v="0"/>
    <x v="568"/>
    <d v="2013-10-13T00:00:00"/>
    <x v="14"/>
    <x v="0"/>
    <m/>
    <s v="Sessão de Abertura - Mostra Retrospectiva de curtas-metragens de João César Monteiro"/>
    <x v="0"/>
    <x v="0"/>
    <m/>
    <x v="0"/>
    <x v="0"/>
    <x v="1955"/>
    <x v="3"/>
    <x v="0"/>
    <x v="1"/>
    <x v="568"/>
    <x v="5691"/>
  </r>
  <r>
    <x v="2"/>
    <n v="1647"/>
    <x v="1934"/>
    <x v="0"/>
    <s v="CM"/>
    <s v="N"/>
    <x v="1247"/>
    <x v="41"/>
    <x v="593"/>
    <m/>
    <x v="321"/>
    <m/>
    <x v="3"/>
    <x v="0"/>
    <x v="523"/>
    <m/>
    <x v="1"/>
    <x v="0"/>
    <m/>
    <m/>
    <x v="0"/>
    <x v="1"/>
    <s v="Em colaboração com a KAIROS"/>
    <x v="0"/>
    <x v="0"/>
    <x v="1956"/>
    <x v="3"/>
    <x v="0"/>
    <x v="1"/>
    <x v="523"/>
    <x v="5692"/>
  </r>
  <r>
    <x v="2"/>
    <n v="820"/>
    <x v="572"/>
    <x v="0"/>
    <s v="LM"/>
    <s v="S"/>
    <x v="374"/>
    <x v="32"/>
    <x v="865"/>
    <m/>
    <x v="419"/>
    <m/>
    <x v="34"/>
    <x v="0"/>
    <x v="563"/>
    <d v="2013-02-28T00:00:00"/>
    <x v="18"/>
    <x v="0"/>
    <m/>
    <m/>
    <x v="0"/>
    <x v="1"/>
    <s v="Cinémathèque Suisse"/>
    <x v="0"/>
    <x v="5"/>
    <x v="574"/>
    <x v="34"/>
    <x v="0"/>
    <x v="0"/>
    <x v="563"/>
    <x v="5693"/>
  </r>
  <r>
    <x v="2"/>
    <n v="1530"/>
    <x v="1336"/>
    <x v="1"/>
    <s v="CM"/>
    <s v="N"/>
    <x v="29"/>
    <x v="41"/>
    <x v="857"/>
    <m/>
    <x v="419"/>
    <m/>
    <x v="34"/>
    <x v="0"/>
    <x v="554"/>
    <d v="2013-08-25T00:00:00"/>
    <x v="16"/>
    <x v="1"/>
    <s v="Courts métrages 4"/>
    <m/>
    <x v="0"/>
    <x v="0"/>
    <m/>
    <x v="0"/>
    <x v="2"/>
    <x v="1345"/>
    <x v="34"/>
    <x v="0"/>
    <x v="0"/>
    <x v="554"/>
    <x v="5694"/>
  </r>
  <r>
    <x v="2"/>
    <n v="821"/>
    <x v="1337"/>
    <x v="2"/>
    <s v="CM"/>
    <s v="S"/>
    <x v="442"/>
    <x v="41"/>
    <x v="26"/>
    <m/>
    <x v="24"/>
    <m/>
    <x v="3"/>
    <x v="0"/>
    <x v="571"/>
    <d v="2013-03-17T00:00:00"/>
    <x v="2"/>
    <x v="1"/>
    <s v="Competição SPAutores/Vasco Granja"/>
    <m/>
    <x v="0"/>
    <x v="0"/>
    <m/>
    <x v="0"/>
    <x v="4"/>
    <x v="1346"/>
    <x v="3"/>
    <x v="0"/>
    <x v="1"/>
    <x v="571"/>
    <x v="5695"/>
  </r>
  <r>
    <x v="2"/>
    <n v="821"/>
    <x v="1337"/>
    <x v="2"/>
    <s v="CM"/>
    <s v="S"/>
    <x v="442"/>
    <x v="41"/>
    <x v="854"/>
    <m/>
    <x v="24"/>
    <m/>
    <x v="3"/>
    <x v="0"/>
    <x v="550"/>
    <d v="2013-03-27T00:00:00"/>
    <x v="2"/>
    <x v="0"/>
    <m/>
    <m/>
    <x v="0"/>
    <x v="1"/>
    <m/>
    <x v="0"/>
    <x v="4"/>
    <x v="1346"/>
    <x v="3"/>
    <x v="0"/>
    <x v="1"/>
    <x v="550"/>
    <x v="5696"/>
  </r>
  <r>
    <x v="2"/>
    <n v="821"/>
    <x v="1337"/>
    <x v="2"/>
    <s v="CM"/>
    <s v="S"/>
    <x v="442"/>
    <x v="41"/>
    <x v="58"/>
    <m/>
    <x v="47"/>
    <m/>
    <x v="3"/>
    <x v="0"/>
    <x v="542"/>
    <d v="2013-09-08T00:00:00"/>
    <x v="9"/>
    <x v="0"/>
    <m/>
    <s v="Casa da Animação"/>
    <x v="0"/>
    <x v="1"/>
    <m/>
    <x v="0"/>
    <x v="4"/>
    <x v="1346"/>
    <x v="3"/>
    <x v="0"/>
    <x v="1"/>
    <x v="542"/>
    <x v="5697"/>
  </r>
  <r>
    <x v="2"/>
    <n v="821"/>
    <x v="1337"/>
    <x v="2"/>
    <s v="CM"/>
    <s v="S"/>
    <x v="442"/>
    <x v="41"/>
    <x v="1032"/>
    <m/>
    <x v="24"/>
    <m/>
    <x v="3"/>
    <x v="0"/>
    <x v="704"/>
    <m/>
    <x v="13"/>
    <x v="1"/>
    <m/>
    <m/>
    <x v="341"/>
    <x v="1"/>
    <m/>
    <x v="1"/>
    <x v="4"/>
    <x v="1346"/>
    <x v="3"/>
    <x v="408"/>
    <x v="1"/>
    <x v="704"/>
    <x v="5698"/>
  </r>
  <r>
    <x v="2"/>
    <n v="1967"/>
    <x v="1935"/>
    <x v="1"/>
    <s v="CM"/>
    <s v="N"/>
    <x v="617"/>
    <x v="3"/>
    <x v="316"/>
    <m/>
    <x v="11"/>
    <m/>
    <x v="3"/>
    <x v="0"/>
    <x v="500"/>
    <d v="2013-08-31T00:00:00"/>
    <x v="16"/>
    <x v="1"/>
    <s v="Documentário"/>
    <m/>
    <x v="0"/>
    <x v="0"/>
    <m/>
    <x v="0"/>
    <x v="2"/>
    <x v="1957"/>
    <x v="3"/>
    <x v="0"/>
    <x v="1"/>
    <x v="500"/>
    <x v="5699"/>
  </r>
  <r>
    <x v="2"/>
    <n v="1421"/>
    <x v="1338"/>
    <x v="0"/>
    <s v="CM"/>
    <s v="N"/>
    <x v="896"/>
    <x v="41"/>
    <x v="922"/>
    <m/>
    <x v="117"/>
    <m/>
    <x v="9"/>
    <x v="0"/>
    <x v="618"/>
    <d v="2013-08-04T00:00:00"/>
    <x v="25"/>
    <x v="0"/>
    <m/>
    <s v="New Portuguese Cinema"/>
    <x v="0"/>
    <x v="0"/>
    <m/>
    <x v="0"/>
    <x v="0"/>
    <x v="1347"/>
    <x v="9"/>
    <x v="0"/>
    <x v="0"/>
    <x v="618"/>
    <x v="5700"/>
  </r>
  <r>
    <x v="2"/>
    <n v="1421"/>
    <x v="1338"/>
    <x v="0"/>
    <s v="CM"/>
    <s v="N"/>
    <x v="896"/>
    <x v="41"/>
    <x v="95"/>
    <m/>
    <x v="74"/>
    <m/>
    <x v="1"/>
    <x v="0"/>
    <x v="519"/>
    <d v="2013-11-15T00:00:00"/>
    <x v="13"/>
    <x v="1"/>
    <s v="Certamen Europeo 1"/>
    <m/>
    <x v="0"/>
    <x v="0"/>
    <m/>
    <x v="0"/>
    <x v="0"/>
    <x v="1347"/>
    <x v="1"/>
    <x v="0"/>
    <x v="0"/>
    <x v="519"/>
    <x v="5701"/>
  </r>
  <r>
    <x v="2"/>
    <n v="827"/>
    <x v="575"/>
    <x v="0"/>
    <s v="LM"/>
    <s v=""/>
    <x v="212"/>
    <x v="2"/>
    <x v="851"/>
    <m/>
    <x v="58"/>
    <m/>
    <x v="17"/>
    <x v="0"/>
    <x v="546"/>
    <d v="2013-12-05T00:00:00"/>
    <x v="11"/>
    <x v="0"/>
    <m/>
    <m/>
    <x v="0"/>
    <x v="0"/>
    <m/>
    <x v="0"/>
    <x v="5"/>
    <x v="577"/>
    <x v="17"/>
    <x v="0"/>
    <x v="0"/>
    <x v="546"/>
    <x v="5702"/>
  </r>
  <r>
    <x v="2"/>
    <n v="1981"/>
    <x v="1936"/>
    <x v="0"/>
    <s v="CM"/>
    <s v="N"/>
    <x v="1248"/>
    <x v="41"/>
    <x v="316"/>
    <m/>
    <x v="11"/>
    <m/>
    <x v="3"/>
    <x v="0"/>
    <x v="500"/>
    <d v="2013-08-31T00:00:00"/>
    <x v="16"/>
    <x v="1"/>
    <s v="Ficção"/>
    <m/>
    <x v="0"/>
    <x v="0"/>
    <s v="1º Prémio Ficção  (ex aequo)"/>
    <x v="0"/>
    <x v="0"/>
    <x v="1958"/>
    <x v="3"/>
    <x v="0"/>
    <x v="1"/>
    <x v="500"/>
    <x v="5703"/>
  </r>
  <r>
    <x v="2"/>
    <n v="1981"/>
    <x v="1936"/>
    <x v="0"/>
    <s v="CM"/>
    <s v="N"/>
    <x v="1248"/>
    <x v="41"/>
    <x v="767"/>
    <m/>
    <x v="65"/>
    <m/>
    <x v="9"/>
    <x v="0"/>
    <x v="542"/>
    <d v="2013-09-08T00:00:00"/>
    <x v="9"/>
    <x v="0"/>
    <m/>
    <m/>
    <x v="0"/>
    <x v="0"/>
    <m/>
    <x v="0"/>
    <x v="0"/>
    <x v="1958"/>
    <x v="9"/>
    <x v="0"/>
    <x v="0"/>
    <x v="542"/>
    <x v="5704"/>
  </r>
  <r>
    <x v="2"/>
    <n v="1981"/>
    <x v="1936"/>
    <x v="0"/>
    <s v="CM"/>
    <s v="N"/>
    <x v="1248"/>
    <x v="41"/>
    <x v="872"/>
    <m/>
    <x v="422"/>
    <m/>
    <x v="3"/>
    <x v="0"/>
    <x v="518"/>
    <d v="2013-10-26T00:00:00"/>
    <x v="14"/>
    <x v="1"/>
    <s v="Sessão Competitiva nº4"/>
    <m/>
    <x v="112"/>
    <x v="0"/>
    <m/>
    <x v="1"/>
    <x v="0"/>
    <x v="1958"/>
    <x v="3"/>
    <x v="662"/>
    <x v="1"/>
    <x v="518"/>
    <x v="5705"/>
  </r>
  <r>
    <x v="2"/>
    <n v="1981"/>
    <x v="1936"/>
    <x v="0"/>
    <s v="CM"/>
    <s v="N"/>
    <x v="1248"/>
    <x v="41"/>
    <x v="1033"/>
    <m/>
    <x v="15"/>
    <m/>
    <x v="3"/>
    <x v="0"/>
    <x v="699"/>
    <m/>
    <x v="13"/>
    <x v="1"/>
    <m/>
    <m/>
    <x v="0"/>
    <x v="1"/>
    <m/>
    <x v="0"/>
    <x v="0"/>
    <x v="1958"/>
    <x v="3"/>
    <x v="0"/>
    <x v="1"/>
    <x v="699"/>
    <x v="5706"/>
  </r>
  <r>
    <x v="2"/>
    <n v="829"/>
    <x v="576"/>
    <x v="2"/>
    <s v="CM"/>
    <s v="N"/>
    <x v="434"/>
    <x v="2"/>
    <x v="34"/>
    <m/>
    <x v="32"/>
    <m/>
    <x v="3"/>
    <x v="0"/>
    <x v="525"/>
    <d v="2013-05-12T00:00:00"/>
    <x v="6"/>
    <x v="1"/>
    <s v="Curta-metragem Escolar"/>
    <m/>
    <x v="0"/>
    <x v="0"/>
    <m/>
    <x v="0"/>
    <x v="4"/>
    <x v="578"/>
    <x v="3"/>
    <x v="0"/>
    <x v="1"/>
    <x v="525"/>
    <x v="5707"/>
  </r>
  <r>
    <x v="2"/>
    <n v="831"/>
    <x v="578"/>
    <x v="0"/>
    <s v="LM"/>
    <s v="S"/>
    <x v="436"/>
    <x v="5"/>
    <x v="583"/>
    <m/>
    <x v="49"/>
    <m/>
    <x v="3"/>
    <x v="0"/>
    <x v="705"/>
    <m/>
    <x v="15"/>
    <x v="0"/>
    <m/>
    <m/>
    <x v="0"/>
    <x v="1"/>
    <m/>
    <x v="0"/>
    <x v="5"/>
    <x v="580"/>
    <x v="3"/>
    <x v="0"/>
    <x v="1"/>
    <x v="705"/>
    <x v="5708"/>
  </r>
  <r>
    <x v="2"/>
    <n v="831"/>
    <x v="578"/>
    <x v="0"/>
    <s v="LM"/>
    <s v="S"/>
    <x v="436"/>
    <x v="5"/>
    <x v="1034"/>
    <m/>
    <x v="24"/>
    <m/>
    <x v="3"/>
    <x v="0"/>
    <x v="609"/>
    <m/>
    <x v="15"/>
    <x v="0"/>
    <m/>
    <m/>
    <x v="0"/>
    <x v="1"/>
    <m/>
    <x v="0"/>
    <x v="5"/>
    <x v="580"/>
    <x v="3"/>
    <x v="0"/>
    <x v="1"/>
    <x v="609"/>
    <x v="5709"/>
  </r>
  <r>
    <x v="2"/>
    <n v="831"/>
    <x v="578"/>
    <x v="0"/>
    <s v="LM"/>
    <s v="S"/>
    <x v="436"/>
    <x v="5"/>
    <x v="593"/>
    <m/>
    <x v="321"/>
    <m/>
    <x v="3"/>
    <x v="0"/>
    <x v="616"/>
    <m/>
    <x v="1"/>
    <x v="0"/>
    <m/>
    <m/>
    <x v="0"/>
    <x v="1"/>
    <m/>
    <x v="0"/>
    <x v="5"/>
    <x v="580"/>
    <x v="3"/>
    <x v="0"/>
    <x v="1"/>
    <x v="616"/>
    <x v="5710"/>
  </r>
  <r>
    <x v="2"/>
    <n v="831"/>
    <x v="578"/>
    <x v="0"/>
    <s v="LM"/>
    <s v="S"/>
    <x v="436"/>
    <x v="5"/>
    <x v="477"/>
    <m/>
    <x v="59"/>
    <m/>
    <x v="3"/>
    <x v="0"/>
    <x v="580"/>
    <m/>
    <x v="1"/>
    <x v="0"/>
    <m/>
    <m/>
    <x v="0"/>
    <x v="1"/>
    <m/>
    <x v="0"/>
    <x v="5"/>
    <x v="580"/>
    <x v="3"/>
    <x v="0"/>
    <x v="1"/>
    <x v="580"/>
    <x v="5711"/>
  </r>
  <r>
    <x v="2"/>
    <n v="831"/>
    <x v="578"/>
    <x v="0"/>
    <s v="LM"/>
    <s v="S"/>
    <x v="436"/>
    <x v="5"/>
    <x v="1035"/>
    <m/>
    <x v="113"/>
    <m/>
    <x v="7"/>
    <x v="0"/>
    <x v="637"/>
    <d v="2013-12-05T00:00:00"/>
    <x v="11"/>
    <x v="0"/>
    <m/>
    <m/>
    <x v="0"/>
    <x v="0"/>
    <m/>
    <x v="0"/>
    <x v="5"/>
    <x v="580"/>
    <x v="7"/>
    <x v="0"/>
    <x v="0"/>
    <x v="637"/>
    <x v="5712"/>
  </r>
  <r>
    <x v="2"/>
    <n v="1892"/>
    <x v="1937"/>
    <x v="0"/>
    <s v="CM"/>
    <s v="N"/>
    <x v="401"/>
    <x v="41"/>
    <x v="68"/>
    <m/>
    <x v="53"/>
    <m/>
    <x v="3"/>
    <x v="0"/>
    <x v="573"/>
    <d v="2013-07-14T00:00:00"/>
    <x v="8"/>
    <x v="1"/>
    <s v="Competição Nacional"/>
    <m/>
    <x v="0"/>
    <x v="0"/>
    <m/>
    <x v="0"/>
    <x v="0"/>
    <x v="1959"/>
    <x v="3"/>
    <x v="0"/>
    <x v="1"/>
    <x v="573"/>
    <x v="5713"/>
  </r>
  <r>
    <x v="2"/>
    <n v="1892"/>
    <x v="1937"/>
    <x v="0"/>
    <s v="CM"/>
    <s v="N"/>
    <x v="401"/>
    <x v="41"/>
    <x v="147"/>
    <m/>
    <x v="112"/>
    <m/>
    <x v="34"/>
    <x v="0"/>
    <x v="626"/>
    <d v="2013-08-17T00:00:00"/>
    <x v="16"/>
    <x v="2"/>
    <m/>
    <s v="Fuori Concorso: Shorts"/>
    <x v="0"/>
    <x v="0"/>
    <m/>
    <x v="0"/>
    <x v="0"/>
    <x v="1959"/>
    <x v="34"/>
    <x v="0"/>
    <x v="0"/>
    <x v="626"/>
    <x v="5714"/>
  </r>
  <r>
    <x v="2"/>
    <n v="1892"/>
    <x v="1937"/>
    <x v="0"/>
    <s v="CM"/>
    <s v="N"/>
    <x v="401"/>
    <x v="41"/>
    <x v="148"/>
    <m/>
    <x v="113"/>
    <m/>
    <x v="7"/>
    <x v="0"/>
    <x v="505"/>
    <d v="2013-10-11T00:00:00"/>
    <x v="10"/>
    <x v="0"/>
    <m/>
    <s v="Cinema of Our Time"/>
    <x v="0"/>
    <x v="0"/>
    <m/>
    <x v="0"/>
    <x v="0"/>
    <x v="1959"/>
    <x v="7"/>
    <x v="0"/>
    <x v="0"/>
    <x v="505"/>
    <x v="5715"/>
  </r>
  <r>
    <x v="2"/>
    <n v="1892"/>
    <x v="1937"/>
    <x v="0"/>
    <s v="CM"/>
    <s v="N"/>
    <x v="401"/>
    <x v="41"/>
    <x v="709"/>
    <m/>
    <x v="65"/>
    <m/>
    <x v="9"/>
    <x v="0"/>
    <x v="619"/>
    <d v="2013-10-13T00:00:00"/>
    <x v="10"/>
    <x v="0"/>
    <m/>
    <s v="Shorts Program 4"/>
    <x v="0"/>
    <x v="0"/>
    <m/>
    <x v="0"/>
    <x v="0"/>
    <x v="1959"/>
    <x v="9"/>
    <x v="0"/>
    <x v="0"/>
    <x v="619"/>
    <x v="5716"/>
  </r>
  <r>
    <x v="2"/>
    <n v="1892"/>
    <x v="1937"/>
    <x v="0"/>
    <s v="CM"/>
    <s v="N"/>
    <x v="401"/>
    <x v="41"/>
    <x v="85"/>
    <m/>
    <x v="64"/>
    <m/>
    <x v="18"/>
    <x v="0"/>
    <x v="517"/>
    <d v="2013-10-12T00:00:00"/>
    <x v="14"/>
    <x v="0"/>
    <m/>
    <s v="Wide Angle: Short Film Showcase"/>
    <x v="0"/>
    <x v="0"/>
    <m/>
    <x v="0"/>
    <x v="0"/>
    <x v="1959"/>
    <x v="18"/>
    <x v="0"/>
    <x v="0"/>
    <x v="517"/>
    <x v="5717"/>
  </r>
  <r>
    <x v="2"/>
    <n v="1892"/>
    <x v="1937"/>
    <x v="0"/>
    <s v="CM"/>
    <s v="N"/>
    <x v="401"/>
    <x v="41"/>
    <x v="974"/>
    <m/>
    <x v="253"/>
    <m/>
    <x v="0"/>
    <x v="0"/>
    <x v="665"/>
    <d v="2013-10-20T00:00:00"/>
    <x v="14"/>
    <x v="1"/>
    <s v="Competição Internacional Curtas Programa 5"/>
    <m/>
    <x v="6"/>
    <x v="0"/>
    <m/>
    <x v="1"/>
    <x v="0"/>
    <x v="1959"/>
    <x v="0"/>
    <x v="663"/>
    <x v="0"/>
    <x v="665"/>
    <x v="5718"/>
  </r>
  <r>
    <x v="2"/>
    <n v="1892"/>
    <x v="1937"/>
    <x v="0"/>
    <s v="CM"/>
    <s v="N"/>
    <x v="401"/>
    <x v="41"/>
    <x v="837"/>
    <m/>
    <x v="414"/>
    <m/>
    <x v="18"/>
    <x v="0"/>
    <x v="518"/>
    <d v="2013-10-23T00:00:00"/>
    <x v="14"/>
    <x v="0"/>
    <m/>
    <s v="Beyond Docs"/>
    <x v="0"/>
    <x v="0"/>
    <m/>
    <x v="0"/>
    <x v="0"/>
    <x v="1959"/>
    <x v="18"/>
    <x v="0"/>
    <x v="0"/>
    <x v="518"/>
    <x v="5719"/>
  </r>
  <r>
    <x v="2"/>
    <n v="1892"/>
    <x v="1937"/>
    <x v="0"/>
    <s v="CM"/>
    <s v="N"/>
    <x v="401"/>
    <x v="41"/>
    <x v="25"/>
    <m/>
    <x v="24"/>
    <m/>
    <x v="3"/>
    <x v="0"/>
    <x v="553"/>
    <d v="2013-11-03T00:00:00"/>
    <x v="0"/>
    <x v="0"/>
    <m/>
    <s v="Riscos"/>
    <x v="0"/>
    <x v="0"/>
    <m/>
    <x v="0"/>
    <x v="0"/>
    <x v="1959"/>
    <x v="3"/>
    <x v="0"/>
    <x v="1"/>
    <x v="553"/>
    <x v="5720"/>
  </r>
  <r>
    <x v="2"/>
    <n v="1892"/>
    <x v="1937"/>
    <x v="0"/>
    <s v="CM"/>
    <s v="N"/>
    <x v="401"/>
    <x v="41"/>
    <x v="492"/>
    <m/>
    <x v="128"/>
    <m/>
    <x v="1"/>
    <x v="0"/>
    <x v="519"/>
    <d v="2013-11-16T00:00:00"/>
    <x v="13"/>
    <x v="0"/>
    <m/>
    <s v="Focus Europa: Portugal"/>
    <x v="0"/>
    <x v="0"/>
    <m/>
    <x v="0"/>
    <x v="0"/>
    <x v="1959"/>
    <x v="1"/>
    <x v="0"/>
    <x v="0"/>
    <x v="519"/>
    <x v="5721"/>
  </r>
  <r>
    <x v="2"/>
    <n v="1892"/>
    <x v="1937"/>
    <x v="0"/>
    <s v="CM"/>
    <s v="N"/>
    <x v="401"/>
    <x v="41"/>
    <x v="824"/>
    <m/>
    <x v="408"/>
    <m/>
    <x v="9"/>
    <x v="0"/>
    <x v="498"/>
    <d v="2013-11-17T00:00:00"/>
    <x v="13"/>
    <x v="0"/>
    <m/>
    <m/>
    <x v="0"/>
    <x v="1"/>
    <s v="No BAM/PFA"/>
    <x v="0"/>
    <x v="0"/>
    <x v="1959"/>
    <x v="9"/>
    <x v="0"/>
    <x v="0"/>
    <x v="498"/>
    <x v="5722"/>
  </r>
  <r>
    <x v="2"/>
    <n v="1892"/>
    <x v="1937"/>
    <x v="0"/>
    <s v="CM"/>
    <s v="N"/>
    <x v="401"/>
    <x v="41"/>
    <x v="890"/>
    <m/>
    <x v="319"/>
    <m/>
    <x v="1"/>
    <x v="0"/>
    <x v="594"/>
    <d v="2013-12-13T00:00:00"/>
    <x v="11"/>
    <x v="0"/>
    <m/>
    <s v="Curtametraxes: João Pedro Rodrigues"/>
    <x v="0"/>
    <x v="1"/>
    <s v="No CGAI"/>
    <x v="0"/>
    <x v="0"/>
    <x v="1959"/>
    <x v="1"/>
    <x v="0"/>
    <x v="0"/>
    <x v="594"/>
    <x v="5723"/>
  </r>
  <r>
    <x v="2"/>
    <n v="1892"/>
    <x v="1937"/>
    <x v="0"/>
    <s v="CM"/>
    <s v="N"/>
    <x v="401"/>
    <x v="41"/>
    <x v="560"/>
    <m/>
    <x v="209"/>
    <m/>
    <x v="51"/>
    <x v="0"/>
    <x v="576"/>
    <d v="2013-12-15T00:00:00"/>
    <x v="12"/>
    <x v="1"/>
    <s v="International Competition"/>
    <m/>
    <x v="0"/>
    <x v="0"/>
    <m/>
    <x v="0"/>
    <x v="0"/>
    <x v="1959"/>
    <x v="51"/>
    <x v="0"/>
    <x v="0"/>
    <x v="576"/>
    <x v="5724"/>
  </r>
  <r>
    <x v="2"/>
    <n v="834"/>
    <x v="580"/>
    <x v="0"/>
    <s v="LM"/>
    <s v="N"/>
    <x v="53"/>
    <x v="33"/>
    <x v="857"/>
    <m/>
    <x v="419"/>
    <m/>
    <x v="34"/>
    <x v="0"/>
    <x v="554"/>
    <d v="2013-08-25T00:00:00"/>
    <x v="16"/>
    <x v="0"/>
    <m/>
    <m/>
    <x v="0"/>
    <x v="0"/>
    <m/>
    <x v="0"/>
    <x v="5"/>
    <x v="582"/>
    <x v="34"/>
    <x v="0"/>
    <x v="0"/>
    <x v="554"/>
    <x v="5725"/>
  </r>
  <r>
    <x v="2"/>
    <n v="936"/>
    <x v="1346"/>
    <x v="2"/>
    <s v="CM"/>
    <s v="S"/>
    <x v="182"/>
    <x v="41"/>
    <x v="146"/>
    <m/>
    <x v="24"/>
    <m/>
    <x v="3"/>
    <x v="0"/>
    <x v="537"/>
    <d v="2013-04-28T00:00:00"/>
    <x v="5"/>
    <x v="1"/>
    <s v="Competição Nacional - Animaçãp"/>
    <s v="Cinema Emergente Curtas"/>
    <x v="0"/>
    <x v="0"/>
    <m/>
    <x v="0"/>
    <x v="4"/>
    <x v="1355"/>
    <x v="3"/>
    <x v="0"/>
    <x v="1"/>
    <x v="537"/>
    <x v="5726"/>
  </r>
  <r>
    <x v="2"/>
    <n v="936"/>
    <x v="1346"/>
    <x v="2"/>
    <s v="CM"/>
    <s v="S"/>
    <x v="182"/>
    <x v="41"/>
    <x v="68"/>
    <m/>
    <x v="53"/>
    <m/>
    <x v="3"/>
    <x v="0"/>
    <x v="573"/>
    <d v="2013-07-14T00:00:00"/>
    <x v="8"/>
    <x v="0"/>
    <m/>
    <s v="Panorama Nacional"/>
    <x v="0"/>
    <x v="0"/>
    <m/>
    <x v="0"/>
    <x v="4"/>
    <x v="1355"/>
    <x v="3"/>
    <x v="0"/>
    <x v="1"/>
    <x v="573"/>
    <x v="5727"/>
  </r>
  <r>
    <x v="2"/>
    <n v="936"/>
    <x v="1346"/>
    <x v="2"/>
    <s v="CM"/>
    <s v="S"/>
    <x v="182"/>
    <x v="41"/>
    <x v="922"/>
    <m/>
    <x v="117"/>
    <m/>
    <x v="9"/>
    <x v="0"/>
    <x v="618"/>
    <d v="2013-08-04T00:00:00"/>
    <x v="25"/>
    <x v="0"/>
    <m/>
    <s v="New Portuguese Cinema"/>
    <x v="0"/>
    <x v="0"/>
    <m/>
    <x v="0"/>
    <x v="4"/>
    <x v="1355"/>
    <x v="9"/>
    <x v="0"/>
    <x v="0"/>
    <x v="618"/>
    <x v="5728"/>
  </r>
  <r>
    <x v="2"/>
    <n v="936"/>
    <x v="1346"/>
    <x v="2"/>
    <s v="CM"/>
    <s v="S"/>
    <x v="182"/>
    <x v="41"/>
    <x v="48"/>
    <m/>
    <x v="24"/>
    <m/>
    <x v="3"/>
    <x v="0"/>
    <x v="569"/>
    <d v="2013-09-15T00:00:00"/>
    <x v="9"/>
    <x v="1"/>
    <s v="Prémio Yorn MOTELx"/>
    <m/>
    <x v="542"/>
    <x v="0"/>
    <m/>
    <x v="1"/>
    <x v="4"/>
    <x v="1355"/>
    <x v="3"/>
    <x v="664"/>
    <x v="1"/>
    <x v="569"/>
    <x v="5729"/>
  </r>
  <r>
    <x v="2"/>
    <n v="936"/>
    <x v="1346"/>
    <x v="2"/>
    <s v="CM"/>
    <s v="S"/>
    <x v="182"/>
    <x v="41"/>
    <x v="870"/>
    <m/>
    <x v="59"/>
    <m/>
    <x v="3"/>
    <x v="0"/>
    <x v="568"/>
    <d v="2013-10-13T00:00:00"/>
    <x v="14"/>
    <x v="1"/>
    <s v="Competição Nacional"/>
    <m/>
    <x v="0"/>
    <x v="0"/>
    <m/>
    <x v="0"/>
    <x v="4"/>
    <x v="1355"/>
    <x v="3"/>
    <x v="0"/>
    <x v="1"/>
    <x v="568"/>
    <x v="5730"/>
  </r>
  <r>
    <x v="2"/>
    <n v="836"/>
    <x v="1348"/>
    <x v="0"/>
    <s v="LM"/>
    <s v="S"/>
    <x v="158"/>
    <x v="2"/>
    <x v="844"/>
    <m/>
    <x v="0"/>
    <m/>
    <x v="0"/>
    <x v="0"/>
    <x v="533"/>
    <d v="2013-06-06T00:00:00"/>
    <x v="22"/>
    <x v="0"/>
    <m/>
    <m/>
    <x v="0"/>
    <x v="1"/>
    <m/>
    <x v="0"/>
    <x v="5"/>
    <x v="1357"/>
    <x v="0"/>
    <x v="0"/>
    <x v="0"/>
    <x v="533"/>
    <x v="5731"/>
  </r>
  <r>
    <x v="2"/>
    <n v="841"/>
    <x v="1353"/>
    <x v="0"/>
    <s v="CM"/>
    <s v="N"/>
    <x v="38"/>
    <x v="41"/>
    <x v="890"/>
    <m/>
    <x v="319"/>
    <m/>
    <x v="1"/>
    <x v="0"/>
    <x v="594"/>
    <d v="2013-12-13T00:00:00"/>
    <x v="11"/>
    <x v="0"/>
    <m/>
    <s v="Curtametraxes: João Nicolau"/>
    <x v="0"/>
    <x v="1"/>
    <s v="No CGAI"/>
    <x v="0"/>
    <x v="0"/>
    <x v="1362"/>
    <x v="1"/>
    <x v="0"/>
    <x v="0"/>
    <x v="594"/>
    <x v="5732"/>
  </r>
  <r>
    <x v="2"/>
    <n v="841"/>
    <x v="1353"/>
    <x v="0"/>
    <s v="CM"/>
    <s v="N"/>
    <x v="38"/>
    <x v="41"/>
    <x v="851"/>
    <m/>
    <x v="58"/>
    <m/>
    <x v="17"/>
    <x v="0"/>
    <x v="546"/>
    <d v="2013-12-05T00:00:00"/>
    <x v="11"/>
    <x v="0"/>
    <m/>
    <m/>
    <x v="0"/>
    <x v="0"/>
    <m/>
    <x v="0"/>
    <x v="0"/>
    <x v="1362"/>
    <x v="17"/>
    <x v="0"/>
    <x v="0"/>
    <x v="546"/>
    <x v="5733"/>
  </r>
  <r>
    <x v="2"/>
    <n v="1971"/>
    <x v="1938"/>
    <x v="3"/>
    <s v="LM"/>
    <s v="N"/>
    <x v="1249"/>
    <x v="52"/>
    <x v="848"/>
    <m/>
    <x v="165"/>
    <m/>
    <x v="4"/>
    <x v="0"/>
    <x v="540"/>
    <d v="2013-09-01T00:00:00"/>
    <x v="20"/>
    <x v="0"/>
    <m/>
    <m/>
    <x v="0"/>
    <x v="1"/>
    <m/>
    <x v="0"/>
    <x v="17"/>
    <x v="1960"/>
    <x v="4"/>
    <x v="0"/>
    <x v="0"/>
    <x v="540"/>
    <x v="5734"/>
  </r>
  <r>
    <x v="2"/>
    <n v="1971"/>
    <x v="1938"/>
    <x v="3"/>
    <s v="LM"/>
    <s v="N"/>
    <x v="1249"/>
    <x v="52"/>
    <x v="1036"/>
    <m/>
    <x v="457"/>
    <m/>
    <x v="3"/>
    <x v="0"/>
    <x v="519"/>
    <d v="2013-11-18T00:00:00"/>
    <x v="13"/>
    <x v="0"/>
    <m/>
    <s v="CinemArt"/>
    <x v="0"/>
    <x v="0"/>
    <m/>
    <x v="0"/>
    <x v="17"/>
    <x v="1960"/>
    <x v="3"/>
    <x v="0"/>
    <x v="1"/>
    <x v="519"/>
    <x v="5735"/>
  </r>
  <r>
    <x v="2"/>
    <n v="2057"/>
    <x v="1939"/>
    <x v="1"/>
    <s v="CM"/>
    <s v="N"/>
    <x v="1250"/>
    <x v="52"/>
    <x v="872"/>
    <m/>
    <x v="422"/>
    <m/>
    <x v="3"/>
    <x v="0"/>
    <x v="518"/>
    <d v="2013-10-26T00:00:00"/>
    <x v="14"/>
    <x v="1"/>
    <s v="Sessão Competitina nº 2"/>
    <m/>
    <x v="0"/>
    <x v="0"/>
    <m/>
    <x v="0"/>
    <x v="2"/>
    <x v="1961"/>
    <x v="3"/>
    <x v="0"/>
    <x v="1"/>
    <x v="518"/>
    <x v="5736"/>
  </r>
  <r>
    <x v="2"/>
    <n v="2105"/>
    <x v="1940"/>
    <x v="1"/>
    <s v="CM"/>
    <s v="N"/>
    <x v="1200"/>
    <x v="6"/>
    <x v="855"/>
    <m/>
    <x v="18"/>
    <m/>
    <x v="3"/>
    <x v="0"/>
    <x v="551"/>
    <d v="2013-12-10T00:00:00"/>
    <x v="32"/>
    <x v="0"/>
    <m/>
    <m/>
    <x v="0"/>
    <x v="1"/>
    <m/>
    <x v="0"/>
    <x v="2"/>
    <x v="1962"/>
    <x v="3"/>
    <x v="0"/>
    <x v="1"/>
    <x v="551"/>
    <x v="5737"/>
  </r>
  <r>
    <x v="2"/>
    <n v="2105"/>
    <x v="1940"/>
    <x v="1"/>
    <s v="CM"/>
    <s v="N"/>
    <x v="1200"/>
    <x v="6"/>
    <x v="873"/>
    <m/>
    <x v="297"/>
    <m/>
    <x v="3"/>
    <x v="0"/>
    <x v="509"/>
    <d v="2013-11-27T00:00:00"/>
    <x v="13"/>
    <x v="0"/>
    <m/>
    <s v="Homenagem à Ria de Aveiro"/>
    <x v="0"/>
    <x v="0"/>
    <m/>
    <x v="0"/>
    <x v="2"/>
    <x v="1962"/>
    <x v="3"/>
    <x v="0"/>
    <x v="1"/>
    <x v="509"/>
    <x v="5738"/>
  </r>
  <r>
    <x v="2"/>
    <n v="845"/>
    <x v="584"/>
    <x v="0"/>
    <s v="LM"/>
    <s v="S"/>
    <x v="20"/>
    <x v="5"/>
    <x v="835"/>
    <m/>
    <x v="243"/>
    <m/>
    <x v="64"/>
    <x v="0"/>
    <x v="515"/>
    <d v="2013-06-29T00:00:00"/>
    <x v="7"/>
    <x v="0"/>
    <m/>
    <s v="Portugal Euphoria"/>
    <x v="0"/>
    <x v="0"/>
    <m/>
    <x v="0"/>
    <x v="5"/>
    <x v="586"/>
    <x v="64"/>
    <x v="0"/>
    <x v="0"/>
    <x v="515"/>
    <x v="5739"/>
  </r>
  <r>
    <x v="2"/>
    <n v="845"/>
    <x v="584"/>
    <x v="0"/>
    <s v="LM"/>
    <s v="S"/>
    <x v="20"/>
    <x v="5"/>
    <x v="280"/>
    <m/>
    <x v="196"/>
    <m/>
    <x v="2"/>
    <x v="0"/>
    <x v="685"/>
    <d v="2013-12-08T00:00:00"/>
    <x v="11"/>
    <x v="0"/>
    <m/>
    <s v="Premières Épreuves: Fatale Attraction"/>
    <x v="0"/>
    <x v="0"/>
    <m/>
    <x v="0"/>
    <x v="5"/>
    <x v="586"/>
    <x v="2"/>
    <x v="0"/>
    <x v="0"/>
    <x v="685"/>
    <x v="5740"/>
  </r>
  <r>
    <x v="2"/>
    <n v="1529"/>
    <x v="1357"/>
    <x v="0"/>
    <s v="CM"/>
    <s v="N"/>
    <x v="151"/>
    <x v="41"/>
    <x v="146"/>
    <m/>
    <x v="24"/>
    <m/>
    <x v="3"/>
    <x v="0"/>
    <x v="537"/>
    <d v="2013-04-28T00:00:00"/>
    <x v="5"/>
    <x v="1"/>
    <s v="Competição Nacional - Ficção"/>
    <s v="Cinema Emergente Curtas"/>
    <x v="0"/>
    <x v="0"/>
    <m/>
    <x v="0"/>
    <x v="0"/>
    <x v="1366"/>
    <x v="3"/>
    <x v="0"/>
    <x v="1"/>
    <x v="537"/>
    <x v="5741"/>
  </r>
  <r>
    <x v="2"/>
    <n v="1529"/>
    <x v="1357"/>
    <x v="0"/>
    <s v="CM"/>
    <s v="N"/>
    <x v="151"/>
    <x v="41"/>
    <x v="68"/>
    <m/>
    <x v="53"/>
    <m/>
    <x v="3"/>
    <x v="0"/>
    <x v="573"/>
    <d v="2013-07-14T00:00:00"/>
    <x v="8"/>
    <x v="0"/>
    <m/>
    <s v="Stereo"/>
    <x v="0"/>
    <x v="0"/>
    <m/>
    <x v="0"/>
    <x v="0"/>
    <x v="1366"/>
    <x v="3"/>
    <x v="0"/>
    <x v="1"/>
    <x v="573"/>
    <x v="5742"/>
  </r>
  <r>
    <x v="2"/>
    <n v="1529"/>
    <x v="1357"/>
    <x v="0"/>
    <s v="CM"/>
    <s v="N"/>
    <x v="151"/>
    <x v="41"/>
    <x v="870"/>
    <m/>
    <x v="59"/>
    <m/>
    <x v="3"/>
    <x v="0"/>
    <x v="568"/>
    <d v="2013-10-13T00:00:00"/>
    <x v="14"/>
    <x v="1"/>
    <s v="Competição Nacional"/>
    <m/>
    <x v="0"/>
    <x v="0"/>
    <m/>
    <x v="0"/>
    <x v="0"/>
    <x v="1366"/>
    <x v="3"/>
    <x v="0"/>
    <x v="1"/>
    <x v="568"/>
    <x v="5743"/>
  </r>
  <r>
    <x v="2"/>
    <n v="1529"/>
    <x v="1357"/>
    <x v="0"/>
    <s v="CM"/>
    <s v="N"/>
    <x v="151"/>
    <x v="41"/>
    <x v="872"/>
    <m/>
    <x v="422"/>
    <m/>
    <x v="3"/>
    <x v="0"/>
    <x v="518"/>
    <d v="2013-10-26T00:00:00"/>
    <x v="14"/>
    <x v="1"/>
    <s v="Sessão Competitiva nº4"/>
    <m/>
    <x v="0"/>
    <x v="0"/>
    <m/>
    <x v="0"/>
    <x v="0"/>
    <x v="1366"/>
    <x v="3"/>
    <x v="0"/>
    <x v="1"/>
    <x v="518"/>
    <x v="5744"/>
  </r>
  <r>
    <x v="2"/>
    <n v="1529"/>
    <x v="1357"/>
    <x v="0"/>
    <s v="CM"/>
    <s v="N"/>
    <x v="151"/>
    <x v="41"/>
    <x v="179"/>
    <m/>
    <x v="133"/>
    <m/>
    <x v="0"/>
    <x v="0"/>
    <x v="501"/>
    <d v="2013-10-31T00:00:00"/>
    <x v="14"/>
    <x v="0"/>
    <m/>
    <s v="Guimarães Transversal"/>
    <x v="0"/>
    <x v="0"/>
    <m/>
    <x v="0"/>
    <x v="0"/>
    <x v="1366"/>
    <x v="0"/>
    <x v="0"/>
    <x v="0"/>
    <x v="501"/>
    <x v="5745"/>
  </r>
  <r>
    <x v="2"/>
    <n v="1414"/>
    <x v="1358"/>
    <x v="1"/>
    <s v="LM"/>
    <s v=""/>
    <x v="453"/>
    <x v="41"/>
    <x v="985"/>
    <m/>
    <x v="126"/>
    <m/>
    <x v="37"/>
    <x v="0"/>
    <x v="528"/>
    <d v="2013-10-24T00:00:00"/>
    <x v="14"/>
    <x v="0"/>
    <m/>
    <s v="Muestra Documental Arte"/>
    <x v="0"/>
    <x v="0"/>
    <m/>
    <x v="0"/>
    <x v="1"/>
    <x v="1367"/>
    <x v="37"/>
    <x v="0"/>
    <x v="0"/>
    <x v="528"/>
    <x v="5746"/>
  </r>
  <r>
    <x v="2"/>
    <n v="846"/>
    <x v="585"/>
    <x v="0"/>
    <s v="LM"/>
    <s v="S"/>
    <x v="401"/>
    <x v="20"/>
    <x v="885"/>
    <m/>
    <x v="419"/>
    <m/>
    <x v="34"/>
    <x v="0"/>
    <x v="586"/>
    <d v="2013-01-27T00:00:00"/>
    <x v="15"/>
    <x v="0"/>
    <m/>
    <s v="Tous les garçons s'appellent João"/>
    <x v="0"/>
    <x v="0"/>
    <m/>
    <x v="0"/>
    <x v="5"/>
    <x v="587"/>
    <x v="34"/>
    <x v="0"/>
    <x v="0"/>
    <x v="586"/>
    <x v="5747"/>
  </r>
  <r>
    <x v="2"/>
    <n v="846"/>
    <x v="585"/>
    <x v="0"/>
    <s v="LM"/>
    <s v="S"/>
    <x v="401"/>
    <x v="20"/>
    <x v="865"/>
    <m/>
    <x v="419"/>
    <m/>
    <x v="34"/>
    <x v="0"/>
    <x v="563"/>
    <d v="2013-02-28T00:00:00"/>
    <x v="18"/>
    <x v="0"/>
    <m/>
    <m/>
    <x v="0"/>
    <x v="1"/>
    <s v="Cinemathèque Suisse"/>
    <x v="0"/>
    <x v="5"/>
    <x v="587"/>
    <x v="34"/>
    <x v="0"/>
    <x v="0"/>
    <x v="563"/>
    <x v="5748"/>
  </r>
  <r>
    <x v="2"/>
    <n v="846"/>
    <x v="585"/>
    <x v="0"/>
    <s v="LM"/>
    <s v="S"/>
    <x v="401"/>
    <x v="20"/>
    <x v="843"/>
    <m/>
    <x v="253"/>
    <m/>
    <x v="0"/>
    <x v="0"/>
    <x v="532"/>
    <d v="2013-05-26T00:00:00"/>
    <x v="6"/>
    <x v="0"/>
    <m/>
    <m/>
    <x v="0"/>
    <x v="1"/>
    <m/>
    <x v="0"/>
    <x v="5"/>
    <x v="587"/>
    <x v="0"/>
    <x v="0"/>
    <x v="0"/>
    <x v="532"/>
    <x v="5749"/>
  </r>
  <r>
    <x v="2"/>
    <n v="846"/>
    <x v="585"/>
    <x v="0"/>
    <s v="LM"/>
    <s v="S"/>
    <x v="401"/>
    <x v="20"/>
    <x v="844"/>
    <m/>
    <x v="0"/>
    <m/>
    <x v="0"/>
    <x v="0"/>
    <x v="533"/>
    <d v="2013-06-06T00:00:00"/>
    <x v="22"/>
    <x v="0"/>
    <m/>
    <m/>
    <x v="0"/>
    <x v="1"/>
    <m/>
    <x v="0"/>
    <x v="5"/>
    <x v="587"/>
    <x v="0"/>
    <x v="0"/>
    <x v="0"/>
    <x v="533"/>
    <x v="5750"/>
  </r>
  <r>
    <x v="2"/>
    <n v="846"/>
    <x v="585"/>
    <x v="0"/>
    <s v="LM"/>
    <s v="S"/>
    <x v="401"/>
    <x v="20"/>
    <x v="895"/>
    <m/>
    <x v="425"/>
    <m/>
    <x v="0"/>
    <x v="0"/>
    <x v="597"/>
    <d v="2013-09-14T00:00:00"/>
    <x v="9"/>
    <x v="0"/>
    <m/>
    <s v="Mostra Portugal Contemporânei"/>
    <x v="0"/>
    <x v="0"/>
    <m/>
    <x v="0"/>
    <x v="5"/>
    <x v="587"/>
    <x v="0"/>
    <x v="0"/>
    <x v="0"/>
    <x v="597"/>
    <x v="5751"/>
  </r>
  <r>
    <x v="2"/>
    <n v="1525"/>
    <x v="1359"/>
    <x v="0"/>
    <s v="LM"/>
    <s v="N"/>
    <x v="430"/>
    <x v="41"/>
    <x v="519"/>
    <m/>
    <x v="24"/>
    <m/>
    <x v="3"/>
    <x v="0"/>
    <x v="504"/>
    <d v="2013-05-11T00:00:00"/>
    <x v="6"/>
    <x v="0"/>
    <m/>
    <s v="Sessão Guimarães - Capital Europeia da Cultura II"/>
    <x v="0"/>
    <x v="1"/>
    <m/>
    <x v="0"/>
    <x v="5"/>
    <x v="1368"/>
    <x v="3"/>
    <x v="0"/>
    <x v="1"/>
    <x v="504"/>
    <x v="5752"/>
  </r>
  <r>
    <x v="2"/>
    <n v="1525"/>
    <x v="1359"/>
    <x v="0"/>
    <s v="LM"/>
    <s v="N"/>
    <x v="430"/>
    <x v="41"/>
    <x v="179"/>
    <m/>
    <x v="133"/>
    <m/>
    <x v="0"/>
    <x v="0"/>
    <x v="501"/>
    <d v="2013-10-31T00:00:00"/>
    <x v="14"/>
    <x v="0"/>
    <m/>
    <s v="Apresentação Especial"/>
    <x v="0"/>
    <x v="0"/>
    <m/>
    <x v="0"/>
    <x v="5"/>
    <x v="1368"/>
    <x v="0"/>
    <x v="0"/>
    <x v="0"/>
    <x v="501"/>
    <x v="5753"/>
  </r>
  <r>
    <x v="2"/>
    <n v="1525"/>
    <x v="1359"/>
    <x v="0"/>
    <s v="LM"/>
    <s v="N"/>
    <x v="430"/>
    <x v="41"/>
    <x v="492"/>
    <m/>
    <x v="128"/>
    <m/>
    <x v="1"/>
    <x v="0"/>
    <x v="519"/>
    <d v="2013-11-16T00:00:00"/>
    <x v="13"/>
    <x v="0"/>
    <m/>
    <s v="Focus Europa: Portugal"/>
    <x v="0"/>
    <x v="0"/>
    <m/>
    <x v="0"/>
    <x v="5"/>
    <x v="1368"/>
    <x v="1"/>
    <x v="0"/>
    <x v="0"/>
    <x v="519"/>
    <x v="5754"/>
  </r>
  <r>
    <x v="2"/>
    <n v="1525"/>
    <x v="1359"/>
    <x v="0"/>
    <s v="LM"/>
    <s v="N"/>
    <x v="430"/>
    <x v="41"/>
    <x v="890"/>
    <m/>
    <x v="319"/>
    <m/>
    <x v="1"/>
    <x v="0"/>
    <x v="594"/>
    <d v="2013-12-13T00:00:00"/>
    <x v="11"/>
    <x v="0"/>
    <m/>
    <m/>
    <x v="0"/>
    <x v="1"/>
    <s v="No CGAI"/>
    <x v="0"/>
    <x v="5"/>
    <x v="1368"/>
    <x v="1"/>
    <x v="0"/>
    <x v="0"/>
    <x v="594"/>
    <x v="5755"/>
  </r>
  <r>
    <x v="2"/>
    <n v="848"/>
    <x v="1360"/>
    <x v="0"/>
    <s v="CM"/>
    <s v="N"/>
    <x v="907"/>
    <x v="41"/>
    <x v="827"/>
    <m/>
    <x v="24"/>
    <m/>
    <x v="3"/>
    <x v="0"/>
    <x v="632"/>
    <m/>
    <x v="8"/>
    <x v="1"/>
    <m/>
    <m/>
    <x v="0"/>
    <x v="0"/>
    <m/>
    <x v="0"/>
    <x v="0"/>
    <x v="1369"/>
    <x v="3"/>
    <x v="0"/>
    <x v="1"/>
    <x v="632"/>
    <x v="5756"/>
  </r>
  <r>
    <x v="2"/>
    <n v="851"/>
    <x v="1363"/>
    <x v="2"/>
    <s v="CM"/>
    <s v="N"/>
    <x v="736"/>
    <x v="41"/>
    <x v="840"/>
    <m/>
    <x v="24"/>
    <m/>
    <x v="3"/>
    <x v="0"/>
    <x v="522"/>
    <d v="2013-01-27T00:00:00"/>
    <x v="15"/>
    <x v="1"/>
    <s v="Competição ClapKids"/>
    <m/>
    <x v="0"/>
    <x v="0"/>
    <m/>
    <x v="0"/>
    <x v="4"/>
    <x v="1372"/>
    <x v="3"/>
    <x v="0"/>
    <x v="1"/>
    <x v="522"/>
    <x v="5757"/>
  </r>
  <r>
    <x v="2"/>
    <n v="853"/>
    <x v="1364"/>
    <x v="0"/>
    <s v="LM"/>
    <s v="S"/>
    <x v="20"/>
    <x v="41"/>
    <x v="90"/>
    <m/>
    <x v="69"/>
    <m/>
    <x v="8"/>
    <x v="0"/>
    <x v="602"/>
    <d v="2013-02-03T00:00:00"/>
    <x v="18"/>
    <x v="0"/>
    <m/>
    <s v="Spectrum"/>
    <x v="0"/>
    <x v="0"/>
    <m/>
    <x v="0"/>
    <x v="5"/>
    <x v="1373"/>
    <x v="8"/>
    <x v="0"/>
    <x v="0"/>
    <x v="602"/>
    <x v="5758"/>
  </r>
  <r>
    <x v="2"/>
    <n v="853"/>
    <x v="1364"/>
    <x v="0"/>
    <s v="LM"/>
    <s v="S"/>
    <x v="20"/>
    <x v="41"/>
    <x v="595"/>
    <m/>
    <x v="206"/>
    <m/>
    <x v="3"/>
    <x v="0"/>
    <x v="609"/>
    <m/>
    <x v="15"/>
    <x v="0"/>
    <m/>
    <m/>
    <x v="0"/>
    <x v="1"/>
    <m/>
    <x v="0"/>
    <x v="5"/>
    <x v="1373"/>
    <x v="3"/>
    <x v="0"/>
    <x v="1"/>
    <x v="609"/>
    <x v="5759"/>
  </r>
  <r>
    <x v="2"/>
    <n v="853"/>
    <x v="1364"/>
    <x v="0"/>
    <s v="LM"/>
    <s v="S"/>
    <x v="20"/>
    <x v="41"/>
    <x v="337"/>
    <m/>
    <x v="37"/>
    <m/>
    <x v="3"/>
    <x v="0"/>
    <x v="522"/>
    <m/>
    <x v="15"/>
    <x v="0"/>
    <m/>
    <m/>
    <x v="0"/>
    <x v="1"/>
    <m/>
    <x v="0"/>
    <x v="5"/>
    <x v="1373"/>
    <x v="3"/>
    <x v="0"/>
    <x v="1"/>
    <x v="522"/>
    <x v="5760"/>
  </r>
  <r>
    <x v="2"/>
    <n v="853"/>
    <x v="1364"/>
    <x v="0"/>
    <s v="LM"/>
    <s v="S"/>
    <x v="20"/>
    <x v="41"/>
    <x v="476"/>
    <m/>
    <x v="53"/>
    <m/>
    <x v="3"/>
    <x v="0"/>
    <x v="640"/>
    <m/>
    <x v="15"/>
    <x v="0"/>
    <m/>
    <m/>
    <x v="0"/>
    <x v="1"/>
    <m/>
    <x v="0"/>
    <x v="5"/>
    <x v="1373"/>
    <x v="3"/>
    <x v="0"/>
    <x v="1"/>
    <x v="640"/>
    <x v="5761"/>
  </r>
  <r>
    <x v="2"/>
    <n v="853"/>
    <x v="1364"/>
    <x v="0"/>
    <s v="LM"/>
    <s v="S"/>
    <x v="20"/>
    <x v="41"/>
    <x v="1037"/>
    <m/>
    <x v="65"/>
    <m/>
    <x v="9"/>
    <x v="0"/>
    <x v="706"/>
    <d v="2013-02-28T00:00:00"/>
    <x v="1"/>
    <x v="0"/>
    <m/>
    <m/>
    <x v="0"/>
    <x v="1"/>
    <s v="Film Society of Lincoln Center"/>
    <x v="0"/>
    <x v="5"/>
    <x v="1373"/>
    <x v="9"/>
    <x v="0"/>
    <x v="0"/>
    <x v="706"/>
    <x v="5762"/>
  </r>
  <r>
    <x v="2"/>
    <n v="853"/>
    <x v="1364"/>
    <x v="0"/>
    <s v="LM"/>
    <s v="S"/>
    <x v="20"/>
    <x v="41"/>
    <x v="1038"/>
    <m/>
    <x v="36"/>
    <m/>
    <x v="3"/>
    <x v="0"/>
    <x v="578"/>
    <m/>
    <x v="1"/>
    <x v="0"/>
    <m/>
    <m/>
    <x v="0"/>
    <x v="1"/>
    <m/>
    <x v="0"/>
    <x v="5"/>
    <x v="1373"/>
    <x v="3"/>
    <x v="0"/>
    <x v="1"/>
    <x v="578"/>
    <x v="5763"/>
  </r>
  <r>
    <x v="2"/>
    <n v="853"/>
    <x v="1364"/>
    <x v="0"/>
    <s v="LM"/>
    <s v="S"/>
    <x v="20"/>
    <x v="41"/>
    <x v="887"/>
    <m/>
    <x v="424"/>
    <m/>
    <x v="23"/>
    <x v="0"/>
    <x v="707"/>
    <d v="2013-04-02T00:00:00"/>
    <x v="3"/>
    <x v="0"/>
    <m/>
    <s v="Masterclass"/>
    <x v="0"/>
    <x v="0"/>
    <m/>
    <x v="0"/>
    <x v="5"/>
    <x v="1373"/>
    <x v="23"/>
    <x v="0"/>
    <x v="0"/>
    <x v="707"/>
    <x v="5764"/>
  </r>
  <r>
    <x v="2"/>
    <n v="853"/>
    <x v="1364"/>
    <x v="0"/>
    <s v="LM"/>
    <s v="S"/>
    <x v="20"/>
    <x v="41"/>
    <x v="888"/>
    <m/>
    <x v="103"/>
    <m/>
    <x v="31"/>
    <x v="0"/>
    <x v="589"/>
    <d v="2013-04-14T00:00:00"/>
    <x v="3"/>
    <x v="0"/>
    <m/>
    <s v="Masters"/>
    <x v="0"/>
    <x v="0"/>
    <m/>
    <x v="0"/>
    <x v="5"/>
    <x v="1373"/>
    <x v="31"/>
    <x v="0"/>
    <x v="0"/>
    <x v="589"/>
    <x v="5765"/>
  </r>
  <r>
    <x v="2"/>
    <n v="853"/>
    <x v="1364"/>
    <x v="0"/>
    <s v="LM"/>
    <s v="S"/>
    <x v="20"/>
    <x v="41"/>
    <x v="522"/>
    <m/>
    <x v="165"/>
    <m/>
    <x v="4"/>
    <x v="0"/>
    <x v="590"/>
    <d v="2013-04-21T00:00:00"/>
    <x v="5"/>
    <x v="0"/>
    <m/>
    <s v="Panorama "/>
    <x v="0"/>
    <x v="0"/>
    <m/>
    <x v="0"/>
    <x v="5"/>
    <x v="1373"/>
    <x v="4"/>
    <x v="0"/>
    <x v="0"/>
    <x v="590"/>
    <x v="5766"/>
  </r>
  <r>
    <x v="2"/>
    <n v="853"/>
    <x v="1364"/>
    <x v="0"/>
    <s v="LM"/>
    <s v="S"/>
    <x v="20"/>
    <x v="41"/>
    <x v="848"/>
    <m/>
    <x v="165"/>
    <m/>
    <x v="4"/>
    <x v="0"/>
    <x v="540"/>
    <d v="2013-09-01T00:00:00"/>
    <x v="20"/>
    <x v="0"/>
    <m/>
    <m/>
    <x v="0"/>
    <x v="1"/>
    <m/>
    <x v="0"/>
    <x v="5"/>
    <x v="1373"/>
    <x v="4"/>
    <x v="0"/>
    <x v="0"/>
    <x v="540"/>
    <x v="5767"/>
  </r>
  <r>
    <x v="2"/>
    <n v="853"/>
    <x v="1364"/>
    <x v="0"/>
    <s v="LM"/>
    <s v="S"/>
    <x v="20"/>
    <x v="41"/>
    <x v="148"/>
    <m/>
    <x v="113"/>
    <m/>
    <x v="7"/>
    <x v="0"/>
    <x v="505"/>
    <d v="2013-10-11T00:00:00"/>
    <x v="10"/>
    <x v="0"/>
    <m/>
    <s v="Cinema of Our Time"/>
    <x v="0"/>
    <x v="0"/>
    <m/>
    <x v="0"/>
    <x v="5"/>
    <x v="1373"/>
    <x v="7"/>
    <x v="0"/>
    <x v="0"/>
    <x v="505"/>
    <x v="5768"/>
  </r>
  <r>
    <x v="2"/>
    <n v="853"/>
    <x v="1364"/>
    <x v="0"/>
    <s v="LM"/>
    <s v="S"/>
    <x v="20"/>
    <x v="41"/>
    <x v="1020"/>
    <m/>
    <x v="454"/>
    <m/>
    <x v="11"/>
    <x v="0"/>
    <x v="619"/>
    <d v="2013-10-03T00:00:00"/>
    <x v="10"/>
    <x v="1"/>
    <s v="Official Selection"/>
    <m/>
    <x v="0"/>
    <x v="0"/>
    <s v="Director de Fotografia: Renato Berta"/>
    <x v="0"/>
    <x v="5"/>
    <x v="1373"/>
    <x v="11"/>
    <x v="0"/>
    <x v="0"/>
    <x v="619"/>
    <x v="5769"/>
  </r>
  <r>
    <x v="2"/>
    <n v="853"/>
    <x v="1364"/>
    <x v="0"/>
    <s v="LM"/>
    <s v="S"/>
    <x v="20"/>
    <x v="41"/>
    <x v="890"/>
    <m/>
    <x v="319"/>
    <m/>
    <x v="1"/>
    <x v="0"/>
    <x v="594"/>
    <d v="2013-12-13T00:00:00"/>
    <x v="11"/>
    <x v="0"/>
    <m/>
    <m/>
    <x v="0"/>
    <x v="1"/>
    <s v="No CGAI"/>
    <x v="0"/>
    <x v="5"/>
    <x v="1373"/>
    <x v="1"/>
    <x v="0"/>
    <x v="0"/>
    <x v="594"/>
    <x v="5770"/>
  </r>
  <r>
    <x v="2"/>
    <n v="1495"/>
    <x v="1365"/>
    <x v="2"/>
    <s v="CM"/>
    <s v="N"/>
    <x v="908"/>
    <x v="41"/>
    <x v="1004"/>
    <m/>
    <x v="448"/>
    <m/>
    <x v="1"/>
    <x v="0"/>
    <x v="689"/>
    <d v="2013-03-03T00:00:00"/>
    <x v="19"/>
    <x v="0"/>
    <m/>
    <s v="Cortos 4"/>
    <x v="0"/>
    <x v="1"/>
    <m/>
    <x v="0"/>
    <x v="4"/>
    <x v="1374"/>
    <x v="1"/>
    <x v="0"/>
    <x v="0"/>
    <x v="689"/>
    <x v="5771"/>
  </r>
  <r>
    <x v="2"/>
    <n v="1495"/>
    <x v="1365"/>
    <x v="2"/>
    <s v="CM"/>
    <s v="N"/>
    <x v="908"/>
    <x v="41"/>
    <x v="854"/>
    <m/>
    <x v="24"/>
    <m/>
    <x v="3"/>
    <x v="0"/>
    <x v="550"/>
    <d v="2013-03-27T00:00:00"/>
    <x v="2"/>
    <x v="0"/>
    <m/>
    <m/>
    <x v="0"/>
    <x v="1"/>
    <m/>
    <x v="0"/>
    <x v="4"/>
    <x v="1374"/>
    <x v="3"/>
    <x v="0"/>
    <x v="1"/>
    <x v="550"/>
    <x v="5772"/>
  </r>
  <r>
    <x v="2"/>
    <n v="1495"/>
    <x v="1365"/>
    <x v="2"/>
    <s v="CM"/>
    <s v="N"/>
    <x v="908"/>
    <x v="41"/>
    <x v="623"/>
    <m/>
    <x v="336"/>
    <m/>
    <x v="2"/>
    <x v="0"/>
    <x v="691"/>
    <d v="2013-04-12T00:00:00"/>
    <x v="5"/>
    <x v="1"/>
    <s v="Court-métrages d'animation - Programme 02 à partir de 7 ans"/>
    <m/>
    <x v="0"/>
    <x v="0"/>
    <m/>
    <x v="0"/>
    <x v="4"/>
    <x v="1374"/>
    <x v="2"/>
    <x v="0"/>
    <x v="0"/>
    <x v="691"/>
    <x v="5773"/>
  </r>
  <r>
    <x v="2"/>
    <n v="1495"/>
    <x v="1365"/>
    <x v="2"/>
    <s v="CM"/>
    <s v="N"/>
    <x v="908"/>
    <x v="41"/>
    <x v="322"/>
    <m/>
    <x v="220"/>
    <m/>
    <x v="9"/>
    <x v="0"/>
    <x v="692"/>
    <d v="2013-04-14T00:00:00"/>
    <x v="5"/>
    <x v="1"/>
    <s v="International Competition Program 5"/>
    <m/>
    <x v="0"/>
    <x v="0"/>
    <m/>
    <x v="0"/>
    <x v="4"/>
    <x v="1374"/>
    <x v="9"/>
    <x v="0"/>
    <x v="0"/>
    <x v="692"/>
    <x v="5774"/>
  </r>
  <r>
    <x v="2"/>
    <n v="1495"/>
    <x v="1365"/>
    <x v="2"/>
    <s v="CM"/>
    <s v="N"/>
    <x v="908"/>
    <x v="41"/>
    <x v="916"/>
    <m/>
    <x v="428"/>
    <m/>
    <x v="50"/>
    <x v="0"/>
    <x v="612"/>
    <d v="2013-04-28T00:00:00"/>
    <x v="5"/>
    <x v="0"/>
    <m/>
    <s v="VAFI Senior 10+"/>
    <x v="0"/>
    <x v="0"/>
    <m/>
    <x v="0"/>
    <x v="4"/>
    <x v="1374"/>
    <x v="50"/>
    <x v="0"/>
    <x v="0"/>
    <x v="612"/>
    <x v="5775"/>
  </r>
  <r>
    <x v="2"/>
    <n v="1495"/>
    <x v="1365"/>
    <x v="2"/>
    <s v="CM"/>
    <s v="N"/>
    <x v="908"/>
    <x v="41"/>
    <x v="220"/>
    <m/>
    <x v="154"/>
    <m/>
    <x v="0"/>
    <x v="0"/>
    <x v="566"/>
    <d v="2013-08-18T00:00:00"/>
    <x v="16"/>
    <x v="1"/>
    <s v="Curtas-metragens Infantis"/>
    <m/>
    <x v="0"/>
    <x v="0"/>
    <m/>
    <x v="0"/>
    <x v="4"/>
    <x v="1374"/>
    <x v="0"/>
    <x v="0"/>
    <x v="0"/>
    <x v="566"/>
    <x v="5776"/>
  </r>
  <r>
    <x v="2"/>
    <n v="1495"/>
    <x v="1365"/>
    <x v="2"/>
    <s v="CM"/>
    <s v="N"/>
    <x v="908"/>
    <x v="41"/>
    <x v="512"/>
    <m/>
    <x v="307"/>
    <m/>
    <x v="1"/>
    <x v="0"/>
    <x v="519"/>
    <d v="2013-11-17T00:00:00"/>
    <x v="13"/>
    <x v="1"/>
    <s v="Internacional 13"/>
    <m/>
    <x v="543"/>
    <x v="0"/>
    <m/>
    <x v="1"/>
    <x v="4"/>
    <x v="1374"/>
    <x v="1"/>
    <x v="665"/>
    <x v="0"/>
    <x v="519"/>
    <x v="5777"/>
  </r>
  <r>
    <x v="2"/>
    <n v="856"/>
    <x v="1366"/>
    <x v="0"/>
    <s v="LM"/>
    <s v="S"/>
    <x v="441"/>
    <x v="41"/>
    <x v="355"/>
    <m/>
    <x v="238"/>
    <m/>
    <x v="63"/>
    <x v="0"/>
    <x v="522"/>
    <d v="2013-02-04T00:00:00"/>
    <x v="18"/>
    <x v="0"/>
    <m/>
    <s v="Fem Kontinenter: Afrika"/>
    <x v="0"/>
    <x v="0"/>
    <m/>
    <x v="0"/>
    <x v="5"/>
    <x v="1375"/>
    <x v="63"/>
    <x v="0"/>
    <x v="0"/>
    <x v="522"/>
    <x v="5778"/>
  </r>
  <r>
    <x v="2"/>
    <n v="856"/>
    <x v="1366"/>
    <x v="0"/>
    <s v="LM"/>
    <s v="S"/>
    <x v="441"/>
    <x v="41"/>
    <x v="63"/>
    <m/>
    <x v="24"/>
    <m/>
    <x v="3"/>
    <x v="0"/>
    <x v="556"/>
    <d v="2013-04-10T00:00:00"/>
    <x v="5"/>
    <x v="1"/>
    <s v="Competição Longa-metragem"/>
    <m/>
    <x v="544"/>
    <x v="0"/>
    <m/>
    <x v="1"/>
    <x v="5"/>
    <x v="1375"/>
    <x v="3"/>
    <x v="666"/>
    <x v="1"/>
    <x v="556"/>
    <x v="5779"/>
  </r>
  <r>
    <x v="2"/>
    <n v="856"/>
    <x v="1366"/>
    <x v="0"/>
    <s v="LM"/>
    <s v="S"/>
    <x v="441"/>
    <x v="41"/>
    <x v="188"/>
    <m/>
    <x v="0"/>
    <m/>
    <x v="0"/>
    <x v="0"/>
    <x v="505"/>
    <d v="2013-10-10T00:00:00"/>
    <x v="10"/>
    <x v="0"/>
    <m/>
    <s v="Panorama do Cinema Mundial"/>
    <x v="0"/>
    <x v="0"/>
    <m/>
    <x v="0"/>
    <x v="5"/>
    <x v="1375"/>
    <x v="0"/>
    <x v="0"/>
    <x v="0"/>
    <x v="505"/>
    <x v="5780"/>
  </r>
  <r>
    <x v="2"/>
    <n v="856"/>
    <x v="1366"/>
    <x v="0"/>
    <s v="LM"/>
    <s v="S"/>
    <x v="441"/>
    <x v="41"/>
    <x v="179"/>
    <m/>
    <x v="133"/>
    <m/>
    <x v="0"/>
    <x v="0"/>
    <x v="501"/>
    <d v="2013-10-31T00:00:00"/>
    <x v="14"/>
    <x v="0"/>
    <m/>
    <s v="Mostra Brasil"/>
    <x v="0"/>
    <x v="0"/>
    <m/>
    <x v="0"/>
    <x v="5"/>
    <x v="1375"/>
    <x v="0"/>
    <x v="0"/>
    <x v="0"/>
    <x v="501"/>
    <x v="5781"/>
  </r>
  <r>
    <x v="2"/>
    <n v="856"/>
    <x v="1366"/>
    <x v="0"/>
    <s v="LM"/>
    <s v="S"/>
    <x v="441"/>
    <x v="41"/>
    <x v="143"/>
    <m/>
    <x v="109"/>
    <m/>
    <x v="2"/>
    <x v="0"/>
    <x v="519"/>
    <d v="2013-11-16T00:00:00"/>
    <x v="13"/>
    <x v="0"/>
    <m/>
    <s v="Plein Sud"/>
    <x v="0"/>
    <x v="0"/>
    <m/>
    <x v="0"/>
    <x v="5"/>
    <x v="1375"/>
    <x v="2"/>
    <x v="0"/>
    <x v="0"/>
    <x v="519"/>
    <x v="5782"/>
  </r>
  <r>
    <x v="2"/>
    <n v="856"/>
    <x v="1366"/>
    <x v="0"/>
    <s v="LM"/>
    <s v="S"/>
    <x v="441"/>
    <x v="41"/>
    <x v="1039"/>
    <m/>
    <x v="458"/>
    <m/>
    <x v="76"/>
    <x v="0"/>
    <x v="694"/>
    <d v="2013-11-17T00:00:00"/>
    <x v="13"/>
    <x v="1"/>
    <s v="Feature Films Competition"/>
    <m/>
    <x v="0"/>
    <x v="0"/>
    <m/>
    <x v="0"/>
    <x v="5"/>
    <x v="1375"/>
    <x v="76"/>
    <x v="0"/>
    <x v="0"/>
    <x v="694"/>
    <x v="5783"/>
  </r>
  <r>
    <x v="2"/>
    <n v="856"/>
    <x v="1366"/>
    <x v="0"/>
    <s v="LM"/>
    <s v="S"/>
    <x v="441"/>
    <x v="41"/>
    <x v="851"/>
    <m/>
    <x v="58"/>
    <m/>
    <x v="17"/>
    <x v="0"/>
    <x v="546"/>
    <d v="2013-12-05T00:00:00"/>
    <x v="11"/>
    <x v="0"/>
    <m/>
    <m/>
    <x v="0"/>
    <x v="0"/>
    <m/>
    <x v="0"/>
    <x v="5"/>
    <x v="1375"/>
    <x v="17"/>
    <x v="0"/>
    <x v="0"/>
    <x v="546"/>
    <x v="5784"/>
  </r>
  <r>
    <x v="2"/>
    <n v="857"/>
    <x v="1367"/>
    <x v="0"/>
    <s v="CM"/>
    <s v="N"/>
    <x v="909"/>
    <x v="3"/>
    <x v="868"/>
    <m/>
    <x v="24"/>
    <m/>
    <x v="3"/>
    <x v="0"/>
    <x v="565"/>
    <m/>
    <x v="1"/>
    <x v="0"/>
    <m/>
    <m/>
    <x v="545"/>
    <x v="2"/>
    <m/>
    <x v="1"/>
    <x v="0"/>
    <x v="1376"/>
    <x v="3"/>
    <x v="667"/>
    <x v="1"/>
    <x v="565"/>
    <x v="5785"/>
  </r>
  <r>
    <x v="2"/>
    <n v="857"/>
    <x v="1367"/>
    <x v="0"/>
    <s v="CM"/>
    <s v="N"/>
    <x v="909"/>
    <x v="3"/>
    <x v="1040"/>
    <m/>
    <x v="23"/>
    <m/>
    <x v="3"/>
    <x v="0"/>
    <x v="708"/>
    <d v="2013-05-05T00:00:00"/>
    <x v="6"/>
    <x v="0"/>
    <m/>
    <m/>
    <x v="0"/>
    <x v="1"/>
    <s v="Shortcutz Lisboa"/>
    <x v="0"/>
    <x v="0"/>
    <x v="1376"/>
    <x v="3"/>
    <x v="0"/>
    <x v="1"/>
    <x v="708"/>
    <x v="5786"/>
  </r>
  <r>
    <x v="2"/>
    <n v="857"/>
    <x v="1367"/>
    <x v="0"/>
    <s v="CM"/>
    <s v="N"/>
    <x v="909"/>
    <x v="3"/>
    <x v="1041"/>
    <m/>
    <x v="23"/>
    <m/>
    <x v="3"/>
    <x v="0"/>
    <x v="664"/>
    <m/>
    <x v="7"/>
    <x v="0"/>
    <m/>
    <m/>
    <x v="0"/>
    <x v="1"/>
    <m/>
    <x v="0"/>
    <x v="0"/>
    <x v="1376"/>
    <x v="3"/>
    <x v="0"/>
    <x v="1"/>
    <x v="664"/>
    <x v="5787"/>
  </r>
  <r>
    <x v="2"/>
    <n v="857"/>
    <x v="1367"/>
    <x v="0"/>
    <s v="CM"/>
    <s v="N"/>
    <x v="909"/>
    <x v="3"/>
    <x v="961"/>
    <m/>
    <x v="20"/>
    <m/>
    <x v="5"/>
    <x v="0"/>
    <x v="656"/>
    <m/>
    <x v="7"/>
    <x v="0"/>
    <m/>
    <m/>
    <x v="0"/>
    <x v="1"/>
    <m/>
    <x v="0"/>
    <x v="0"/>
    <x v="1376"/>
    <x v="5"/>
    <x v="0"/>
    <x v="0"/>
    <x v="656"/>
    <x v="5788"/>
  </r>
  <r>
    <x v="2"/>
    <n v="857"/>
    <x v="1367"/>
    <x v="0"/>
    <s v="CM"/>
    <s v="N"/>
    <x v="909"/>
    <x v="3"/>
    <x v="1042"/>
    <m/>
    <x v="213"/>
    <m/>
    <x v="8"/>
    <x v="0"/>
    <x v="704"/>
    <m/>
    <x v="13"/>
    <x v="0"/>
    <m/>
    <s v="Shortcutz Network Winner 2012"/>
    <x v="0"/>
    <x v="1"/>
    <m/>
    <x v="0"/>
    <x v="0"/>
    <x v="1376"/>
    <x v="8"/>
    <x v="0"/>
    <x v="0"/>
    <x v="704"/>
    <x v="5789"/>
  </r>
  <r>
    <x v="2"/>
    <n v="858"/>
    <x v="591"/>
    <x v="0"/>
    <s v="LM"/>
    <s v="S"/>
    <x v="441"/>
    <x v="10"/>
    <x v="863"/>
    <m/>
    <x v="421"/>
    <m/>
    <x v="32"/>
    <x v="0"/>
    <x v="561"/>
    <d v="2013-03-30T00:00:00"/>
    <x v="2"/>
    <x v="0"/>
    <m/>
    <s v="Carte Blanche Cinéma Portugais"/>
    <x v="0"/>
    <x v="1"/>
    <m/>
    <x v="0"/>
    <x v="5"/>
    <x v="593"/>
    <x v="32"/>
    <x v="0"/>
    <x v="0"/>
    <x v="561"/>
    <x v="5790"/>
  </r>
  <r>
    <x v="2"/>
    <n v="859"/>
    <x v="592"/>
    <x v="2"/>
    <s v="CM"/>
    <s v="S"/>
    <x v="442"/>
    <x v="5"/>
    <x v="868"/>
    <m/>
    <x v="24"/>
    <m/>
    <x v="3"/>
    <x v="0"/>
    <x v="565"/>
    <m/>
    <x v="1"/>
    <x v="0"/>
    <m/>
    <m/>
    <x v="127"/>
    <x v="2"/>
    <m/>
    <x v="1"/>
    <x v="4"/>
    <x v="594"/>
    <x v="3"/>
    <x v="168"/>
    <x v="1"/>
    <x v="565"/>
    <x v="5791"/>
  </r>
  <r>
    <x v="2"/>
    <n v="859"/>
    <x v="592"/>
    <x v="2"/>
    <s v="CM"/>
    <s v="S"/>
    <x v="442"/>
    <x v="5"/>
    <x v="58"/>
    <m/>
    <x v="47"/>
    <m/>
    <x v="3"/>
    <x v="0"/>
    <x v="542"/>
    <d v="2013-09-08T00:00:00"/>
    <x v="9"/>
    <x v="0"/>
    <m/>
    <m/>
    <x v="0"/>
    <x v="1"/>
    <m/>
    <x v="0"/>
    <x v="4"/>
    <x v="594"/>
    <x v="3"/>
    <x v="0"/>
    <x v="1"/>
    <x v="542"/>
    <x v="5792"/>
  </r>
  <r>
    <x v="2"/>
    <n v="2127"/>
    <x v="1941"/>
    <x v="0"/>
    <s v="CM"/>
    <s v="S"/>
    <x v="1251"/>
    <x v="52"/>
    <x v="907"/>
    <m/>
    <x v="24"/>
    <m/>
    <x v="3"/>
    <x v="0"/>
    <x v="606"/>
    <d v="2013-12-15T00:00:00"/>
    <x v="12"/>
    <x v="1"/>
    <s v="Categoria Fundação INATEL"/>
    <m/>
    <x v="329"/>
    <x v="2"/>
    <m/>
    <x v="1"/>
    <x v="0"/>
    <x v="1963"/>
    <x v="3"/>
    <x v="395"/>
    <x v="1"/>
    <x v="606"/>
    <x v="5793"/>
  </r>
  <r>
    <x v="2"/>
    <n v="860"/>
    <x v="593"/>
    <x v="0"/>
    <s v="CM"/>
    <s v="N"/>
    <x v="178"/>
    <x v="2"/>
    <x v="854"/>
    <m/>
    <x v="24"/>
    <m/>
    <x v="3"/>
    <x v="0"/>
    <x v="550"/>
    <d v="2013-03-27T00:00:00"/>
    <x v="2"/>
    <x v="0"/>
    <m/>
    <m/>
    <x v="0"/>
    <x v="1"/>
    <m/>
    <x v="0"/>
    <x v="0"/>
    <x v="595"/>
    <x v="3"/>
    <x v="0"/>
    <x v="1"/>
    <x v="550"/>
    <x v="5794"/>
  </r>
  <r>
    <x v="2"/>
    <n v="1659"/>
    <x v="1942"/>
    <x v="3"/>
    <s v="CM"/>
    <s v="N"/>
    <x v="1252"/>
    <x v="3"/>
    <x v="1028"/>
    <m/>
    <x v="23"/>
    <m/>
    <x v="3"/>
    <x v="0"/>
    <x v="616"/>
    <m/>
    <x v="1"/>
    <x v="1"/>
    <m/>
    <m/>
    <x v="0"/>
    <x v="1"/>
    <m/>
    <x v="0"/>
    <x v="6"/>
    <x v="1964"/>
    <x v="3"/>
    <x v="0"/>
    <x v="1"/>
    <x v="616"/>
    <x v="5795"/>
  </r>
  <r>
    <x v="2"/>
    <n v="1659"/>
    <x v="1942"/>
    <x v="3"/>
    <s v="CM"/>
    <s v="N"/>
    <x v="1252"/>
    <x v="3"/>
    <x v="1043"/>
    <m/>
    <x v="24"/>
    <m/>
    <x v="3"/>
    <x v="0"/>
    <x v="532"/>
    <m/>
    <x v="6"/>
    <x v="1"/>
    <m/>
    <m/>
    <x v="0"/>
    <x v="1"/>
    <m/>
    <x v="0"/>
    <x v="6"/>
    <x v="1964"/>
    <x v="3"/>
    <x v="0"/>
    <x v="1"/>
    <x v="532"/>
    <x v="5796"/>
  </r>
  <r>
    <x v="2"/>
    <n v="2106"/>
    <x v="1943"/>
    <x v="1"/>
    <s v="CM"/>
    <s v="N"/>
    <x v="1200"/>
    <x v="59"/>
    <x v="873"/>
    <m/>
    <x v="297"/>
    <m/>
    <x v="3"/>
    <x v="0"/>
    <x v="509"/>
    <d v="2013-11-27T00:00:00"/>
    <x v="13"/>
    <x v="0"/>
    <m/>
    <s v="Homenagem à Ria de Aveiro"/>
    <x v="0"/>
    <x v="0"/>
    <m/>
    <x v="0"/>
    <x v="2"/>
    <x v="1965"/>
    <x v="3"/>
    <x v="0"/>
    <x v="1"/>
    <x v="509"/>
    <x v="5797"/>
  </r>
  <r>
    <x v="2"/>
    <n v="1676"/>
    <x v="1944"/>
    <x v="0"/>
    <s v="LM"/>
    <s v="N"/>
    <x v="1253"/>
    <x v="3"/>
    <x v="62"/>
    <m/>
    <x v="23"/>
    <m/>
    <x v="3"/>
    <x v="0"/>
    <x v="503"/>
    <d v="2013-03-10T00:00:00"/>
    <x v="19"/>
    <x v="1"/>
    <s v="Prémio de Cinema Português - Melhor Filme"/>
    <m/>
    <x v="0"/>
    <x v="0"/>
    <m/>
    <x v="0"/>
    <x v="5"/>
    <x v="1966"/>
    <x v="3"/>
    <x v="0"/>
    <x v="1"/>
    <x v="503"/>
    <x v="5798"/>
  </r>
  <r>
    <x v="2"/>
    <n v="866"/>
    <x v="1370"/>
    <x v="2"/>
    <s v="CM"/>
    <s v="N"/>
    <x v="912"/>
    <x v="3"/>
    <x v="840"/>
    <m/>
    <x v="24"/>
    <m/>
    <x v="3"/>
    <x v="0"/>
    <x v="522"/>
    <d v="2013-01-27T00:00:00"/>
    <x v="15"/>
    <x v="1"/>
    <s v="Competição ClapKids"/>
    <m/>
    <x v="0"/>
    <x v="0"/>
    <m/>
    <x v="0"/>
    <x v="4"/>
    <x v="1379"/>
    <x v="3"/>
    <x v="0"/>
    <x v="1"/>
    <x v="522"/>
    <x v="5799"/>
  </r>
  <r>
    <x v="2"/>
    <n v="866"/>
    <x v="1370"/>
    <x v="2"/>
    <s v="CM"/>
    <s v="N"/>
    <x v="912"/>
    <x v="3"/>
    <x v="832"/>
    <m/>
    <x v="413"/>
    <m/>
    <x v="9"/>
    <x v="0"/>
    <x v="507"/>
    <d v="2013-01-27T00:00:00"/>
    <x v="15"/>
    <x v="0"/>
    <m/>
    <m/>
    <x v="0"/>
    <x v="0"/>
    <m/>
    <x v="0"/>
    <x v="4"/>
    <x v="1379"/>
    <x v="9"/>
    <x v="0"/>
    <x v="0"/>
    <x v="507"/>
    <x v="5800"/>
  </r>
  <r>
    <x v="2"/>
    <n v="866"/>
    <x v="1370"/>
    <x v="2"/>
    <s v="CM"/>
    <s v="N"/>
    <x v="912"/>
    <x v="3"/>
    <x v="1010"/>
    <m/>
    <x v="94"/>
    <m/>
    <x v="6"/>
    <x v="0"/>
    <x v="562"/>
    <d v="2013-06-10T00:00:00"/>
    <x v="7"/>
    <x v="0"/>
    <m/>
    <s v="Melbourne Program"/>
    <x v="0"/>
    <x v="0"/>
    <m/>
    <x v="0"/>
    <x v="4"/>
    <x v="1379"/>
    <x v="6"/>
    <x v="0"/>
    <x v="0"/>
    <x v="562"/>
    <x v="5801"/>
  </r>
  <r>
    <x v="2"/>
    <n v="1387"/>
    <x v="1372"/>
    <x v="1"/>
    <s v="CM"/>
    <s v="N"/>
    <x v="914"/>
    <x v="41"/>
    <x v="539"/>
    <m/>
    <x v="76"/>
    <m/>
    <x v="3"/>
    <x v="0"/>
    <x v="678"/>
    <d v="2013-04-21T00:00:00"/>
    <x v="5"/>
    <x v="0"/>
    <m/>
    <s v="Spectrum Português"/>
    <x v="0"/>
    <x v="0"/>
    <m/>
    <x v="0"/>
    <x v="2"/>
    <x v="1381"/>
    <x v="3"/>
    <x v="0"/>
    <x v="1"/>
    <x v="678"/>
    <x v="5802"/>
  </r>
  <r>
    <x v="2"/>
    <n v="1577"/>
    <x v="1374"/>
    <x v="1"/>
    <s v="LM"/>
    <s v="N"/>
    <x v="97"/>
    <x v="41"/>
    <x v="162"/>
    <m/>
    <x v="124"/>
    <m/>
    <x v="3"/>
    <x v="0"/>
    <x v="522"/>
    <m/>
    <x v="15"/>
    <x v="0"/>
    <m/>
    <m/>
    <x v="0"/>
    <x v="1"/>
    <m/>
    <x v="0"/>
    <x v="1"/>
    <x v="1383"/>
    <x v="3"/>
    <x v="0"/>
    <x v="1"/>
    <x v="522"/>
    <x v="5803"/>
  </r>
  <r>
    <x v="2"/>
    <n v="1577"/>
    <x v="1374"/>
    <x v="1"/>
    <s v="LM"/>
    <s v="N"/>
    <x v="97"/>
    <x v="41"/>
    <x v="854"/>
    <m/>
    <x v="24"/>
    <m/>
    <x v="3"/>
    <x v="0"/>
    <x v="550"/>
    <d v="2013-03-27T00:00:00"/>
    <x v="2"/>
    <x v="0"/>
    <m/>
    <m/>
    <x v="0"/>
    <x v="1"/>
    <m/>
    <x v="0"/>
    <x v="1"/>
    <x v="1383"/>
    <x v="3"/>
    <x v="0"/>
    <x v="1"/>
    <x v="550"/>
    <x v="5804"/>
  </r>
  <r>
    <x v="2"/>
    <n v="1577"/>
    <x v="1374"/>
    <x v="1"/>
    <s v="LM"/>
    <s v="N"/>
    <x v="97"/>
    <x v="41"/>
    <x v="58"/>
    <m/>
    <x v="47"/>
    <m/>
    <x v="3"/>
    <x v="0"/>
    <x v="542"/>
    <d v="2013-09-08T00:00:00"/>
    <x v="9"/>
    <x v="0"/>
    <m/>
    <m/>
    <x v="0"/>
    <x v="1"/>
    <m/>
    <x v="0"/>
    <x v="1"/>
    <x v="1383"/>
    <x v="3"/>
    <x v="0"/>
    <x v="1"/>
    <x v="542"/>
    <x v="5805"/>
  </r>
  <r>
    <x v="2"/>
    <n v="1681"/>
    <x v="1945"/>
    <x v="1"/>
    <s v="CM"/>
    <s v="N"/>
    <x v="1254"/>
    <x v="41"/>
    <x v="618"/>
    <m/>
    <x v="23"/>
    <m/>
    <x v="3"/>
    <x v="0"/>
    <x v="552"/>
    <m/>
    <x v="1"/>
    <x v="0"/>
    <m/>
    <m/>
    <x v="0"/>
    <x v="1"/>
    <m/>
    <x v="0"/>
    <x v="2"/>
    <x v="1967"/>
    <x v="3"/>
    <x v="0"/>
    <x v="1"/>
    <x v="552"/>
    <x v="5806"/>
  </r>
  <r>
    <x v="2"/>
    <n v="2109"/>
    <x v="1946"/>
    <x v="4"/>
    <s v="CM"/>
    <s v="N"/>
    <x v="1200"/>
    <x v="60"/>
    <x v="855"/>
    <m/>
    <x v="18"/>
    <m/>
    <x v="3"/>
    <x v="0"/>
    <x v="551"/>
    <d v="2013-12-10T00:00:00"/>
    <x v="32"/>
    <x v="0"/>
    <m/>
    <m/>
    <x v="0"/>
    <x v="1"/>
    <m/>
    <x v="0"/>
    <x v="8"/>
    <x v="1968"/>
    <x v="3"/>
    <x v="0"/>
    <x v="1"/>
    <x v="551"/>
    <x v="5807"/>
  </r>
  <r>
    <x v="2"/>
    <n v="875"/>
    <x v="604"/>
    <x v="2"/>
    <s v="CM"/>
    <s v="N"/>
    <x v="170"/>
    <x v="2"/>
    <x v="828"/>
    <m/>
    <x v="410"/>
    <m/>
    <x v="48"/>
    <x v="0"/>
    <x v="507"/>
    <d v="2013-02-06T00:00:00"/>
    <x v="18"/>
    <x v="0"/>
    <m/>
    <s v="Special Effects/Animarion"/>
    <x v="0"/>
    <x v="0"/>
    <m/>
    <x v="0"/>
    <x v="4"/>
    <x v="1385"/>
    <x v="48"/>
    <x v="0"/>
    <x v="0"/>
    <x v="507"/>
    <x v="5808"/>
  </r>
  <r>
    <x v="2"/>
    <n v="875"/>
    <x v="604"/>
    <x v="2"/>
    <s v="CM"/>
    <s v="N"/>
    <x v="170"/>
    <x v="2"/>
    <x v="62"/>
    <m/>
    <x v="23"/>
    <m/>
    <x v="3"/>
    <x v="0"/>
    <x v="503"/>
    <d v="2013-03-10T00:00:00"/>
    <x v="19"/>
    <x v="0"/>
    <m/>
    <s v="FANTAS em curtas: Cineclube de Avanca"/>
    <x v="0"/>
    <x v="0"/>
    <m/>
    <x v="0"/>
    <x v="4"/>
    <x v="1385"/>
    <x v="3"/>
    <x v="0"/>
    <x v="1"/>
    <x v="503"/>
    <x v="5809"/>
  </r>
  <r>
    <x v="2"/>
    <n v="875"/>
    <x v="604"/>
    <x v="2"/>
    <s v="CM"/>
    <s v="N"/>
    <x v="170"/>
    <x v="2"/>
    <x v="26"/>
    <m/>
    <x v="24"/>
    <m/>
    <x v="3"/>
    <x v="0"/>
    <x v="571"/>
    <d v="2013-03-17T00:00:00"/>
    <x v="2"/>
    <x v="1"/>
    <s v="Competição SPAutores/Vasco Granja"/>
    <m/>
    <x v="0"/>
    <x v="0"/>
    <m/>
    <x v="0"/>
    <x v="4"/>
    <x v="1385"/>
    <x v="3"/>
    <x v="0"/>
    <x v="1"/>
    <x v="571"/>
    <x v="5810"/>
  </r>
  <r>
    <x v="2"/>
    <n v="875"/>
    <x v="604"/>
    <x v="2"/>
    <s v="CM"/>
    <s v="N"/>
    <x v="170"/>
    <x v="2"/>
    <x v="829"/>
    <m/>
    <x v="411"/>
    <m/>
    <x v="0"/>
    <x v="0"/>
    <x v="508"/>
    <d v="2013-06-08T00:00:00"/>
    <x v="7"/>
    <x v="1"/>
    <s v="Competição Mostra Estrangeira"/>
    <m/>
    <x v="0"/>
    <x v="0"/>
    <m/>
    <x v="0"/>
    <x v="4"/>
    <x v="1385"/>
    <x v="0"/>
    <x v="0"/>
    <x v="0"/>
    <x v="508"/>
    <x v="5811"/>
  </r>
  <r>
    <x v="2"/>
    <n v="875"/>
    <x v="604"/>
    <x v="2"/>
    <s v="CM"/>
    <s v="N"/>
    <x v="170"/>
    <x v="2"/>
    <x v="70"/>
    <m/>
    <x v="38"/>
    <m/>
    <x v="3"/>
    <x v="0"/>
    <x v="510"/>
    <d v="2013-09-15T00:00:00"/>
    <x v="9"/>
    <x v="1"/>
    <s v="Sessão Competitiva 2"/>
    <m/>
    <x v="0"/>
    <x v="0"/>
    <m/>
    <x v="0"/>
    <x v="4"/>
    <x v="1385"/>
    <x v="3"/>
    <x v="0"/>
    <x v="1"/>
    <x v="510"/>
    <x v="5812"/>
  </r>
  <r>
    <x v="2"/>
    <n v="1365"/>
    <x v="1376"/>
    <x v="1"/>
    <s v="CM"/>
    <s v="N"/>
    <x v="915"/>
    <x v="41"/>
    <x v="1044"/>
    <m/>
    <x v="459"/>
    <m/>
    <x v="37"/>
    <x v="0"/>
    <x v="587"/>
    <d v="2013-02-27T00:00:00"/>
    <x v="1"/>
    <x v="1"/>
    <s v="Competencia Oficial Documentales"/>
    <m/>
    <x v="0"/>
    <x v="0"/>
    <m/>
    <x v="0"/>
    <x v="2"/>
    <x v="1386"/>
    <x v="37"/>
    <x v="0"/>
    <x v="0"/>
    <x v="587"/>
    <x v="5813"/>
  </r>
  <r>
    <x v="2"/>
    <n v="2021"/>
    <x v="1947"/>
    <x v="0"/>
    <s v="LM"/>
    <s v=""/>
    <x v="77"/>
    <x v="43"/>
    <x v="450"/>
    <m/>
    <x v="24"/>
    <m/>
    <x v="3"/>
    <x v="0"/>
    <x v="568"/>
    <m/>
    <x v="14"/>
    <x v="0"/>
    <m/>
    <m/>
    <x v="0"/>
    <x v="1"/>
    <m/>
    <x v="0"/>
    <x v="5"/>
    <x v="1969"/>
    <x v="3"/>
    <x v="0"/>
    <x v="1"/>
    <x v="568"/>
    <x v="5814"/>
  </r>
  <r>
    <x v="2"/>
    <n v="2150"/>
    <x v="606"/>
    <x v="1"/>
    <s v="LM"/>
    <s v="N"/>
    <x v="448"/>
    <x v="34"/>
    <x v="993"/>
    <m/>
    <x v="340"/>
    <m/>
    <x v="3"/>
    <x v="0"/>
    <x v="639"/>
    <d v="2013-11-09T00:00:00"/>
    <x v="13"/>
    <x v="0"/>
    <m/>
    <m/>
    <x v="0"/>
    <x v="1"/>
    <m/>
    <x v="0"/>
    <x v="1"/>
    <x v="608"/>
    <x v="3"/>
    <x v="0"/>
    <x v="1"/>
    <x v="639"/>
    <x v="5815"/>
  </r>
  <r>
    <x v="2"/>
    <n v="1794"/>
    <x v="1948"/>
    <x v="0"/>
    <s v="CM"/>
    <s v="N"/>
    <x v="541"/>
    <x v="52"/>
    <x v="975"/>
    <m/>
    <x v="441"/>
    <m/>
    <x v="75"/>
    <x v="0"/>
    <x v="666"/>
    <d v="2013-06-21T00:00:00"/>
    <x v="22"/>
    <x v="2"/>
    <m/>
    <m/>
    <x v="0"/>
    <x v="0"/>
    <m/>
    <x v="0"/>
    <x v="0"/>
    <x v="1970"/>
    <x v="75"/>
    <x v="0"/>
    <x v="0"/>
    <x v="666"/>
    <x v="5816"/>
  </r>
  <r>
    <x v="2"/>
    <n v="2137"/>
    <x v="1949"/>
    <x v="2"/>
    <s v="CM"/>
    <s v="N"/>
    <x v="931"/>
    <x v="3"/>
    <x v="454"/>
    <m/>
    <x v="15"/>
    <m/>
    <x v="3"/>
    <x v="0"/>
    <x v="334"/>
    <m/>
    <x v="8"/>
    <x v="1"/>
    <s v="Filme Escolar"/>
    <m/>
    <x v="0"/>
    <x v="0"/>
    <m/>
    <x v="0"/>
    <x v="4"/>
    <x v="1971"/>
    <x v="3"/>
    <x v="0"/>
    <x v="1"/>
    <x v="334"/>
    <x v="5817"/>
  </r>
  <r>
    <x v="2"/>
    <n v="1806"/>
    <x v="1950"/>
    <x v="0"/>
    <s v="CM"/>
    <s v="S"/>
    <x v="1127"/>
    <x v="10"/>
    <x v="843"/>
    <m/>
    <x v="253"/>
    <m/>
    <x v="0"/>
    <x v="0"/>
    <x v="532"/>
    <d v="2013-05-26T00:00:00"/>
    <x v="6"/>
    <x v="0"/>
    <m/>
    <m/>
    <x v="0"/>
    <x v="1"/>
    <m/>
    <x v="0"/>
    <x v="0"/>
    <x v="1972"/>
    <x v="0"/>
    <x v="0"/>
    <x v="0"/>
    <x v="532"/>
    <x v="5818"/>
  </r>
  <r>
    <x v="2"/>
    <n v="1806"/>
    <x v="1950"/>
    <x v="0"/>
    <s v="CM"/>
    <s v="S"/>
    <x v="1127"/>
    <x v="10"/>
    <x v="844"/>
    <m/>
    <x v="0"/>
    <m/>
    <x v="0"/>
    <x v="0"/>
    <x v="533"/>
    <d v="2013-06-06T00:00:00"/>
    <x v="22"/>
    <x v="0"/>
    <m/>
    <m/>
    <x v="0"/>
    <x v="1"/>
    <m/>
    <x v="0"/>
    <x v="0"/>
    <x v="1972"/>
    <x v="0"/>
    <x v="0"/>
    <x v="0"/>
    <x v="533"/>
    <x v="5819"/>
  </r>
  <r>
    <x v="2"/>
    <n v="1806"/>
    <x v="1950"/>
    <x v="0"/>
    <s v="CM"/>
    <s v="S"/>
    <x v="1127"/>
    <x v="10"/>
    <x v="895"/>
    <m/>
    <x v="425"/>
    <m/>
    <x v="0"/>
    <x v="0"/>
    <x v="597"/>
    <d v="2013-09-14T00:00:00"/>
    <x v="9"/>
    <x v="0"/>
    <m/>
    <s v="Mostra Portugal Contemporânei"/>
    <x v="0"/>
    <x v="0"/>
    <m/>
    <x v="0"/>
    <x v="0"/>
    <x v="1972"/>
    <x v="0"/>
    <x v="0"/>
    <x v="0"/>
    <x v="597"/>
    <x v="5820"/>
  </r>
  <r>
    <x v="2"/>
    <n v="880"/>
    <x v="607"/>
    <x v="0"/>
    <s v="CM"/>
    <s v="N"/>
    <x v="348"/>
    <x v="5"/>
    <x v="839"/>
    <m/>
    <x v="82"/>
    <m/>
    <x v="21"/>
    <x v="0"/>
    <x v="521"/>
    <d v="2013-07-07T00:00:00"/>
    <x v="17"/>
    <x v="0"/>
    <m/>
    <s v="Falado em português: Estamos aqui"/>
    <x v="0"/>
    <x v="1"/>
    <m/>
    <x v="0"/>
    <x v="0"/>
    <x v="609"/>
    <x v="21"/>
    <x v="0"/>
    <x v="0"/>
    <x v="521"/>
    <x v="5821"/>
  </r>
  <r>
    <x v="2"/>
    <n v="880"/>
    <x v="607"/>
    <x v="0"/>
    <s v="CM"/>
    <s v="N"/>
    <x v="348"/>
    <x v="5"/>
    <x v="920"/>
    <m/>
    <x v="429"/>
    <m/>
    <x v="63"/>
    <x v="0"/>
    <x v="509"/>
    <d v="2013-11-30T00:00:00"/>
    <x v="13"/>
    <x v="0"/>
    <m/>
    <m/>
    <x v="0"/>
    <x v="0"/>
    <m/>
    <x v="0"/>
    <x v="0"/>
    <x v="609"/>
    <x v="63"/>
    <x v="0"/>
    <x v="0"/>
    <x v="509"/>
    <x v="5822"/>
  </r>
  <r>
    <x v="2"/>
    <n v="2040"/>
    <x v="1951"/>
    <x v="1"/>
    <s v="LM"/>
    <s v="N"/>
    <x v="1255"/>
    <x v="52"/>
    <x v="471"/>
    <m/>
    <x v="75"/>
    <m/>
    <x v="15"/>
    <x v="0"/>
    <x v="519"/>
    <d v="2013-11-17T00:00:00"/>
    <x v="13"/>
    <x v="1"/>
    <s v="Cinema XXI - Concorso"/>
    <m/>
    <x v="0"/>
    <x v="0"/>
    <m/>
    <x v="0"/>
    <x v="1"/>
    <x v="1973"/>
    <x v="15"/>
    <x v="0"/>
    <x v="0"/>
    <x v="519"/>
    <x v="5823"/>
  </r>
  <r>
    <x v="2"/>
    <n v="881"/>
    <x v="1378"/>
    <x v="0"/>
    <s v="CM"/>
    <s v="S"/>
    <x v="917"/>
    <x v="41"/>
    <x v="63"/>
    <m/>
    <x v="24"/>
    <m/>
    <x v="3"/>
    <x v="0"/>
    <x v="556"/>
    <d v="2013-04-10T00:00:00"/>
    <x v="5"/>
    <x v="1"/>
    <s v="Competição Curta-metragem"/>
    <m/>
    <x v="7"/>
    <x v="0"/>
    <m/>
    <x v="1"/>
    <x v="0"/>
    <x v="1388"/>
    <x v="3"/>
    <x v="668"/>
    <x v="1"/>
    <x v="556"/>
    <x v="5824"/>
  </r>
  <r>
    <x v="2"/>
    <n v="1698"/>
    <x v="1952"/>
    <x v="4"/>
    <s v="CM"/>
    <s v="N"/>
    <x v="1256"/>
    <x v="2"/>
    <x v="62"/>
    <m/>
    <x v="23"/>
    <m/>
    <x v="3"/>
    <x v="0"/>
    <x v="503"/>
    <d v="2013-03-10T00:00:00"/>
    <x v="19"/>
    <x v="1"/>
    <s v="Prémio de Cinema Português - Escolas de Cinema"/>
    <m/>
    <x v="0"/>
    <x v="0"/>
    <s v="Escola Artística de Soares dos Reis"/>
    <x v="0"/>
    <x v="8"/>
    <x v="1974"/>
    <x v="3"/>
    <x v="0"/>
    <x v="1"/>
    <x v="503"/>
    <x v="5825"/>
  </r>
  <r>
    <x v="2"/>
    <n v="1570"/>
    <x v="1379"/>
    <x v="1"/>
    <s v="CM"/>
    <s v="N"/>
    <x v="804"/>
    <x v="41"/>
    <x v="63"/>
    <m/>
    <x v="24"/>
    <m/>
    <x v="3"/>
    <x v="0"/>
    <x v="556"/>
    <d v="2013-04-10T00:00:00"/>
    <x v="5"/>
    <x v="0"/>
    <m/>
    <s v="Mostra de Inclusão Social"/>
    <x v="0"/>
    <x v="0"/>
    <m/>
    <x v="0"/>
    <x v="2"/>
    <x v="1389"/>
    <x v="3"/>
    <x v="0"/>
    <x v="1"/>
    <x v="556"/>
    <x v="5826"/>
  </r>
  <r>
    <x v="2"/>
    <n v="1313"/>
    <x v="1383"/>
    <x v="0"/>
    <s v="CM"/>
    <s v="N"/>
    <x v="75"/>
    <x v="2"/>
    <x v="840"/>
    <m/>
    <x v="24"/>
    <m/>
    <x v="3"/>
    <x v="0"/>
    <x v="522"/>
    <d v="2013-01-27T00:00:00"/>
    <x v="15"/>
    <x v="1"/>
    <s v="Competição Geral"/>
    <m/>
    <x v="0"/>
    <x v="0"/>
    <m/>
    <x v="0"/>
    <x v="0"/>
    <x v="1393"/>
    <x v="3"/>
    <x v="0"/>
    <x v="1"/>
    <x v="522"/>
    <x v="5827"/>
  </r>
  <r>
    <x v="2"/>
    <n v="890"/>
    <x v="1385"/>
    <x v="0"/>
    <s v="CM"/>
    <s v="S"/>
    <x v="919"/>
    <x v="41"/>
    <x v="521"/>
    <m/>
    <x v="65"/>
    <m/>
    <x v="9"/>
    <x v="0"/>
    <x v="709"/>
    <d v="2013-01-13T00:00:00"/>
    <x v="15"/>
    <x v="0"/>
    <m/>
    <m/>
    <x v="0"/>
    <x v="1"/>
    <m/>
    <x v="0"/>
    <x v="0"/>
    <x v="1395"/>
    <x v="9"/>
    <x v="0"/>
    <x v="0"/>
    <x v="709"/>
    <x v="5828"/>
  </r>
  <r>
    <x v="2"/>
    <n v="890"/>
    <x v="1385"/>
    <x v="0"/>
    <s v="CM"/>
    <s v="S"/>
    <x v="919"/>
    <x v="41"/>
    <x v="885"/>
    <m/>
    <x v="419"/>
    <m/>
    <x v="34"/>
    <x v="0"/>
    <x v="586"/>
    <d v="2013-01-27T00:00:00"/>
    <x v="15"/>
    <x v="0"/>
    <m/>
    <s v="Tous les garçons s'appellent João"/>
    <x v="0"/>
    <x v="0"/>
    <m/>
    <x v="0"/>
    <x v="0"/>
    <x v="1395"/>
    <x v="34"/>
    <x v="0"/>
    <x v="0"/>
    <x v="586"/>
    <x v="5829"/>
  </r>
  <r>
    <x v="2"/>
    <n v="890"/>
    <x v="1385"/>
    <x v="0"/>
    <s v="CM"/>
    <s v="S"/>
    <x v="919"/>
    <x v="41"/>
    <x v="323"/>
    <m/>
    <x v="209"/>
    <m/>
    <x v="51"/>
    <x v="0"/>
    <x v="590"/>
    <d v="2013-04-14T00:00:00"/>
    <x v="5"/>
    <x v="1"/>
    <s v="Competition"/>
    <m/>
    <x v="0"/>
    <x v="0"/>
    <m/>
    <x v="0"/>
    <x v="0"/>
    <x v="1395"/>
    <x v="51"/>
    <x v="0"/>
    <x v="0"/>
    <x v="590"/>
    <x v="5830"/>
  </r>
  <r>
    <x v="2"/>
    <n v="890"/>
    <x v="1385"/>
    <x v="0"/>
    <s v="CM"/>
    <s v="S"/>
    <x v="919"/>
    <x v="41"/>
    <x v="373"/>
    <m/>
    <x v="189"/>
    <m/>
    <x v="5"/>
    <x v="0"/>
    <x v="497"/>
    <d v="2013-04-21T00:00:00"/>
    <x v="5"/>
    <x v="0"/>
    <m/>
    <s v="Focus Portugal: Restless Future"/>
    <x v="0"/>
    <x v="0"/>
    <s v="Programa da ACM"/>
    <x v="0"/>
    <x v="0"/>
    <x v="1395"/>
    <x v="5"/>
    <x v="0"/>
    <x v="0"/>
    <x v="497"/>
    <x v="5831"/>
  </r>
  <r>
    <x v="2"/>
    <n v="890"/>
    <x v="1385"/>
    <x v="0"/>
    <s v="CM"/>
    <s v="S"/>
    <x v="919"/>
    <x v="41"/>
    <x v="922"/>
    <m/>
    <x v="117"/>
    <m/>
    <x v="9"/>
    <x v="0"/>
    <x v="618"/>
    <d v="2013-08-04T00:00:00"/>
    <x v="25"/>
    <x v="0"/>
    <m/>
    <s v="New Portuguese Cinema"/>
    <x v="0"/>
    <x v="0"/>
    <m/>
    <x v="0"/>
    <x v="0"/>
    <x v="1395"/>
    <x v="9"/>
    <x v="0"/>
    <x v="0"/>
    <x v="618"/>
    <x v="5832"/>
  </r>
  <r>
    <x v="2"/>
    <n v="890"/>
    <x v="1385"/>
    <x v="0"/>
    <s v="CM"/>
    <s v="S"/>
    <x v="919"/>
    <x v="41"/>
    <x v="918"/>
    <m/>
    <x v="256"/>
    <m/>
    <x v="9"/>
    <x v="0"/>
    <x v="541"/>
    <d v="2013-09-08T00:00:00"/>
    <x v="9"/>
    <x v="0"/>
    <m/>
    <s v="The Way of All Flesh"/>
    <x v="0"/>
    <x v="0"/>
    <m/>
    <x v="0"/>
    <x v="0"/>
    <x v="1395"/>
    <x v="9"/>
    <x v="0"/>
    <x v="0"/>
    <x v="541"/>
    <x v="5833"/>
  </r>
  <r>
    <x v="2"/>
    <n v="890"/>
    <x v="1385"/>
    <x v="0"/>
    <s v="CM"/>
    <s v="S"/>
    <x v="919"/>
    <x v="41"/>
    <x v="859"/>
    <m/>
    <x v="420"/>
    <m/>
    <x v="0"/>
    <x v="0"/>
    <x v="559"/>
    <d v="2013-09-29T00:00:00"/>
    <x v="9"/>
    <x v="1"/>
    <s v="Mostra Competitiva Internacional - Int.I"/>
    <m/>
    <x v="0"/>
    <x v="0"/>
    <m/>
    <x v="0"/>
    <x v="0"/>
    <x v="1395"/>
    <x v="0"/>
    <x v="0"/>
    <x v="0"/>
    <x v="559"/>
    <x v="5834"/>
  </r>
  <r>
    <x v="2"/>
    <n v="890"/>
    <x v="1385"/>
    <x v="0"/>
    <s v="CM"/>
    <s v="S"/>
    <x v="919"/>
    <x v="41"/>
    <x v="492"/>
    <m/>
    <x v="128"/>
    <m/>
    <x v="1"/>
    <x v="0"/>
    <x v="519"/>
    <d v="2013-11-16T00:00:00"/>
    <x v="13"/>
    <x v="0"/>
    <m/>
    <s v="Focus Europa: Portugal"/>
    <x v="0"/>
    <x v="0"/>
    <m/>
    <x v="0"/>
    <x v="0"/>
    <x v="1395"/>
    <x v="1"/>
    <x v="0"/>
    <x v="0"/>
    <x v="519"/>
    <x v="5835"/>
  </r>
  <r>
    <x v="2"/>
    <n v="890"/>
    <x v="1385"/>
    <x v="0"/>
    <s v="CM"/>
    <s v="S"/>
    <x v="919"/>
    <x v="41"/>
    <x v="890"/>
    <m/>
    <x v="319"/>
    <m/>
    <x v="1"/>
    <x v="0"/>
    <x v="594"/>
    <d v="2013-12-13T00:00:00"/>
    <x v="11"/>
    <x v="0"/>
    <m/>
    <m/>
    <x v="0"/>
    <x v="1"/>
    <s v="No CGAI"/>
    <x v="0"/>
    <x v="0"/>
    <x v="1395"/>
    <x v="1"/>
    <x v="0"/>
    <x v="0"/>
    <x v="594"/>
    <x v="5836"/>
  </r>
  <r>
    <x v="2"/>
    <n v="890"/>
    <x v="1385"/>
    <x v="0"/>
    <s v="CM"/>
    <s v="S"/>
    <x v="919"/>
    <x v="41"/>
    <x v="560"/>
    <m/>
    <x v="209"/>
    <m/>
    <x v="51"/>
    <x v="0"/>
    <x v="576"/>
    <d v="2013-12-15T00:00:00"/>
    <x v="12"/>
    <x v="1"/>
    <s v="International Competition"/>
    <m/>
    <x v="0"/>
    <x v="0"/>
    <m/>
    <x v="0"/>
    <x v="0"/>
    <x v="1395"/>
    <x v="51"/>
    <x v="0"/>
    <x v="0"/>
    <x v="576"/>
    <x v="5837"/>
  </r>
  <r>
    <x v="2"/>
    <n v="2071"/>
    <x v="1953"/>
    <x v="0"/>
    <s v="CM"/>
    <s v="N"/>
    <x v="230"/>
    <x v="52"/>
    <x v="991"/>
    <m/>
    <x v="433"/>
    <m/>
    <x v="17"/>
    <x v="0"/>
    <x v="639"/>
    <d v="2013-11-21T00:00:00"/>
    <x v="13"/>
    <x v="1"/>
    <s v="Louis Le Prince International Short Film Competition  - Programme 3"/>
    <m/>
    <x v="0"/>
    <x v="0"/>
    <m/>
    <x v="0"/>
    <x v="0"/>
    <x v="1975"/>
    <x v="17"/>
    <x v="0"/>
    <x v="0"/>
    <x v="639"/>
    <x v="5838"/>
  </r>
  <r>
    <x v="2"/>
    <n v="1646"/>
    <x v="1954"/>
    <x v="0"/>
    <s v="CM"/>
    <s v="S"/>
    <x v="83"/>
    <x v="37"/>
    <x v="865"/>
    <m/>
    <x v="419"/>
    <m/>
    <x v="34"/>
    <x v="0"/>
    <x v="563"/>
    <d v="2013-02-28T00:00:00"/>
    <x v="18"/>
    <x v="0"/>
    <m/>
    <m/>
    <x v="0"/>
    <x v="1"/>
    <s v="Cinemathèque Suisse"/>
    <x v="0"/>
    <x v="0"/>
    <x v="1976"/>
    <x v="34"/>
    <x v="0"/>
    <x v="0"/>
    <x v="563"/>
    <x v="5839"/>
  </r>
  <r>
    <x v="2"/>
    <n v="1588"/>
    <x v="1386"/>
    <x v="0"/>
    <s v="CM"/>
    <s v="N"/>
    <x v="920"/>
    <x v="41"/>
    <x v="840"/>
    <m/>
    <x v="24"/>
    <m/>
    <x v="3"/>
    <x v="0"/>
    <x v="522"/>
    <d v="2013-01-27T00:00:00"/>
    <x v="15"/>
    <x v="1"/>
    <s v="Competição Geral"/>
    <m/>
    <x v="546"/>
    <x v="0"/>
    <m/>
    <x v="1"/>
    <x v="0"/>
    <x v="1396"/>
    <x v="3"/>
    <x v="669"/>
    <x v="1"/>
    <x v="522"/>
    <x v="5840"/>
  </r>
  <r>
    <x v="2"/>
    <n v="1588"/>
    <x v="1386"/>
    <x v="0"/>
    <s v="CM"/>
    <s v="N"/>
    <x v="920"/>
    <x v="41"/>
    <x v="62"/>
    <m/>
    <x v="23"/>
    <m/>
    <x v="3"/>
    <x v="0"/>
    <x v="503"/>
    <d v="2013-03-10T00:00:00"/>
    <x v="19"/>
    <x v="1"/>
    <s v="Prémio de Cinema Português - Escolas de Cinema"/>
    <m/>
    <x v="0"/>
    <x v="0"/>
    <s v="Universidade Lusófona - Lisboa"/>
    <x v="0"/>
    <x v="0"/>
    <x v="1396"/>
    <x v="3"/>
    <x v="0"/>
    <x v="1"/>
    <x v="503"/>
    <x v="5841"/>
  </r>
  <r>
    <x v="2"/>
    <n v="1588"/>
    <x v="1386"/>
    <x v="0"/>
    <s v="CM"/>
    <s v="N"/>
    <x v="920"/>
    <x v="41"/>
    <x v="63"/>
    <m/>
    <x v="24"/>
    <m/>
    <x v="3"/>
    <x v="0"/>
    <x v="556"/>
    <d v="2013-04-10T00:00:00"/>
    <x v="5"/>
    <x v="1"/>
    <s v="Competição Curta-metragem"/>
    <m/>
    <x v="0"/>
    <x v="0"/>
    <m/>
    <x v="0"/>
    <x v="0"/>
    <x v="1396"/>
    <x v="3"/>
    <x v="0"/>
    <x v="1"/>
    <x v="556"/>
    <x v="5842"/>
  </r>
  <r>
    <x v="2"/>
    <n v="1588"/>
    <x v="1386"/>
    <x v="0"/>
    <s v="CM"/>
    <s v="N"/>
    <x v="920"/>
    <x v="41"/>
    <x v="1045"/>
    <m/>
    <x v="15"/>
    <m/>
    <x v="3"/>
    <x v="0"/>
    <x v="566"/>
    <m/>
    <x v="16"/>
    <x v="1"/>
    <m/>
    <m/>
    <x v="0"/>
    <x v="1"/>
    <m/>
    <x v="0"/>
    <x v="0"/>
    <x v="1396"/>
    <x v="3"/>
    <x v="0"/>
    <x v="1"/>
    <x v="566"/>
    <x v="5843"/>
  </r>
  <r>
    <x v="2"/>
    <n v="1918"/>
    <x v="1955"/>
    <x v="0"/>
    <s v="LM"/>
    <s v="N"/>
    <x v="194"/>
    <x v="35"/>
    <x v="846"/>
    <m/>
    <x v="417"/>
    <m/>
    <x v="11"/>
    <x v="0"/>
    <x v="535"/>
    <d v="2013-08-03T00:00:00"/>
    <x v="25"/>
    <x v="0"/>
    <m/>
    <s v="Focus Portugal: Novo Cinema"/>
    <x v="0"/>
    <x v="0"/>
    <m/>
    <x v="0"/>
    <x v="5"/>
    <x v="1977"/>
    <x v="11"/>
    <x v="0"/>
    <x v="0"/>
    <x v="535"/>
    <x v="5844"/>
  </r>
  <r>
    <x v="2"/>
    <n v="892"/>
    <x v="1387"/>
    <x v="2"/>
    <s v="CM"/>
    <s v="S"/>
    <x v="481"/>
    <x v="41"/>
    <x v="26"/>
    <m/>
    <x v="24"/>
    <m/>
    <x v="3"/>
    <x v="0"/>
    <x v="571"/>
    <d v="2013-03-17T00:00:00"/>
    <x v="2"/>
    <x v="1"/>
    <s v="Competição SPAutores/Vasco Granja"/>
    <m/>
    <x v="0"/>
    <x v="0"/>
    <m/>
    <x v="0"/>
    <x v="4"/>
    <x v="1397"/>
    <x v="3"/>
    <x v="0"/>
    <x v="1"/>
    <x v="571"/>
    <x v="5845"/>
  </r>
  <r>
    <x v="2"/>
    <n v="892"/>
    <x v="1387"/>
    <x v="2"/>
    <s v="CM"/>
    <s v="S"/>
    <x v="481"/>
    <x v="41"/>
    <x v="1005"/>
    <m/>
    <x v="449"/>
    <m/>
    <x v="63"/>
    <x v="0"/>
    <x v="690"/>
    <d v="2013-03-16T00:00:00"/>
    <x v="2"/>
    <x v="0"/>
    <m/>
    <s v="Short Films: Panorama"/>
    <x v="0"/>
    <x v="0"/>
    <m/>
    <x v="0"/>
    <x v="4"/>
    <x v="1397"/>
    <x v="63"/>
    <x v="0"/>
    <x v="0"/>
    <x v="690"/>
    <x v="5846"/>
  </r>
  <r>
    <x v="2"/>
    <n v="892"/>
    <x v="1387"/>
    <x v="2"/>
    <s v="CM"/>
    <s v="S"/>
    <x v="481"/>
    <x v="41"/>
    <x v="854"/>
    <m/>
    <x v="24"/>
    <m/>
    <x v="3"/>
    <x v="0"/>
    <x v="550"/>
    <d v="2013-03-27T00:00:00"/>
    <x v="2"/>
    <x v="0"/>
    <m/>
    <m/>
    <x v="0"/>
    <x v="1"/>
    <m/>
    <x v="0"/>
    <x v="4"/>
    <x v="1397"/>
    <x v="3"/>
    <x v="0"/>
    <x v="1"/>
    <x v="550"/>
    <x v="5847"/>
  </r>
  <r>
    <x v="2"/>
    <n v="892"/>
    <x v="1387"/>
    <x v="2"/>
    <s v="CM"/>
    <s v="S"/>
    <x v="481"/>
    <x v="41"/>
    <x v="1046"/>
    <m/>
    <x v="460"/>
    <m/>
    <x v="2"/>
    <x v="0"/>
    <x v="670"/>
    <d v="2013-04-01T00:00:00"/>
    <x v="3"/>
    <x v="1"/>
    <m/>
    <m/>
    <x v="547"/>
    <x v="0"/>
    <m/>
    <x v="1"/>
    <x v="4"/>
    <x v="1397"/>
    <x v="2"/>
    <x v="670"/>
    <x v="0"/>
    <x v="670"/>
    <x v="5848"/>
  </r>
  <r>
    <x v="2"/>
    <n v="892"/>
    <x v="1387"/>
    <x v="2"/>
    <s v="CM"/>
    <s v="S"/>
    <x v="481"/>
    <x v="41"/>
    <x v="432"/>
    <m/>
    <x v="39"/>
    <m/>
    <x v="3"/>
    <x v="0"/>
    <x v="582"/>
    <d v="2013-04-20T00:00:00"/>
    <x v="5"/>
    <x v="1"/>
    <s v="Competição Nacional - Sessão 11"/>
    <m/>
    <x v="0"/>
    <x v="0"/>
    <m/>
    <x v="0"/>
    <x v="4"/>
    <x v="1397"/>
    <x v="3"/>
    <x v="0"/>
    <x v="1"/>
    <x v="582"/>
    <x v="5849"/>
  </r>
  <r>
    <x v="2"/>
    <n v="892"/>
    <x v="1387"/>
    <x v="2"/>
    <s v="CM"/>
    <s v="S"/>
    <x v="481"/>
    <x v="41"/>
    <x v="624"/>
    <m/>
    <x v="337"/>
    <m/>
    <x v="5"/>
    <x v="0"/>
    <x v="524"/>
    <d v="2013-04-28T00:00:00"/>
    <x v="5"/>
    <x v="0"/>
    <m/>
    <s v="Panorama 2"/>
    <x v="0"/>
    <x v="0"/>
    <m/>
    <x v="0"/>
    <x v="4"/>
    <x v="1397"/>
    <x v="5"/>
    <x v="0"/>
    <x v="0"/>
    <x v="524"/>
    <x v="5850"/>
  </r>
  <r>
    <x v="2"/>
    <n v="892"/>
    <x v="1387"/>
    <x v="2"/>
    <s v="CM"/>
    <s v="S"/>
    <x v="481"/>
    <x v="41"/>
    <x v="34"/>
    <m/>
    <x v="32"/>
    <m/>
    <x v="3"/>
    <x v="0"/>
    <x v="525"/>
    <d v="2013-05-12T00:00:00"/>
    <x v="6"/>
    <x v="1"/>
    <s v="Animação"/>
    <m/>
    <x v="0"/>
    <x v="0"/>
    <m/>
    <x v="0"/>
    <x v="4"/>
    <x v="1397"/>
    <x v="3"/>
    <x v="0"/>
    <x v="1"/>
    <x v="525"/>
    <x v="5851"/>
  </r>
  <r>
    <x v="2"/>
    <n v="892"/>
    <x v="1387"/>
    <x v="2"/>
    <s v="CM"/>
    <s v="S"/>
    <x v="481"/>
    <x v="41"/>
    <x v="864"/>
    <m/>
    <x v="32"/>
    <m/>
    <x v="3"/>
    <x v="0"/>
    <x v="562"/>
    <d v="2013-06-16T00:00:00"/>
    <x v="7"/>
    <x v="0"/>
    <m/>
    <s v="Mostra do Cinema Português"/>
    <x v="0"/>
    <x v="0"/>
    <m/>
    <x v="0"/>
    <x v="4"/>
    <x v="1397"/>
    <x v="3"/>
    <x v="0"/>
    <x v="1"/>
    <x v="562"/>
    <x v="5852"/>
  </r>
  <r>
    <x v="2"/>
    <n v="892"/>
    <x v="1387"/>
    <x v="2"/>
    <s v="CM"/>
    <s v="S"/>
    <x v="481"/>
    <x v="41"/>
    <x v="882"/>
    <m/>
    <x v="14"/>
    <m/>
    <x v="3"/>
    <x v="0"/>
    <x v="544"/>
    <d v="2013-11-03T00:00:00"/>
    <x v="13"/>
    <x v="0"/>
    <m/>
    <m/>
    <x v="0"/>
    <x v="3"/>
    <m/>
    <x v="0"/>
    <x v="4"/>
    <x v="1397"/>
    <x v="3"/>
    <x v="0"/>
    <x v="1"/>
    <x v="544"/>
    <x v="5853"/>
  </r>
  <r>
    <x v="2"/>
    <n v="1405"/>
    <x v="1388"/>
    <x v="1"/>
    <s v="LM"/>
    <s v=""/>
    <x v="11"/>
    <x v="41"/>
    <x v="953"/>
    <m/>
    <x v="436"/>
    <m/>
    <x v="60"/>
    <x v="0"/>
    <x v="650"/>
    <d v="2013-03-09T00:00:00"/>
    <x v="2"/>
    <x v="1"/>
    <s v="Documental Iberoamericano"/>
    <m/>
    <x v="0"/>
    <x v="0"/>
    <m/>
    <x v="0"/>
    <x v="1"/>
    <x v="1398"/>
    <x v="60"/>
    <x v="0"/>
    <x v="0"/>
    <x v="650"/>
    <x v="5854"/>
  </r>
  <r>
    <x v="2"/>
    <n v="894"/>
    <x v="614"/>
    <x v="1"/>
    <s v="LM"/>
    <s v="N"/>
    <x v="453"/>
    <x v="3"/>
    <x v="1047"/>
    <m/>
    <x v="24"/>
    <m/>
    <x v="3"/>
    <x v="0"/>
    <x v="539"/>
    <d v="2013-07-04T00:00:00"/>
    <x v="8"/>
    <x v="0"/>
    <m/>
    <s v="Mi Casa Es Tu Casa"/>
    <x v="0"/>
    <x v="1"/>
    <m/>
    <x v="0"/>
    <x v="1"/>
    <x v="616"/>
    <x v="3"/>
    <x v="0"/>
    <x v="1"/>
    <x v="539"/>
    <x v="5855"/>
  </r>
  <r>
    <x v="2"/>
    <n v="1314"/>
    <x v="1389"/>
    <x v="0"/>
    <s v="CM"/>
    <s v="N"/>
    <x v="921"/>
    <x v="41"/>
    <x v="1027"/>
    <m/>
    <x v="23"/>
    <m/>
    <x v="3"/>
    <x v="0"/>
    <x v="702"/>
    <m/>
    <x v="15"/>
    <x v="1"/>
    <m/>
    <m/>
    <x v="0"/>
    <x v="1"/>
    <m/>
    <x v="0"/>
    <x v="0"/>
    <x v="1399"/>
    <x v="3"/>
    <x v="0"/>
    <x v="1"/>
    <x v="702"/>
    <x v="5856"/>
  </r>
  <r>
    <x v="2"/>
    <n v="1314"/>
    <x v="1389"/>
    <x v="0"/>
    <s v="CM"/>
    <s v="N"/>
    <x v="921"/>
    <x v="41"/>
    <x v="874"/>
    <m/>
    <x v="24"/>
    <m/>
    <x v="3"/>
    <x v="0"/>
    <x v="572"/>
    <m/>
    <x v="15"/>
    <x v="1"/>
    <m/>
    <m/>
    <x v="493"/>
    <x v="1"/>
    <m/>
    <x v="1"/>
    <x v="0"/>
    <x v="1399"/>
    <x v="3"/>
    <x v="602"/>
    <x v="1"/>
    <x v="572"/>
    <x v="5857"/>
  </r>
  <r>
    <x v="2"/>
    <n v="1314"/>
    <x v="1389"/>
    <x v="0"/>
    <s v="CM"/>
    <s v="N"/>
    <x v="921"/>
    <x v="41"/>
    <x v="831"/>
    <m/>
    <x v="348"/>
    <m/>
    <x v="3"/>
    <x v="0"/>
    <x v="511"/>
    <m/>
    <x v="2"/>
    <x v="1"/>
    <s v="Curta-metragem de ficção"/>
    <m/>
    <x v="548"/>
    <x v="0"/>
    <m/>
    <x v="1"/>
    <x v="0"/>
    <x v="1399"/>
    <x v="3"/>
    <x v="671"/>
    <x v="1"/>
    <x v="511"/>
    <x v="5858"/>
  </r>
  <r>
    <x v="2"/>
    <n v="1314"/>
    <x v="1389"/>
    <x v="0"/>
    <s v="CM"/>
    <s v="N"/>
    <x v="921"/>
    <x v="41"/>
    <x v="34"/>
    <m/>
    <x v="32"/>
    <m/>
    <x v="3"/>
    <x v="0"/>
    <x v="525"/>
    <d v="2013-05-12T00:00:00"/>
    <x v="6"/>
    <x v="1"/>
    <s v="Ficção"/>
    <m/>
    <x v="0"/>
    <x v="0"/>
    <m/>
    <x v="0"/>
    <x v="0"/>
    <x v="1399"/>
    <x v="3"/>
    <x v="0"/>
    <x v="1"/>
    <x v="525"/>
    <x v="5859"/>
  </r>
  <r>
    <x v="2"/>
    <n v="1314"/>
    <x v="1389"/>
    <x v="0"/>
    <s v="CM"/>
    <s v="N"/>
    <x v="921"/>
    <x v="41"/>
    <x v="178"/>
    <m/>
    <x v="25"/>
    <m/>
    <x v="3"/>
    <x v="0"/>
    <x v="635"/>
    <d v="2013-07-01T00:00:00"/>
    <x v="17"/>
    <x v="1"/>
    <s v="Ficção/Animação8"/>
    <m/>
    <x v="549"/>
    <x v="0"/>
    <m/>
    <x v="1"/>
    <x v="0"/>
    <x v="1399"/>
    <x v="3"/>
    <x v="672"/>
    <x v="1"/>
    <x v="635"/>
    <x v="5860"/>
  </r>
  <r>
    <x v="2"/>
    <n v="1314"/>
    <x v="1389"/>
    <x v="0"/>
    <s v="CM"/>
    <s v="N"/>
    <x v="921"/>
    <x v="41"/>
    <x v="39"/>
    <m/>
    <x v="23"/>
    <m/>
    <x v="3"/>
    <x v="0"/>
    <x v="657"/>
    <m/>
    <x v="8"/>
    <x v="0"/>
    <m/>
    <m/>
    <x v="0"/>
    <x v="1"/>
    <s v="Cineclube do Porto"/>
    <x v="0"/>
    <x v="0"/>
    <x v="1399"/>
    <x v="3"/>
    <x v="0"/>
    <x v="1"/>
    <x v="657"/>
    <x v="5861"/>
  </r>
  <r>
    <x v="2"/>
    <n v="1722"/>
    <x v="1956"/>
    <x v="2"/>
    <s v="CM"/>
    <s v="N"/>
    <x v="1257"/>
    <x v="5"/>
    <x v="62"/>
    <m/>
    <x v="23"/>
    <m/>
    <x v="3"/>
    <x v="0"/>
    <x v="503"/>
    <d v="2013-03-10T00:00:00"/>
    <x v="19"/>
    <x v="0"/>
    <m/>
    <s v="FANTAS em curtas: Cineclube de Avanca"/>
    <x v="0"/>
    <x v="0"/>
    <m/>
    <x v="0"/>
    <x v="4"/>
    <x v="1978"/>
    <x v="3"/>
    <x v="0"/>
    <x v="1"/>
    <x v="503"/>
    <x v="5862"/>
  </r>
  <r>
    <x v="2"/>
    <n v="895"/>
    <x v="615"/>
    <x v="2"/>
    <s v="CM"/>
    <s v="N"/>
    <x v="92"/>
    <x v="2"/>
    <x v="825"/>
    <m/>
    <x v="409"/>
    <m/>
    <x v="3"/>
    <x v="0"/>
    <x v="499"/>
    <m/>
    <x v="7"/>
    <x v="1"/>
    <m/>
    <m/>
    <x v="0"/>
    <x v="0"/>
    <m/>
    <x v="0"/>
    <x v="4"/>
    <x v="617"/>
    <x v="3"/>
    <x v="0"/>
    <x v="1"/>
    <x v="499"/>
    <x v="5863"/>
  </r>
  <r>
    <x v="2"/>
    <n v="895"/>
    <x v="615"/>
    <x v="2"/>
    <s v="CM"/>
    <s v="N"/>
    <x v="92"/>
    <x v="2"/>
    <x v="825"/>
    <m/>
    <x v="409"/>
    <m/>
    <x v="3"/>
    <x v="0"/>
    <x v="499"/>
    <m/>
    <x v="7"/>
    <x v="1"/>
    <m/>
    <m/>
    <x v="550"/>
    <x v="0"/>
    <m/>
    <x v="1"/>
    <x v="4"/>
    <x v="617"/>
    <x v="3"/>
    <x v="673"/>
    <x v="1"/>
    <x v="499"/>
    <x v="5864"/>
  </r>
  <r>
    <x v="2"/>
    <n v="897"/>
    <x v="617"/>
    <x v="0"/>
    <s v="CM"/>
    <s v="N"/>
    <x v="454"/>
    <x v="2"/>
    <x v="915"/>
    <m/>
    <x v="15"/>
    <m/>
    <x v="3"/>
    <x v="0"/>
    <x v="604"/>
    <m/>
    <x v="9"/>
    <x v="0"/>
    <m/>
    <s v="Curta Convidada"/>
    <x v="0"/>
    <x v="1"/>
    <m/>
    <x v="0"/>
    <x v="0"/>
    <x v="619"/>
    <x v="3"/>
    <x v="0"/>
    <x v="1"/>
    <x v="604"/>
    <x v="5865"/>
  </r>
  <r>
    <x v="2"/>
    <n v="2098"/>
    <x v="1957"/>
    <x v="1"/>
    <s v="CM"/>
    <s v="N"/>
    <x v="1258"/>
    <x v="5"/>
    <x v="873"/>
    <m/>
    <x v="297"/>
    <m/>
    <x v="3"/>
    <x v="0"/>
    <x v="509"/>
    <d v="2013-11-27T00:00:00"/>
    <x v="13"/>
    <x v="1"/>
    <s v="Olhares e Enquadramentos"/>
    <m/>
    <x v="0"/>
    <x v="0"/>
    <m/>
    <x v="0"/>
    <x v="2"/>
    <x v="1979"/>
    <x v="3"/>
    <x v="0"/>
    <x v="1"/>
    <x v="509"/>
    <x v="5866"/>
  </r>
  <r>
    <x v="2"/>
    <n v="1399"/>
    <x v="1390"/>
    <x v="1"/>
    <s v="LM"/>
    <s v="N"/>
    <x v="922"/>
    <x v="41"/>
    <x v="519"/>
    <m/>
    <x v="24"/>
    <m/>
    <x v="3"/>
    <x v="0"/>
    <x v="504"/>
    <d v="2013-05-11T00:00:00"/>
    <x v="6"/>
    <x v="0"/>
    <m/>
    <s v="Sessão Panorama DOCLISBOA"/>
    <x v="0"/>
    <x v="1"/>
    <m/>
    <x v="0"/>
    <x v="1"/>
    <x v="1400"/>
    <x v="3"/>
    <x v="0"/>
    <x v="1"/>
    <x v="504"/>
    <x v="5867"/>
  </r>
  <r>
    <x v="2"/>
    <n v="1399"/>
    <x v="1390"/>
    <x v="1"/>
    <s v="LM"/>
    <s v="N"/>
    <x v="922"/>
    <x v="41"/>
    <x v="371"/>
    <m/>
    <x v="0"/>
    <m/>
    <x v="0"/>
    <x v="0"/>
    <x v="575"/>
    <d v="2013-07-28T00:00:00"/>
    <x v="8"/>
    <x v="0"/>
    <m/>
    <s v="Foco Portugal"/>
    <x v="0"/>
    <x v="0"/>
    <m/>
    <x v="0"/>
    <x v="1"/>
    <x v="1400"/>
    <x v="0"/>
    <x v="0"/>
    <x v="0"/>
    <x v="575"/>
    <x v="5868"/>
  </r>
  <r>
    <x v="2"/>
    <n v="898"/>
    <x v="1391"/>
    <x v="0"/>
    <s v="LM"/>
    <s v="S"/>
    <x v="348"/>
    <x v="38"/>
    <x v="846"/>
    <m/>
    <x v="417"/>
    <m/>
    <x v="11"/>
    <x v="0"/>
    <x v="535"/>
    <d v="2013-08-03T00:00:00"/>
    <x v="25"/>
    <x v="0"/>
    <m/>
    <s v="Focus Portugal: Pedro Costa"/>
    <x v="0"/>
    <x v="0"/>
    <m/>
    <x v="0"/>
    <x v="5"/>
    <x v="1401"/>
    <x v="11"/>
    <x v="0"/>
    <x v="0"/>
    <x v="535"/>
    <x v="5869"/>
  </r>
  <r>
    <x v="2"/>
    <n v="899"/>
    <x v="618"/>
    <x v="2"/>
    <s v="CM"/>
    <s v="S"/>
    <x v="455"/>
    <x v="5"/>
    <x v="854"/>
    <m/>
    <x v="24"/>
    <m/>
    <x v="3"/>
    <x v="0"/>
    <x v="550"/>
    <d v="2013-03-27T00:00:00"/>
    <x v="2"/>
    <x v="0"/>
    <m/>
    <m/>
    <x v="0"/>
    <x v="1"/>
    <m/>
    <x v="0"/>
    <x v="4"/>
    <x v="620"/>
    <x v="3"/>
    <x v="0"/>
    <x v="1"/>
    <x v="550"/>
    <x v="5870"/>
  </r>
  <r>
    <x v="2"/>
    <n v="899"/>
    <x v="618"/>
    <x v="2"/>
    <s v="CM"/>
    <s v="S"/>
    <x v="455"/>
    <x v="5"/>
    <x v="34"/>
    <m/>
    <x v="32"/>
    <m/>
    <x v="3"/>
    <x v="0"/>
    <x v="525"/>
    <d v="2013-05-12T00:00:00"/>
    <x v="6"/>
    <x v="1"/>
    <s v="Animação"/>
    <m/>
    <x v="0"/>
    <x v="0"/>
    <m/>
    <x v="0"/>
    <x v="4"/>
    <x v="620"/>
    <x v="3"/>
    <x v="0"/>
    <x v="1"/>
    <x v="525"/>
    <x v="5871"/>
  </r>
  <r>
    <x v="2"/>
    <n v="1638"/>
    <x v="1958"/>
    <x v="0"/>
    <s v="CM"/>
    <s v="N"/>
    <x v="1259"/>
    <x v="41"/>
    <x v="840"/>
    <m/>
    <x v="24"/>
    <m/>
    <x v="3"/>
    <x v="0"/>
    <x v="522"/>
    <d v="2013-01-27T00:00:00"/>
    <x v="15"/>
    <x v="1"/>
    <s v="Competição Geral"/>
    <m/>
    <x v="0"/>
    <x v="0"/>
    <m/>
    <x v="0"/>
    <x v="0"/>
    <x v="1980"/>
    <x v="3"/>
    <x v="0"/>
    <x v="1"/>
    <x v="522"/>
    <x v="5872"/>
  </r>
  <r>
    <x v="2"/>
    <n v="1638"/>
    <x v="1958"/>
    <x v="0"/>
    <s v="CM"/>
    <s v="N"/>
    <x v="1259"/>
    <x v="41"/>
    <x v="62"/>
    <m/>
    <x v="23"/>
    <m/>
    <x v="3"/>
    <x v="0"/>
    <x v="503"/>
    <d v="2013-03-10T00:00:00"/>
    <x v="19"/>
    <x v="1"/>
    <s v="Prémio de Cinema Português - Escolas de Cinema"/>
    <m/>
    <x v="0"/>
    <x v="0"/>
    <s v="Universidade Lusófona - Lisboa"/>
    <x v="0"/>
    <x v="0"/>
    <x v="1980"/>
    <x v="3"/>
    <x v="0"/>
    <x v="1"/>
    <x v="503"/>
    <x v="5873"/>
  </r>
  <r>
    <x v="2"/>
    <n v="1638"/>
    <x v="1958"/>
    <x v="0"/>
    <s v="CM"/>
    <s v="N"/>
    <x v="1259"/>
    <x v="41"/>
    <x v="831"/>
    <m/>
    <x v="348"/>
    <m/>
    <x v="3"/>
    <x v="0"/>
    <x v="511"/>
    <m/>
    <x v="2"/>
    <x v="1"/>
    <s v="Curta-metragem de ficção"/>
    <m/>
    <x v="0"/>
    <x v="0"/>
    <m/>
    <x v="0"/>
    <x v="0"/>
    <x v="1980"/>
    <x v="3"/>
    <x v="0"/>
    <x v="1"/>
    <x v="511"/>
    <x v="5874"/>
  </r>
  <r>
    <x v="2"/>
    <n v="1638"/>
    <x v="1958"/>
    <x v="0"/>
    <s v="CM"/>
    <s v="N"/>
    <x v="1259"/>
    <x v="41"/>
    <x v="34"/>
    <m/>
    <x v="32"/>
    <m/>
    <x v="3"/>
    <x v="0"/>
    <x v="525"/>
    <d v="2013-05-12T00:00:00"/>
    <x v="6"/>
    <x v="1"/>
    <s v="Ficção"/>
    <m/>
    <x v="0"/>
    <x v="0"/>
    <m/>
    <x v="0"/>
    <x v="0"/>
    <x v="1980"/>
    <x v="3"/>
    <x v="0"/>
    <x v="1"/>
    <x v="525"/>
    <x v="5875"/>
  </r>
  <r>
    <x v="2"/>
    <n v="1638"/>
    <x v="1958"/>
    <x v="0"/>
    <s v="CM"/>
    <s v="N"/>
    <x v="1259"/>
    <x v="41"/>
    <x v="222"/>
    <m/>
    <x v="24"/>
    <m/>
    <x v="3"/>
    <x v="0"/>
    <x v="539"/>
    <m/>
    <x v="8"/>
    <x v="1"/>
    <s v="Categoria Arte e Cultura"/>
    <m/>
    <x v="7"/>
    <x v="2"/>
    <m/>
    <x v="1"/>
    <x v="0"/>
    <x v="1980"/>
    <x v="3"/>
    <x v="674"/>
    <x v="1"/>
    <x v="539"/>
    <x v="5876"/>
  </r>
  <r>
    <x v="2"/>
    <n v="1638"/>
    <x v="1958"/>
    <x v="0"/>
    <s v="CM"/>
    <s v="N"/>
    <x v="1259"/>
    <x v="41"/>
    <x v="68"/>
    <m/>
    <x v="53"/>
    <m/>
    <x v="3"/>
    <x v="0"/>
    <x v="573"/>
    <d v="2013-07-14T00:00:00"/>
    <x v="8"/>
    <x v="1"/>
    <s v="Competição Take One!"/>
    <m/>
    <x v="0"/>
    <x v="0"/>
    <m/>
    <x v="0"/>
    <x v="0"/>
    <x v="1980"/>
    <x v="3"/>
    <x v="0"/>
    <x v="1"/>
    <x v="573"/>
    <x v="5877"/>
  </r>
  <r>
    <x v="2"/>
    <n v="1638"/>
    <x v="1958"/>
    <x v="0"/>
    <s v="CM"/>
    <s v="N"/>
    <x v="1259"/>
    <x v="41"/>
    <x v="316"/>
    <m/>
    <x v="11"/>
    <m/>
    <x v="3"/>
    <x v="0"/>
    <x v="500"/>
    <d v="2013-08-31T00:00:00"/>
    <x v="16"/>
    <x v="1"/>
    <s v="Ficção"/>
    <m/>
    <x v="0"/>
    <x v="0"/>
    <m/>
    <x v="0"/>
    <x v="0"/>
    <x v="1980"/>
    <x v="3"/>
    <x v="0"/>
    <x v="1"/>
    <x v="500"/>
    <x v="5878"/>
  </r>
  <r>
    <x v="2"/>
    <n v="900"/>
    <x v="619"/>
    <x v="0"/>
    <s v="CM"/>
    <s v="N"/>
    <x v="456"/>
    <x v="3"/>
    <x v="951"/>
    <m/>
    <x v="11"/>
    <m/>
    <x v="3"/>
    <x v="0"/>
    <x v="568"/>
    <d v="2013-10-12T00:00:00"/>
    <x v="14"/>
    <x v="1"/>
    <s v="Ficção"/>
    <m/>
    <x v="551"/>
    <x v="0"/>
    <m/>
    <x v="1"/>
    <x v="0"/>
    <x v="621"/>
    <x v="3"/>
    <x v="675"/>
    <x v="1"/>
    <x v="568"/>
    <x v="5879"/>
  </r>
  <r>
    <x v="2"/>
    <n v="1786"/>
    <x v="1959"/>
    <x v="0"/>
    <s v="CM"/>
    <s v="N"/>
    <x v="1260"/>
    <x v="41"/>
    <x v="34"/>
    <m/>
    <x v="32"/>
    <m/>
    <x v="3"/>
    <x v="0"/>
    <x v="525"/>
    <d v="2013-05-12T00:00:00"/>
    <x v="6"/>
    <x v="1"/>
    <s v="Curta-metragem Escolar"/>
    <m/>
    <x v="0"/>
    <x v="0"/>
    <m/>
    <x v="0"/>
    <x v="0"/>
    <x v="1981"/>
    <x v="3"/>
    <x v="0"/>
    <x v="1"/>
    <x v="525"/>
    <x v="5880"/>
  </r>
  <r>
    <x v="2"/>
    <n v="1786"/>
    <x v="1959"/>
    <x v="0"/>
    <s v="CM"/>
    <s v="N"/>
    <x v="1260"/>
    <x v="41"/>
    <x v="316"/>
    <m/>
    <x v="11"/>
    <m/>
    <x v="3"/>
    <x v="0"/>
    <x v="500"/>
    <d v="2013-08-31T00:00:00"/>
    <x v="16"/>
    <x v="1"/>
    <s v="Ficção"/>
    <m/>
    <x v="0"/>
    <x v="0"/>
    <m/>
    <x v="0"/>
    <x v="0"/>
    <x v="1981"/>
    <x v="3"/>
    <x v="0"/>
    <x v="1"/>
    <x v="500"/>
    <x v="5881"/>
  </r>
  <r>
    <x v="2"/>
    <n v="1798"/>
    <x v="1960"/>
    <x v="0"/>
    <s v="CM"/>
    <s v="N"/>
    <x v="365"/>
    <x v="41"/>
    <x v="975"/>
    <m/>
    <x v="441"/>
    <m/>
    <x v="75"/>
    <x v="0"/>
    <x v="666"/>
    <d v="2013-06-21T00:00:00"/>
    <x v="22"/>
    <x v="1"/>
    <m/>
    <m/>
    <x v="0"/>
    <x v="0"/>
    <m/>
    <x v="0"/>
    <x v="0"/>
    <x v="1982"/>
    <x v="75"/>
    <x v="0"/>
    <x v="0"/>
    <x v="666"/>
    <x v="5882"/>
  </r>
  <r>
    <x v="2"/>
    <n v="1798"/>
    <x v="1960"/>
    <x v="0"/>
    <s v="CM"/>
    <s v="N"/>
    <x v="365"/>
    <x v="41"/>
    <x v="68"/>
    <m/>
    <x v="53"/>
    <m/>
    <x v="3"/>
    <x v="0"/>
    <x v="573"/>
    <d v="2013-07-14T00:00:00"/>
    <x v="8"/>
    <x v="1"/>
    <s v="Competição Take One!"/>
    <m/>
    <x v="0"/>
    <x v="0"/>
    <m/>
    <x v="0"/>
    <x v="0"/>
    <x v="1982"/>
    <x v="3"/>
    <x v="0"/>
    <x v="1"/>
    <x v="573"/>
    <x v="5883"/>
  </r>
  <r>
    <x v="2"/>
    <n v="1798"/>
    <x v="1960"/>
    <x v="0"/>
    <s v="CM"/>
    <s v="N"/>
    <x v="365"/>
    <x v="41"/>
    <x v="192"/>
    <m/>
    <x v="140"/>
    <m/>
    <x v="3"/>
    <x v="0"/>
    <x v="334"/>
    <d v="2013-07-28T00:00:00"/>
    <x v="8"/>
    <x v="0"/>
    <m/>
    <s v="Panorama Cinema Português"/>
    <x v="0"/>
    <x v="0"/>
    <m/>
    <x v="0"/>
    <x v="0"/>
    <x v="1982"/>
    <x v="3"/>
    <x v="0"/>
    <x v="1"/>
    <x v="334"/>
    <x v="5884"/>
  </r>
  <r>
    <x v="2"/>
    <n v="1798"/>
    <x v="1960"/>
    <x v="0"/>
    <s v="CM"/>
    <s v="N"/>
    <x v="365"/>
    <x v="41"/>
    <x v="1021"/>
    <m/>
    <x v="15"/>
    <m/>
    <x v="3"/>
    <x v="0"/>
    <x v="542"/>
    <m/>
    <x v="9"/>
    <x v="1"/>
    <m/>
    <m/>
    <x v="552"/>
    <x v="1"/>
    <m/>
    <x v="1"/>
    <x v="0"/>
    <x v="1982"/>
    <x v="3"/>
    <x v="676"/>
    <x v="1"/>
    <x v="542"/>
    <x v="5885"/>
  </r>
  <r>
    <x v="2"/>
    <n v="1798"/>
    <x v="1960"/>
    <x v="0"/>
    <s v="CM"/>
    <s v="N"/>
    <x v="365"/>
    <x v="41"/>
    <x v="70"/>
    <m/>
    <x v="38"/>
    <m/>
    <x v="3"/>
    <x v="0"/>
    <x v="510"/>
    <d v="2013-09-15T00:00:00"/>
    <x v="9"/>
    <x v="1"/>
    <s v="Sessão Competitiva 2"/>
    <m/>
    <x v="0"/>
    <x v="0"/>
    <m/>
    <x v="0"/>
    <x v="0"/>
    <x v="1982"/>
    <x v="3"/>
    <x v="0"/>
    <x v="1"/>
    <x v="510"/>
    <x v="5886"/>
  </r>
  <r>
    <x v="2"/>
    <n v="1459"/>
    <x v="1392"/>
    <x v="0"/>
    <s v="LM"/>
    <s v=""/>
    <x v="79"/>
    <x v="11"/>
    <x v="993"/>
    <m/>
    <x v="340"/>
    <m/>
    <x v="3"/>
    <x v="0"/>
    <x v="639"/>
    <d v="2013-11-09T00:00:00"/>
    <x v="13"/>
    <x v="0"/>
    <m/>
    <m/>
    <x v="0"/>
    <x v="1"/>
    <m/>
    <x v="0"/>
    <x v="5"/>
    <x v="1402"/>
    <x v="3"/>
    <x v="0"/>
    <x v="1"/>
    <x v="639"/>
    <x v="5887"/>
  </r>
  <r>
    <x v="2"/>
    <n v="1677"/>
    <x v="1961"/>
    <x v="0"/>
    <s v="CM"/>
    <s v="N"/>
    <x v="1261"/>
    <x v="2"/>
    <x v="62"/>
    <m/>
    <x v="23"/>
    <m/>
    <x v="3"/>
    <x v="0"/>
    <x v="503"/>
    <d v="2013-03-10T00:00:00"/>
    <x v="19"/>
    <x v="1"/>
    <s v="Prémio de Cinema Português - Melhor Filme"/>
    <m/>
    <x v="0"/>
    <x v="0"/>
    <m/>
    <x v="0"/>
    <x v="0"/>
    <x v="1983"/>
    <x v="3"/>
    <x v="0"/>
    <x v="1"/>
    <x v="503"/>
    <x v="5888"/>
  </r>
  <r>
    <x v="2"/>
    <n v="1677"/>
    <x v="1961"/>
    <x v="0"/>
    <s v="CM"/>
    <s v="N"/>
    <x v="1261"/>
    <x v="2"/>
    <x v="62"/>
    <m/>
    <x v="23"/>
    <m/>
    <x v="3"/>
    <x v="0"/>
    <x v="503"/>
    <d v="2013-03-10T00:00:00"/>
    <x v="19"/>
    <x v="1"/>
    <s v="Prémio de Cinema Português - Escolas de Cinema"/>
    <m/>
    <x v="0"/>
    <x v="0"/>
    <s v="Universidade Lusófona - Lisboa"/>
    <x v="0"/>
    <x v="0"/>
    <x v="1983"/>
    <x v="3"/>
    <x v="0"/>
    <x v="1"/>
    <x v="503"/>
    <x v="5889"/>
  </r>
  <r>
    <x v="2"/>
    <n v="1677"/>
    <x v="1961"/>
    <x v="0"/>
    <s v="CM"/>
    <s v="N"/>
    <x v="1261"/>
    <x v="2"/>
    <x v="831"/>
    <m/>
    <x v="348"/>
    <m/>
    <x v="3"/>
    <x v="0"/>
    <x v="511"/>
    <m/>
    <x v="2"/>
    <x v="1"/>
    <s v="Curta-metragem de ficção"/>
    <m/>
    <x v="0"/>
    <x v="0"/>
    <m/>
    <x v="0"/>
    <x v="0"/>
    <x v="1983"/>
    <x v="3"/>
    <x v="0"/>
    <x v="1"/>
    <x v="511"/>
    <x v="5890"/>
  </r>
  <r>
    <x v="2"/>
    <n v="1677"/>
    <x v="1961"/>
    <x v="0"/>
    <s v="CM"/>
    <s v="N"/>
    <x v="1261"/>
    <x v="2"/>
    <x v="316"/>
    <m/>
    <x v="11"/>
    <m/>
    <x v="3"/>
    <x v="0"/>
    <x v="500"/>
    <d v="2013-08-31T00:00:00"/>
    <x v="16"/>
    <x v="1"/>
    <s v="Ficção"/>
    <m/>
    <x v="0"/>
    <x v="0"/>
    <m/>
    <x v="0"/>
    <x v="0"/>
    <x v="1983"/>
    <x v="3"/>
    <x v="0"/>
    <x v="1"/>
    <x v="500"/>
    <x v="5891"/>
  </r>
  <r>
    <x v="2"/>
    <n v="2003"/>
    <x v="1962"/>
    <x v="0"/>
    <s v="CM"/>
    <s v="N"/>
    <x v="1262"/>
    <x v="52"/>
    <x v="976"/>
    <m/>
    <x v="442"/>
    <m/>
    <x v="3"/>
    <x v="0"/>
    <x v="667"/>
    <d v="2013-09-21T00:00:00"/>
    <x v="9"/>
    <x v="1"/>
    <s v="Wine Films"/>
    <m/>
    <x v="0"/>
    <x v="0"/>
    <m/>
    <x v="0"/>
    <x v="0"/>
    <x v="1984"/>
    <x v="3"/>
    <x v="0"/>
    <x v="1"/>
    <x v="667"/>
    <x v="5892"/>
  </r>
  <r>
    <x v="2"/>
    <n v="2051"/>
    <x v="1962"/>
    <x v="1"/>
    <s v="CM"/>
    <s v="S"/>
    <x v="198"/>
    <x v="52"/>
    <x v="158"/>
    <m/>
    <x v="121"/>
    <m/>
    <x v="3"/>
    <x v="0"/>
    <x v="568"/>
    <d v="2013-10-13T00:00:00"/>
    <x v="14"/>
    <x v="0"/>
    <m/>
    <s v="Sessão Especial"/>
    <x v="0"/>
    <x v="0"/>
    <m/>
    <x v="0"/>
    <x v="2"/>
    <x v="1985"/>
    <x v="3"/>
    <x v="0"/>
    <x v="1"/>
    <x v="568"/>
    <x v="5893"/>
  </r>
  <r>
    <x v="2"/>
    <n v="1980"/>
    <x v="1963"/>
    <x v="0"/>
    <s v="CM"/>
    <s v="N"/>
    <x v="1263"/>
    <x v="2"/>
    <x v="316"/>
    <m/>
    <x v="11"/>
    <m/>
    <x v="3"/>
    <x v="0"/>
    <x v="500"/>
    <d v="2013-08-31T00:00:00"/>
    <x v="16"/>
    <x v="1"/>
    <s v="Ficção"/>
    <m/>
    <x v="0"/>
    <x v="0"/>
    <m/>
    <x v="0"/>
    <x v="0"/>
    <x v="1986"/>
    <x v="3"/>
    <x v="0"/>
    <x v="1"/>
    <x v="500"/>
    <x v="5894"/>
  </r>
  <r>
    <x v="2"/>
    <n v="1962"/>
    <x v="1964"/>
    <x v="0"/>
    <s v="CM"/>
    <s v="N"/>
    <x v="1264"/>
    <x v="41"/>
    <x v="316"/>
    <m/>
    <x v="11"/>
    <m/>
    <x v="3"/>
    <x v="0"/>
    <x v="500"/>
    <d v="2013-08-31T00:00:00"/>
    <x v="16"/>
    <x v="1"/>
    <s v="Ficção"/>
    <m/>
    <x v="0"/>
    <x v="0"/>
    <m/>
    <x v="0"/>
    <x v="0"/>
    <x v="1987"/>
    <x v="3"/>
    <x v="0"/>
    <x v="1"/>
    <x v="500"/>
    <x v="5895"/>
  </r>
  <r>
    <x v="2"/>
    <n v="908"/>
    <x v="625"/>
    <x v="0"/>
    <s v="LM"/>
    <s v=""/>
    <x v="461"/>
    <x v="36"/>
    <x v="856"/>
    <m/>
    <x v="23"/>
    <m/>
    <x v="3"/>
    <x v="0"/>
    <x v="552"/>
    <d v="2013-03-06T00:00:00"/>
    <x v="19"/>
    <x v="0"/>
    <m/>
    <m/>
    <x v="0"/>
    <x v="1"/>
    <s v="Universidade Lusófona do Porto"/>
    <x v="0"/>
    <x v="5"/>
    <x v="627"/>
    <x v="3"/>
    <x v="0"/>
    <x v="1"/>
    <x v="552"/>
    <x v="5896"/>
  </r>
  <r>
    <x v="2"/>
    <n v="2168"/>
    <x v="1965"/>
    <x v="0"/>
    <s v="CM"/>
    <s v="N"/>
    <x v="1265"/>
    <x v="52"/>
    <x v="70"/>
    <m/>
    <x v="38"/>
    <m/>
    <x v="3"/>
    <x v="0"/>
    <x v="510"/>
    <d v="2013-09-15T00:00:00"/>
    <x v="9"/>
    <x v="1"/>
    <s v="Sessão Competitiva 2"/>
    <m/>
    <x v="0"/>
    <x v="0"/>
    <m/>
    <x v="0"/>
    <x v="0"/>
    <x v="1988"/>
    <x v="3"/>
    <x v="0"/>
    <x v="1"/>
    <x v="510"/>
    <x v="5897"/>
  </r>
  <r>
    <x v="2"/>
    <n v="2053"/>
    <x v="1966"/>
    <x v="0"/>
    <s v="CM"/>
    <s v="N"/>
    <x v="838"/>
    <x v="52"/>
    <x v="858"/>
    <m/>
    <x v="23"/>
    <m/>
    <x v="3"/>
    <x v="0"/>
    <x v="501"/>
    <d v="2013-10-19T00:00:00"/>
    <x v="14"/>
    <x v="1"/>
    <m/>
    <m/>
    <x v="0"/>
    <x v="0"/>
    <m/>
    <x v="0"/>
    <x v="0"/>
    <x v="1989"/>
    <x v="3"/>
    <x v="0"/>
    <x v="1"/>
    <x v="501"/>
    <x v="5898"/>
  </r>
  <r>
    <x v="2"/>
    <n v="913"/>
    <x v="629"/>
    <x v="0"/>
    <s v="CM"/>
    <s v="S"/>
    <x v="319"/>
    <x v="2"/>
    <x v="964"/>
    <m/>
    <x v="23"/>
    <m/>
    <x v="3"/>
    <x v="0"/>
    <x v="603"/>
    <d v="2013-04-25T00:00:00"/>
    <x v="5"/>
    <x v="0"/>
    <m/>
    <m/>
    <x v="0"/>
    <x v="1"/>
    <m/>
    <x v="0"/>
    <x v="0"/>
    <x v="631"/>
    <x v="3"/>
    <x v="0"/>
    <x v="1"/>
    <x v="603"/>
    <x v="5899"/>
  </r>
  <r>
    <x v="2"/>
    <n v="1909"/>
    <x v="1967"/>
    <x v="2"/>
    <s v="CM"/>
    <s v="N"/>
    <x v="1266"/>
    <x v="41"/>
    <x v="68"/>
    <m/>
    <x v="53"/>
    <m/>
    <x v="3"/>
    <x v="0"/>
    <x v="573"/>
    <d v="2013-07-14T00:00:00"/>
    <x v="8"/>
    <x v="1"/>
    <s v="Competição Take One!"/>
    <m/>
    <x v="0"/>
    <x v="0"/>
    <m/>
    <x v="0"/>
    <x v="4"/>
    <x v="1990"/>
    <x v="3"/>
    <x v="0"/>
    <x v="1"/>
    <x v="573"/>
    <x v="5900"/>
  </r>
  <r>
    <x v="2"/>
    <n v="2008"/>
    <x v="1968"/>
    <x v="0"/>
    <s v="CM"/>
    <s v="N"/>
    <x v="1117"/>
    <x v="2"/>
    <x v="842"/>
    <m/>
    <x v="279"/>
    <m/>
    <x v="3"/>
    <x v="0"/>
    <x v="527"/>
    <d v="2013-09-29T00:00:00"/>
    <x v="9"/>
    <x v="1"/>
    <s v="2ª Manga - Certame Regional"/>
    <m/>
    <x v="0"/>
    <x v="0"/>
    <m/>
    <x v="0"/>
    <x v="0"/>
    <x v="1991"/>
    <x v="3"/>
    <x v="0"/>
    <x v="1"/>
    <x v="527"/>
    <x v="5901"/>
  </r>
  <r>
    <x v="2"/>
    <n v="2148"/>
    <x v="1969"/>
    <x v="2"/>
    <s v="CM"/>
    <s v="N"/>
    <x v="324"/>
    <x v="0"/>
    <x v="220"/>
    <m/>
    <x v="154"/>
    <m/>
    <x v="0"/>
    <x v="0"/>
    <x v="566"/>
    <d v="2013-08-18T00:00:00"/>
    <x v="16"/>
    <x v="0"/>
    <m/>
    <s v="Papo Animado"/>
    <x v="0"/>
    <x v="0"/>
    <m/>
    <x v="0"/>
    <x v="4"/>
    <x v="1992"/>
    <x v="0"/>
    <x v="0"/>
    <x v="0"/>
    <x v="566"/>
    <x v="5902"/>
  </r>
  <r>
    <x v="2"/>
    <n v="2148"/>
    <x v="1969"/>
    <x v="2"/>
    <s v="CM"/>
    <s v="N"/>
    <x v="324"/>
    <x v="0"/>
    <x v="880"/>
    <m/>
    <x v="298"/>
    <m/>
    <x v="15"/>
    <x v="0"/>
    <x v="553"/>
    <d v="2013-10-30T00:00:00"/>
    <x v="14"/>
    <x v="0"/>
    <m/>
    <s v="Regina Pessoa e Abi Feijó: la regina dell'animazione e il suo maestro - Su comissone"/>
    <x v="0"/>
    <x v="0"/>
    <m/>
    <x v="0"/>
    <x v="4"/>
    <x v="1992"/>
    <x v="15"/>
    <x v="0"/>
    <x v="0"/>
    <x v="553"/>
    <x v="5903"/>
  </r>
  <r>
    <x v="2"/>
    <n v="1998"/>
    <x v="1970"/>
    <x v="1"/>
    <s v="LM"/>
    <s v="N"/>
    <x v="1267"/>
    <x v="52"/>
    <x v="241"/>
    <m/>
    <x v="58"/>
    <m/>
    <x v="17"/>
    <x v="0"/>
    <x v="615"/>
    <d v="2013-10-20T00:00:00"/>
    <x v="14"/>
    <x v="0"/>
    <m/>
    <s v="Sonic"/>
    <x v="0"/>
    <x v="0"/>
    <m/>
    <x v="0"/>
    <x v="1"/>
    <x v="1993"/>
    <x v="17"/>
    <x v="0"/>
    <x v="0"/>
    <x v="615"/>
    <x v="5904"/>
  </r>
  <r>
    <x v="2"/>
    <n v="1998"/>
    <x v="1970"/>
    <x v="1"/>
    <s v="LM"/>
    <s v="N"/>
    <x v="1267"/>
    <x v="52"/>
    <x v="150"/>
    <m/>
    <x v="115"/>
    <m/>
    <x v="36"/>
    <x v="0"/>
    <x v="574"/>
    <d v="2013-11-17T00:00:00"/>
    <x v="13"/>
    <x v="0"/>
    <m/>
    <s v="Sound &amp; Vision"/>
    <x v="0"/>
    <x v="0"/>
    <m/>
    <x v="0"/>
    <x v="1"/>
    <x v="1993"/>
    <x v="36"/>
    <x v="0"/>
    <x v="0"/>
    <x v="574"/>
    <x v="5905"/>
  </r>
  <r>
    <x v="2"/>
    <n v="1424"/>
    <x v="1398"/>
    <x v="1"/>
    <s v="CM"/>
    <s v="N"/>
    <x v="791"/>
    <x v="41"/>
    <x v="825"/>
    <m/>
    <x v="409"/>
    <m/>
    <x v="3"/>
    <x v="0"/>
    <x v="499"/>
    <m/>
    <x v="7"/>
    <x v="1"/>
    <m/>
    <m/>
    <x v="0"/>
    <x v="0"/>
    <m/>
    <x v="0"/>
    <x v="2"/>
    <x v="1408"/>
    <x v="3"/>
    <x v="0"/>
    <x v="1"/>
    <x v="499"/>
    <x v="5906"/>
  </r>
  <r>
    <x v="2"/>
    <n v="1424"/>
    <x v="1398"/>
    <x v="1"/>
    <s v="CM"/>
    <s v="N"/>
    <x v="791"/>
    <x v="41"/>
    <x v="825"/>
    <m/>
    <x v="409"/>
    <m/>
    <x v="3"/>
    <x v="0"/>
    <x v="499"/>
    <m/>
    <x v="7"/>
    <x v="1"/>
    <m/>
    <m/>
    <x v="0"/>
    <x v="0"/>
    <m/>
    <x v="0"/>
    <x v="2"/>
    <x v="1408"/>
    <x v="3"/>
    <x v="0"/>
    <x v="1"/>
    <x v="499"/>
    <x v="5907"/>
  </r>
  <r>
    <x v="2"/>
    <n v="1502"/>
    <x v="1399"/>
    <x v="2"/>
    <s v="CM"/>
    <s v=""/>
    <x v="640"/>
    <x v="49"/>
    <x v="879"/>
    <m/>
    <x v="306"/>
    <m/>
    <x v="2"/>
    <x v="0"/>
    <x v="580"/>
    <m/>
    <x v="1"/>
    <x v="0"/>
    <m/>
    <s v="Regina Pessoa et Abi Feijó"/>
    <x v="0"/>
    <x v="1"/>
    <m/>
    <x v="0"/>
    <x v="4"/>
    <x v="1409"/>
    <x v="2"/>
    <x v="0"/>
    <x v="0"/>
    <x v="580"/>
    <x v="5908"/>
  </r>
  <r>
    <x v="2"/>
    <n v="1966"/>
    <x v="1971"/>
    <x v="1"/>
    <s v="CM"/>
    <s v="N"/>
    <x v="1136"/>
    <x v="2"/>
    <x v="316"/>
    <m/>
    <x v="11"/>
    <m/>
    <x v="3"/>
    <x v="0"/>
    <x v="500"/>
    <d v="2013-08-31T00:00:00"/>
    <x v="16"/>
    <x v="1"/>
    <s v="Documentário"/>
    <m/>
    <x v="0"/>
    <x v="0"/>
    <m/>
    <x v="0"/>
    <x v="2"/>
    <x v="1994"/>
    <x v="3"/>
    <x v="0"/>
    <x v="1"/>
    <x v="500"/>
    <x v="5909"/>
  </r>
  <r>
    <x v="2"/>
    <n v="1871"/>
    <x v="1972"/>
    <x v="1"/>
    <s v="CM"/>
    <s v="N"/>
    <x v="782"/>
    <x v="5"/>
    <x v="628"/>
    <m/>
    <x v="24"/>
    <m/>
    <x v="3"/>
    <x v="0"/>
    <x v="587"/>
    <m/>
    <x v="1"/>
    <x v="0"/>
    <m/>
    <m/>
    <x v="0"/>
    <x v="1"/>
    <s v="Curtas de Diogo Pessoa de Andrade"/>
    <x v="0"/>
    <x v="2"/>
    <x v="1995"/>
    <x v="3"/>
    <x v="0"/>
    <x v="1"/>
    <x v="587"/>
    <x v="5910"/>
  </r>
  <r>
    <x v="2"/>
    <n v="1487"/>
    <x v="1402"/>
    <x v="2"/>
    <s v="CM"/>
    <s v="N"/>
    <x v="927"/>
    <x v="41"/>
    <x v="854"/>
    <m/>
    <x v="24"/>
    <m/>
    <x v="3"/>
    <x v="0"/>
    <x v="550"/>
    <d v="2013-03-27T00:00:00"/>
    <x v="2"/>
    <x v="0"/>
    <m/>
    <m/>
    <x v="0"/>
    <x v="1"/>
    <m/>
    <x v="0"/>
    <x v="4"/>
    <x v="1412"/>
    <x v="3"/>
    <x v="0"/>
    <x v="1"/>
    <x v="550"/>
    <x v="5911"/>
  </r>
  <r>
    <x v="2"/>
    <n v="920"/>
    <x v="635"/>
    <x v="0"/>
    <s v="CM"/>
    <s v="N"/>
    <x v="467"/>
    <x v="4"/>
    <x v="854"/>
    <m/>
    <x v="24"/>
    <m/>
    <x v="3"/>
    <x v="0"/>
    <x v="550"/>
    <d v="2013-03-27T00:00:00"/>
    <x v="2"/>
    <x v="0"/>
    <m/>
    <m/>
    <x v="0"/>
    <x v="1"/>
    <m/>
    <x v="0"/>
    <x v="0"/>
    <x v="637"/>
    <x v="3"/>
    <x v="0"/>
    <x v="1"/>
    <x v="550"/>
    <x v="5912"/>
  </r>
  <r>
    <x v="2"/>
    <n v="1739"/>
    <x v="1973"/>
    <x v="0"/>
    <s v="LM"/>
    <s v="S"/>
    <x v="1171"/>
    <x v="38"/>
    <x v="1048"/>
    <m/>
    <x v="22"/>
    <m/>
    <x v="3"/>
    <x v="0"/>
    <x v="710"/>
    <m/>
    <x v="2"/>
    <x v="0"/>
    <m/>
    <m/>
    <x v="0"/>
    <x v="1"/>
    <s v="Centro de Documentação 25 de Abril e TAGV"/>
    <x v="0"/>
    <x v="5"/>
    <x v="1996"/>
    <x v="3"/>
    <x v="0"/>
    <x v="1"/>
    <x v="710"/>
    <x v="5913"/>
  </r>
  <r>
    <x v="2"/>
    <n v="1749"/>
    <x v="1974"/>
    <x v="5"/>
    <s v="CM"/>
    <s v="N"/>
    <x v="319"/>
    <x v="41"/>
    <x v="831"/>
    <m/>
    <x v="348"/>
    <m/>
    <x v="3"/>
    <x v="0"/>
    <x v="511"/>
    <m/>
    <x v="2"/>
    <x v="1"/>
    <s v="Videoclip"/>
    <m/>
    <x v="0"/>
    <x v="0"/>
    <m/>
    <x v="0"/>
    <x v="15"/>
    <x v="1997"/>
    <x v="3"/>
    <x v="0"/>
    <x v="1"/>
    <x v="511"/>
    <x v="5914"/>
  </r>
  <r>
    <x v="2"/>
    <n v="1708"/>
    <x v="1975"/>
    <x v="4"/>
    <s v="CM"/>
    <s v="N"/>
    <x v="1268"/>
    <x v="2"/>
    <x v="62"/>
    <m/>
    <x v="23"/>
    <m/>
    <x v="3"/>
    <x v="0"/>
    <x v="503"/>
    <d v="2013-03-10T00:00:00"/>
    <x v="19"/>
    <x v="1"/>
    <s v="Prémio de Cinema Português - Escolas de Cinema"/>
    <m/>
    <x v="0"/>
    <x v="0"/>
    <s v="ESTC"/>
    <x v="0"/>
    <x v="8"/>
    <x v="1998"/>
    <x v="3"/>
    <x v="0"/>
    <x v="1"/>
    <x v="503"/>
    <x v="5915"/>
  </r>
  <r>
    <x v="2"/>
    <n v="1538"/>
    <x v="1406"/>
    <x v="0"/>
    <s v="LM"/>
    <s v="S"/>
    <x v="14"/>
    <x v="41"/>
    <x v="966"/>
    <m/>
    <x v="11"/>
    <m/>
    <x v="3"/>
    <x v="0"/>
    <x v="572"/>
    <d v="2013-01-29T00:00:00"/>
    <x v="15"/>
    <x v="0"/>
    <m/>
    <m/>
    <x v="0"/>
    <x v="1"/>
    <m/>
    <x v="0"/>
    <x v="5"/>
    <x v="1416"/>
    <x v="3"/>
    <x v="0"/>
    <x v="1"/>
    <x v="572"/>
    <x v="5916"/>
  </r>
  <r>
    <x v="2"/>
    <n v="1538"/>
    <x v="1406"/>
    <x v="0"/>
    <s v="LM"/>
    <s v="S"/>
    <x v="14"/>
    <x v="41"/>
    <x v="585"/>
    <m/>
    <x v="326"/>
    <m/>
    <x v="2"/>
    <x v="0"/>
    <x v="584"/>
    <d v="2013-01-26T00:00:00"/>
    <x v="15"/>
    <x v="0"/>
    <m/>
    <s v="Fiction - Création Européenne"/>
    <x v="0"/>
    <x v="0"/>
    <m/>
    <x v="0"/>
    <x v="5"/>
    <x v="1416"/>
    <x v="2"/>
    <x v="0"/>
    <x v="0"/>
    <x v="584"/>
    <x v="5917"/>
  </r>
  <r>
    <x v="2"/>
    <n v="1538"/>
    <x v="1406"/>
    <x v="0"/>
    <s v="LM"/>
    <s v="S"/>
    <x v="14"/>
    <x v="41"/>
    <x v="893"/>
    <m/>
    <x v="24"/>
    <m/>
    <x v="3"/>
    <x v="0"/>
    <x v="503"/>
    <m/>
    <x v="1"/>
    <x v="0"/>
    <m/>
    <m/>
    <x v="553"/>
    <x v="2"/>
    <m/>
    <x v="1"/>
    <x v="5"/>
    <x v="1416"/>
    <x v="3"/>
    <x v="677"/>
    <x v="1"/>
    <x v="503"/>
    <x v="5918"/>
  </r>
  <r>
    <x v="2"/>
    <n v="1538"/>
    <x v="1406"/>
    <x v="0"/>
    <s v="LM"/>
    <s v="S"/>
    <x v="14"/>
    <x v="41"/>
    <x v="42"/>
    <m/>
    <x v="39"/>
    <m/>
    <x v="3"/>
    <x v="0"/>
    <x v="625"/>
    <m/>
    <x v="1"/>
    <x v="0"/>
    <m/>
    <m/>
    <x v="0"/>
    <x v="1"/>
    <m/>
    <x v="0"/>
    <x v="5"/>
    <x v="1416"/>
    <x v="3"/>
    <x v="0"/>
    <x v="1"/>
    <x v="625"/>
    <x v="5919"/>
  </r>
  <r>
    <x v="2"/>
    <n v="1538"/>
    <x v="1406"/>
    <x v="0"/>
    <s v="LM"/>
    <s v="S"/>
    <x v="14"/>
    <x v="41"/>
    <x v="214"/>
    <m/>
    <x v="5"/>
    <m/>
    <x v="3"/>
    <x v="0"/>
    <x v="622"/>
    <m/>
    <x v="1"/>
    <x v="0"/>
    <m/>
    <m/>
    <x v="0"/>
    <x v="1"/>
    <m/>
    <x v="0"/>
    <x v="5"/>
    <x v="1416"/>
    <x v="3"/>
    <x v="0"/>
    <x v="1"/>
    <x v="622"/>
    <x v="5920"/>
  </r>
  <r>
    <x v="2"/>
    <n v="1538"/>
    <x v="1406"/>
    <x v="0"/>
    <s v="LM"/>
    <s v="S"/>
    <x v="14"/>
    <x v="41"/>
    <x v="595"/>
    <m/>
    <x v="206"/>
    <m/>
    <x v="3"/>
    <x v="0"/>
    <x v="689"/>
    <m/>
    <x v="1"/>
    <x v="0"/>
    <m/>
    <m/>
    <x v="0"/>
    <x v="1"/>
    <m/>
    <x v="0"/>
    <x v="5"/>
    <x v="1416"/>
    <x v="3"/>
    <x v="0"/>
    <x v="1"/>
    <x v="689"/>
    <x v="5921"/>
  </r>
  <r>
    <x v="2"/>
    <n v="1538"/>
    <x v="1406"/>
    <x v="0"/>
    <s v="LM"/>
    <s v="S"/>
    <x v="14"/>
    <x v="41"/>
    <x v="477"/>
    <m/>
    <x v="59"/>
    <m/>
    <x v="3"/>
    <x v="0"/>
    <x v="561"/>
    <m/>
    <x v="2"/>
    <x v="0"/>
    <m/>
    <m/>
    <x v="0"/>
    <x v="1"/>
    <m/>
    <x v="0"/>
    <x v="5"/>
    <x v="1416"/>
    <x v="3"/>
    <x v="0"/>
    <x v="1"/>
    <x v="561"/>
    <x v="5922"/>
  </r>
  <r>
    <x v="2"/>
    <n v="1538"/>
    <x v="1406"/>
    <x v="0"/>
    <s v="LM"/>
    <s v="S"/>
    <x v="14"/>
    <x v="41"/>
    <x v="627"/>
    <m/>
    <x v="24"/>
    <m/>
    <x v="3"/>
    <x v="0"/>
    <x v="651"/>
    <m/>
    <x v="14"/>
    <x v="0"/>
    <m/>
    <m/>
    <x v="554"/>
    <x v="2"/>
    <m/>
    <x v="1"/>
    <x v="5"/>
    <x v="1416"/>
    <x v="3"/>
    <x v="678"/>
    <x v="1"/>
    <x v="651"/>
    <x v="5923"/>
  </r>
  <r>
    <x v="2"/>
    <n v="1860"/>
    <x v="1976"/>
    <x v="1"/>
    <s v="CM"/>
    <s v="N"/>
    <x v="1269"/>
    <x v="5"/>
    <x v="854"/>
    <m/>
    <x v="24"/>
    <m/>
    <x v="3"/>
    <x v="0"/>
    <x v="550"/>
    <d v="2013-03-27T00:00:00"/>
    <x v="2"/>
    <x v="0"/>
    <m/>
    <m/>
    <x v="0"/>
    <x v="1"/>
    <m/>
    <x v="0"/>
    <x v="2"/>
    <x v="1999"/>
    <x v="3"/>
    <x v="0"/>
    <x v="1"/>
    <x v="550"/>
    <x v="5924"/>
  </r>
  <r>
    <x v="2"/>
    <n v="928"/>
    <x v="1408"/>
    <x v="1"/>
    <s v="LM"/>
    <s v="N"/>
    <x v="690"/>
    <x v="3"/>
    <x v="162"/>
    <m/>
    <x v="124"/>
    <m/>
    <x v="3"/>
    <x v="0"/>
    <x v="668"/>
    <m/>
    <x v="1"/>
    <x v="0"/>
    <m/>
    <m/>
    <x v="0"/>
    <x v="1"/>
    <m/>
    <x v="0"/>
    <x v="1"/>
    <x v="1418"/>
    <x v="3"/>
    <x v="0"/>
    <x v="1"/>
    <x v="668"/>
    <x v="5925"/>
  </r>
  <r>
    <x v="2"/>
    <n v="928"/>
    <x v="1408"/>
    <x v="1"/>
    <s v="LM"/>
    <s v="N"/>
    <x v="690"/>
    <x v="3"/>
    <x v="984"/>
    <m/>
    <x v="200"/>
    <m/>
    <x v="3"/>
    <x v="0"/>
    <x v="571"/>
    <m/>
    <x v="2"/>
    <x v="0"/>
    <m/>
    <m/>
    <x v="0"/>
    <x v="1"/>
    <m/>
    <x v="0"/>
    <x v="1"/>
    <x v="1418"/>
    <x v="3"/>
    <x v="0"/>
    <x v="1"/>
    <x v="571"/>
    <x v="5926"/>
  </r>
  <r>
    <x v="2"/>
    <n v="928"/>
    <x v="1408"/>
    <x v="1"/>
    <s v="LM"/>
    <s v="N"/>
    <x v="690"/>
    <x v="3"/>
    <x v="996"/>
    <m/>
    <x v="24"/>
    <m/>
    <x v="3"/>
    <x v="0"/>
    <x v="681"/>
    <d v="2013-12-13T00:00:00"/>
    <x v="12"/>
    <x v="0"/>
    <m/>
    <s v="Ciclo de Documentários"/>
    <x v="0"/>
    <x v="1"/>
    <m/>
    <x v="0"/>
    <x v="1"/>
    <x v="1418"/>
    <x v="3"/>
    <x v="0"/>
    <x v="1"/>
    <x v="681"/>
    <x v="5927"/>
  </r>
  <r>
    <x v="2"/>
    <n v="1689"/>
    <x v="1977"/>
    <x v="0"/>
    <s v="LM"/>
    <s v="S"/>
    <x v="105"/>
    <x v="49"/>
    <x v="62"/>
    <m/>
    <x v="23"/>
    <m/>
    <x v="3"/>
    <x v="0"/>
    <x v="503"/>
    <d v="2013-03-10T00:00:00"/>
    <x v="19"/>
    <x v="0"/>
    <m/>
    <s v="Homenagem a António de Macedo"/>
    <x v="0"/>
    <x v="0"/>
    <m/>
    <x v="0"/>
    <x v="5"/>
    <x v="2000"/>
    <x v="3"/>
    <x v="0"/>
    <x v="1"/>
    <x v="503"/>
    <x v="5928"/>
  </r>
  <r>
    <x v="2"/>
    <n v="2074"/>
    <x v="1978"/>
    <x v="1"/>
    <s v="LM"/>
    <s v="N"/>
    <x v="1270"/>
    <x v="52"/>
    <x v="25"/>
    <m/>
    <x v="24"/>
    <m/>
    <x v="3"/>
    <x v="0"/>
    <x v="553"/>
    <d v="2013-11-03T00:00:00"/>
    <x v="0"/>
    <x v="1"/>
    <s v="Competição Portuguesa - Longas"/>
    <m/>
    <x v="555"/>
    <x v="0"/>
    <m/>
    <x v="1"/>
    <x v="1"/>
    <x v="2001"/>
    <x v="3"/>
    <x v="679"/>
    <x v="1"/>
    <x v="553"/>
    <x v="5929"/>
  </r>
  <r>
    <x v="2"/>
    <n v="2074"/>
    <x v="1978"/>
    <x v="1"/>
    <s v="LM"/>
    <s v="N"/>
    <x v="1270"/>
    <x v="52"/>
    <x v="25"/>
    <m/>
    <x v="24"/>
    <m/>
    <x v="3"/>
    <x v="0"/>
    <x v="553"/>
    <d v="2013-11-03T00:00:00"/>
    <x v="0"/>
    <x v="1"/>
    <s v="Competição Portuguesa - Longas"/>
    <m/>
    <x v="0"/>
    <x v="0"/>
    <m/>
    <x v="0"/>
    <x v="1"/>
    <x v="2001"/>
    <x v="3"/>
    <x v="0"/>
    <x v="1"/>
    <x v="553"/>
    <x v="5930"/>
  </r>
  <r>
    <x v="2"/>
    <n v="1920"/>
    <x v="1979"/>
    <x v="0"/>
    <s v="LM"/>
    <s v="S"/>
    <x v="20"/>
    <x v="61"/>
    <x v="846"/>
    <m/>
    <x v="417"/>
    <m/>
    <x v="11"/>
    <x v="0"/>
    <x v="535"/>
    <d v="2013-08-03T00:00:00"/>
    <x v="25"/>
    <x v="0"/>
    <m/>
    <s v="Focus Portugal: Manoel de Oliveira"/>
    <x v="0"/>
    <x v="0"/>
    <m/>
    <x v="0"/>
    <x v="5"/>
    <x v="2002"/>
    <x v="11"/>
    <x v="0"/>
    <x v="0"/>
    <x v="535"/>
    <x v="5931"/>
  </r>
  <r>
    <x v="2"/>
    <n v="1328"/>
    <x v="1409"/>
    <x v="0"/>
    <s v="CM"/>
    <s v="N"/>
    <x v="156"/>
    <x v="41"/>
    <x v="34"/>
    <m/>
    <x v="32"/>
    <m/>
    <x v="3"/>
    <x v="0"/>
    <x v="525"/>
    <d v="2013-05-12T00:00:00"/>
    <x v="6"/>
    <x v="1"/>
    <s v="Ficção"/>
    <m/>
    <x v="0"/>
    <x v="0"/>
    <m/>
    <x v="0"/>
    <x v="0"/>
    <x v="1419"/>
    <x v="3"/>
    <x v="0"/>
    <x v="1"/>
    <x v="525"/>
    <x v="5932"/>
  </r>
  <r>
    <x v="2"/>
    <n v="1328"/>
    <x v="1409"/>
    <x v="0"/>
    <s v="CM"/>
    <s v="N"/>
    <x v="156"/>
    <x v="41"/>
    <x v="864"/>
    <m/>
    <x v="32"/>
    <m/>
    <x v="3"/>
    <x v="0"/>
    <x v="562"/>
    <d v="2013-06-16T00:00:00"/>
    <x v="7"/>
    <x v="0"/>
    <m/>
    <s v="Mostra do Cinema Português"/>
    <x v="0"/>
    <x v="0"/>
    <m/>
    <x v="0"/>
    <x v="0"/>
    <x v="1419"/>
    <x v="3"/>
    <x v="0"/>
    <x v="1"/>
    <x v="562"/>
    <x v="5933"/>
  </r>
  <r>
    <x v="2"/>
    <n v="2075"/>
    <x v="1980"/>
    <x v="1"/>
    <s v="LM"/>
    <s v="N"/>
    <x v="1271"/>
    <x v="52"/>
    <x v="25"/>
    <m/>
    <x v="24"/>
    <m/>
    <x v="3"/>
    <x v="0"/>
    <x v="553"/>
    <d v="2013-11-03T00:00:00"/>
    <x v="0"/>
    <x v="1"/>
    <s v="Competição Portuguesa - Longas"/>
    <m/>
    <x v="556"/>
    <x v="0"/>
    <m/>
    <x v="1"/>
    <x v="1"/>
    <x v="2003"/>
    <x v="3"/>
    <x v="680"/>
    <x v="1"/>
    <x v="553"/>
    <x v="5934"/>
  </r>
  <r>
    <x v="2"/>
    <n v="2075"/>
    <x v="1980"/>
    <x v="1"/>
    <s v="LM"/>
    <s v="N"/>
    <x v="1271"/>
    <x v="52"/>
    <x v="25"/>
    <m/>
    <x v="24"/>
    <m/>
    <x v="3"/>
    <x v="0"/>
    <x v="553"/>
    <d v="2013-11-03T00:00:00"/>
    <x v="0"/>
    <x v="1"/>
    <s v="Competição Portuguesa - Longas"/>
    <m/>
    <x v="0"/>
    <x v="0"/>
    <m/>
    <x v="0"/>
    <x v="1"/>
    <x v="2003"/>
    <x v="3"/>
    <x v="0"/>
    <x v="1"/>
    <x v="553"/>
    <x v="5935"/>
  </r>
  <r>
    <x v="2"/>
    <n v="2033"/>
    <x v="1981"/>
    <x v="0"/>
    <s v="CM"/>
    <s v="N"/>
    <x v="461"/>
    <x v="48"/>
    <x v="870"/>
    <m/>
    <x v="59"/>
    <m/>
    <x v="3"/>
    <x v="0"/>
    <x v="568"/>
    <d v="2013-10-13T00:00:00"/>
    <x v="14"/>
    <x v="0"/>
    <m/>
    <s v="Sessão de Abertura - Mostra Retrospectiva de curtas-metragens de João César Monteiro"/>
    <x v="0"/>
    <x v="0"/>
    <m/>
    <x v="0"/>
    <x v="0"/>
    <x v="2004"/>
    <x v="3"/>
    <x v="0"/>
    <x v="1"/>
    <x v="568"/>
    <x v="5936"/>
  </r>
  <r>
    <x v="2"/>
    <n v="929"/>
    <x v="641"/>
    <x v="1"/>
    <s v="LM"/>
    <s v="N"/>
    <x v="85"/>
    <x v="1"/>
    <x v="906"/>
    <m/>
    <x v="348"/>
    <m/>
    <x v="3"/>
    <x v="0"/>
    <x v="592"/>
    <d v="2013-06-23T00:00:00"/>
    <x v="7"/>
    <x v="0"/>
    <m/>
    <m/>
    <x v="0"/>
    <x v="0"/>
    <m/>
    <x v="0"/>
    <x v="1"/>
    <x v="643"/>
    <x v="3"/>
    <x v="0"/>
    <x v="1"/>
    <x v="592"/>
    <x v="5937"/>
  </r>
  <r>
    <x v="2"/>
    <n v="2045"/>
    <x v="1982"/>
    <x v="2"/>
    <s v="CM"/>
    <s v="N"/>
    <x v="1257"/>
    <x v="41"/>
    <x v="188"/>
    <m/>
    <x v="0"/>
    <m/>
    <x v="0"/>
    <x v="0"/>
    <x v="505"/>
    <d v="2013-10-10T00:00:00"/>
    <x v="10"/>
    <x v="0"/>
    <m/>
    <s v="Mostra Geração - Programa Video Fórum 4"/>
    <x v="0"/>
    <x v="0"/>
    <m/>
    <x v="0"/>
    <x v="4"/>
    <x v="2005"/>
    <x v="0"/>
    <x v="0"/>
    <x v="0"/>
    <x v="505"/>
    <x v="5938"/>
  </r>
  <r>
    <x v="2"/>
    <n v="932"/>
    <x v="644"/>
    <x v="2"/>
    <s v="CM"/>
    <s v="S"/>
    <x v="472"/>
    <x v="5"/>
    <x v="854"/>
    <m/>
    <x v="24"/>
    <m/>
    <x v="3"/>
    <x v="0"/>
    <x v="550"/>
    <d v="2013-03-27T00:00:00"/>
    <x v="2"/>
    <x v="0"/>
    <m/>
    <m/>
    <x v="0"/>
    <x v="1"/>
    <m/>
    <x v="0"/>
    <x v="4"/>
    <x v="646"/>
    <x v="3"/>
    <x v="0"/>
    <x v="1"/>
    <x v="550"/>
    <x v="5939"/>
  </r>
  <r>
    <x v="2"/>
    <n v="932"/>
    <x v="644"/>
    <x v="2"/>
    <s v="CM"/>
    <s v="S"/>
    <x v="472"/>
    <x v="5"/>
    <x v="487"/>
    <m/>
    <x v="295"/>
    <m/>
    <x v="10"/>
    <x v="0"/>
    <x v="641"/>
    <d v="2013-04-07T00:00:00"/>
    <x v="5"/>
    <x v="1"/>
    <s v="Short Competition: Short Films B"/>
    <m/>
    <x v="0"/>
    <x v="0"/>
    <m/>
    <x v="0"/>
    <x v="4"/>
    <x v="646"/>
    <x v="10"/>
    <x v="0"/>
    <x v="0"/>
    <x v="641"/>
    <x v="5940"/>
  </r>
  <r>
    <x v="2"/>
    <n v="932"/>
    <x v="644"/>
    <x v="2"/>
    <s v="CM"/>
    <s v="S"/>
    <x v="472"/>
    <x v="5"/>
    <x v="34"/>
    <m/>
    <x v="32"/>
    <m/>
    <x v="3"/>
    <x v="0"/>
    <x v="525"/>
    <d v="2013-05-12T00:00:00"/>
    <x v="6"/>
    <x v="1"/>
    <s v="Animação"/>
    <m/>
    <x v="0"/>
    <x v="0"/>
    <m/>
    <x v="0"/>
    <x v="4"/>
    <x v="646"/>
    <x v="3"/>
    <x v="0"/>
    <x v="1"/>
    <x v="525"/>
    <x v="5941"/>
  </r>
  <r>
    <x v="2"/>
    <n v="932"/>
    <x v="644"/>
    <x v="2"/>
    <s v="CM"/>
    <s v="S"/>
    <x v="472"/>
    <x v="5"/>
    <x v="864"/>
    <m/>
    <x v="32"/>
    <m/>
    <x v="3"/>
    <x v="0"/>
    <x v="562"/>
    <d v="2013-06-16T00:00:00"/>
    <x v="7"/>
    <x v="0"/>
    <m/>
    <s v="Mostra do Cinema Português"/>
    <x v="0"/>
    <x v="0"/>
    <m/>
    <x v="0"/>
    <x v="4"/>
    <x v="646"/>
    <x v="3"/>
    <x v="0"/>
    <x v="1"/>
    <x v="562"/>
    <x v="5942"/>
  </r>
  <r>
    <x v="2"/>
    <n v="2133"/>
    <x v="1983"/>
    <x v="0"/>
    <s v="CM"/>
    <s v="N"/>
    <x v="1272"/>
    <x v="52"/>
    <x v="454"/>
    <m/>
    <x v="15"/>
    <m/>
    <x v="3"/>
    <x v="0"/>
    <x v="334"/>
    <m/>
    <x v="8"/>
    <x v="1"/>
    <s v="Ficção"/>
    <m/>
    <x v="0"/>
    <x v="0"/>
    <m/>
    <x v="0"/>
    <x v="0"/>
    <x v="2006"/>
    <x v="3"/>
    <x v="0"/>
    <x v="1"/>
    <x v="334"/>
    <x v="5943"/>
  </r>
  <r>
    <x v="2"/>
    <n v="934"/>
    <x v="645"/>
    <x v="0"/>
    <s v="LM"/>
    <s v="S"/>
    <x v="40"/>
    <x v="37"/>
    <x v="158"/>
    <m/>
    <x v="121"/>
    <m/>
    <x v="3"/>
    <x v="0"/>
    <x v="568"/>
    <d v="2013-10-13T00:00:00"/>
    <x v="14"/>
    <x v="0"/>
    <m/>
    <s v="Focus: Teresa Villaverde"/>
    <x v="0"/>
    <x v="0"/>
    <m/>
    <x v="0"/>
    <x v="5"/>
    <x v="647"/>
    <x v="3"/>
    <x v="0"/>
    <x v="1"/>
    <x v="568"/>
    <x v="5944"/>
  </r>
  <r>
    <x v="2"/>
    <n v="935"/>
    <x v="646"/>
    <x v="2"/>
    <s v="CM"/>
    <s v="S"/>
    <x v="281"/>
    <x v="2"/>
    <x v="843"/>
    <m/>
    <x v="253"/>
    <m/>
    <x v="0"/>
    <x v="0"/>
    <x v="532"/>
    <d v="2013-05-26T00:00:00"/>
    <x v="6"/>
    <x v="0"/>
    <m/>
    <m/>
    <x v="0"/>
    <x v="1"/>
    <m/>
    <x v="0"/>
    <x v="4"/>
    <x v="648"/>
    <x v="0"/>
    <x v="0"/>
    <x v="0"/>
    <x v="532"/>
    <x v="5945"/>
  </r>
  <r>
    <x v="2"/>
    <n v="935"/>
    <x v="646"/>
    <x v="2"/>
    <s v="CM"/>
    <s v="S"/>
    <x v="281"/>
    <x v="2"/>
    <x v="844"/>
    <m/>
    <x v="0"/>
    <m/>
    <x v="0"/>
    <x v="0"/>
    <x v="533"/>
    <d v="2013-06-06T00:00:00"/>
    <x v="22"/>
    <x v="0"/>
    <m/>
    <m/>
    <x v="0"/>
    <x v="1"/>
    <m/>
    <x v="0"/>
    <x v="4"/>
    <x v="648"/>
    <x v="0"/>
    <x v="0"/>
    <x v="0"/>
    <x v="533"/>
    <x v="5946"/>
  </r>
  <r>
    <x v="2"/>
    <n v="935"/>
    <x v="646"/>
    <x v="2"/>
    <s v="CM"/>
    <s v="S"/>
    <x v="281"/>
    <x v="2"/>
    <x v="905"/>
    <m/>
    <x v="61"/>
    <m/>
    <x v="2"/>
    <x v="0"/>
    <x v="509"/>
    <d v="2013-12-01T00:00:00"/>
    <x v="11"/>
    <x v="0"/>
    <m/>
    <s v="Ida e Volta: Hommage au Portugal"/>
    <x v="0"/>
    <x v="0"/>
    <m/>
    <x v="0"/>
    <x v="4"/>
    <x v="648"/>
    <x v="2"/>
    <x v="0"/>
    <x v="0"/>
    <x v="509"/>
    <x v="5947"/>
  </r>
  <r>
    <x v="2"/>
    <n v="1882"/>
    <x v="1984"/>
    <x v="1"/>
    <s v="LM"/>
    <s v="N"/>
    <x v="1273"/>
    <x v="41"/>
    <x v="519"/>
    <m/>
    <x v="24"/>
    <m/>
    <x v="3"/>
    <x v="0"/>
    <x v="504"/>
    <d v="2013-05-11T00:00:00"/>
    <x v="6"/>
    <x v="0"/>
    <m/>
    <m/>
    <x v="0"/>
    <x v="1"/>
    <m/>
    <x v="0"/>
    <x v="1"/>
    <x v="2007"/>
    <x v="3"/>
    <x v="0"/>
    <x v="1"/>
    <x v="504"/>
    <x v="5948"/>
  </r>
  <r>
    <x v="2"/>
    <n v="1504"/>
    <x v="1413"/>
    <x v="2"/>
    <s v="CM"/>
    <s v="S"/>
    <x v="640"/>
    <x v="43"/>
    <x v="879"/>
    <m/>
    <x v="306"/>
    <m/>
    <x v="2"/>
    <x v="0"/>
    <x v="580"/>
    <m/>
    <x v="1"/>
    <x v="0"/>
    <m/>
    <s v="Regina Pessoa et Abi Feijó"/>
    <x v="0"/>
    <x v="1"/>
    <m/>
    <x v="0"/>
    <x v="4"/>
    <x v="1423"/>
    <x v="2"/>
    <x v="0"/>
    <x v="0"/>
    <x v="580"/>
    <x v="5949"/>
  </r>
  <r>
    <x v="2"/>
    <n v="1504"/>
    <x v="1413"/>
    <x v="2"/>
    <s v="CM"/>
    <s v="S"/>
    <x v="640"/>
    <x v="43"/>
    <x v="220"/>
    <m/>
    <x v="154"/>
    <m/>
    <x v="0"/>
    <x v="0"/>
    <x v="566"/>
    <d v="2013-08-18T00:00:00"/>
    <x v="16"/>
    <x v="0"/>
    <m/>
    <s v="Papo Animado"/>
    <x v="0"/>
    <x v="0"/>
    <m/>
    <x v="0"/>
    <x v="4"/>
    <x v="1423"/>
    <x v="0"/>
    <x v="0"/>
    <x v="0"/>
    <x v="566"/>
    <x v="5950"/>
  </r>
  <r>
    <x v="2"/>
    <n v="1504"/>
    <x v="1413"/>
    <x v="2"/>
    <s v="CM"/>
    <s v="S"/>
    <x v="640"/>
    <x v="43"/>
    <x v="880"/>
    <m/>
    <x v="298"/>
    <m/>
    <x v="15"/>
    <x v="0"/>
    <x v="553"/>
    <d v="2013-10-30T00:00:00"/>
    <x v="14"/>
    <x v="0"/>
    <m/>
    <s v="Regina Pessoa e Abi Feijó: la regina dell'animazione e il suo maestro - Il mio apprendistato"/>
    <x v="0"/>
    <x v="0"/>
    <m/>
    <x v="0"/>
    <x v="4"/>
    <x v="1423"/>
    <x v="15"/>
    <x v="0"/>
    <x v="0"/>
    <x v="553"/>
    <x v="5951"/>
  </r>
  <r>
    <x v="2"/>
    <n v="1625"/>
    <x v="1985"/>
    <x v="1"/>
    <s v="CM"/>
    <s v="N"/>
    <x v="460"/>
    <x v="18"/>
    <x v="911"/>
    <m/>
    <x v="46"/>
    <m/>
    <x v="3"/>
    <x v="0"/>
    <x v="408"/>
    <d v="2013-01-28T00:00:00"/>
    <x v="33"/>
    <x v="0"/>
    <m/>
    <m/>
    <x v="0"/>
    <x v="1"/>
    <m/>
    <x v="0"/>
    <x v="2"/>
    <x v="2008"/>
    <x v="3"/>
    <x v="0"/>
    <x v="1"/>
    <x v="408"/>
    <x v="5952"/>
  </r>
  <r>
    <x v="2"/>
    <n v="1231"/>
    <x v="649"/>
    <x v="0"/>
    <s v="LM"/>
    <s v="N"/>
    <x v="63"/>
    <x v="7"/>
    <x v="865"/>
    <m/>
    <x v="419"/>
    <m/>
    <x v="34"/>
    <x v="0"/>
    <x v="563"/>
    <d v="2013-02-28T00:00:00"/>
    <x v="18"/>
    <x v="0"/>
    <m/>
    <m/>
    <x v="0"/>
    <x v="1"/>
    <s v="Cinémathèque Suisse"/>
    <x v="0"/>
    <x v="5"/>
    <x v="651"/>
    <x v="34"/>
    <x v="0"/>
    <x v="0"/>
    <x v="563"/>
    <x v="5953"/>
  </r>
  <r>
    <x v="2"/>
    <n v="1231"/>
    <x v="649"/>
    <x v="0"/>
    <s v="LM"/>
    <s v="N"/>
    <x v="63"/>
    <x v="7"/>
    <x v="846"/>
    <m/>
    <x v="417"/>
    <m/>
    <x v="11"/>
    <x v="0"/>
    <x v="535"/>
    <d v="2013-08-03T00:00:00"/>
    <x v="25"/>
    <x v="0"/>
    <m/>
    <s v="Focus Portugal: Novo Cinema"/>
    <x v="0"/>
    <x v="0"/>
    <m/>
    <x v="0"/>
    <x v="5"/>
    <x v="651"/>
    <x v="11"/>
    <x v="0"/>
    <x v="0"/>
    <x v="535"/>
    <x v="5954"/>
  </r>
  <r>
    <x v="2"/>
    <n v="1231"/>
    <x v="649"/>
    <x v="0"/>
    <s v="LM"/>
    <s v="N"/>
    <x v="63"/>
    <x v="7"/>
    <x v="147"/>
    <m/>
    <x v="112"/>
    <m/>
    <x v="34"/>
    <x v="0"/>
    <x v="626"/>
    <d v="2013-08-17T00:00:00"/>
    <x v="16"/>
    <x v="0"/>
    <m/>
    <s v="Histoire(s) du cinéma: Tribute to Paulo Rocha"/>
    <x v="0"/>
    <x v="0"/>
    <m/>
    <x v="0"/>
    <x v="5"/>
    <x v="651"/>
    <x v="34"/>
    <x v="0"/>
    <x v="0"/>
    <x v="626"/>
    <x v="5955"/>
  </r>
  <r>
    <x v="2"/>
    <n v="941"/>
    <x v="1415"/>
    <x v="0"/>
    <s v="CM"/>
    <s v="N"/>
    <x v="427"/>
    <x v="41"/>
    <x v="81"/>
    <m/>
    <x v="61"/>
    <m/>
    <x v="2"/>
    <x v="0"/>
    <x v="672"/>
    <d v="2013-02-09T00:00:00"/>
    <x v="1"/>
    <x v="1"/>
    <s v="Compétition Internationale 12"/>
    <m/>
    <x v="0"/>
    <x v="0"/>
    <m/>
    <x v="0"/>
    <x v="0"/>
    <x v="1425"/>
    <x v="2"/>
    <x v="0"/>
    <x v="0"/>
    <x v="672"/>
    <x v="5956"/>
  </r>
  <r>
    <x v="2"/>
    <n v="941"/>
    <x v="1415"/>
    <x v="0"/>
    <s v="CM"/>
    <s v="N"/>
    <x v="427"/>
    <x v="41"/>
    <x v="854"/>
    <m/>
    <x v="24"/>
    <m/>
    <x v="3"/>
    <x v="0"/>
    <x v="550"/>
    <d v="2013-03-27T00:00:00"/>
    <x v="2"/>
    <x v="0"/>
    <m/>
    <m/>
    <x v="0"/>
    <x v="1"/>
    <m/>
    <x v="0"/>
    <x v="0"/>
    <x v="1425"/>
    <x v="3"/>
    <x v="0"/>
    <x v="1"/>
    <x v="550"/>
    <x v="5957"/>
  </r>
  <r>
    <x v="2"/>
    <n v="941"/>
    <x v="1415"/>
    <x v="0"/>
    <s v="CM"/>
    <s v="N"/>
    <x v="427"/>
    <x v="41"/>
    <x v="269"/>
    <m/>
    <x v="188"/>
    <m/>
    <x v="55"/>
    <x v="0"/>
    <x v="561"/>
    <d v="2013-04-06T00:00:00"/>
    <x v="3"/>
    <x v="1"/>
    <s v="Competencia de Cortometrajes Internacionales"/>
    <m/>
    <x v="0"/>
    <x v="0"/>
    <m/>
    <x v="0"/>
    <x v="0"/>
    <x v="1425"/>
    <x v="55"/>
    <x v="0"/>
    <x v="0"/>
    <x v="561"/>
    <x v="5958"/>
  </r>
  <r>
    <x v="2"/>
    <n v="941"/>
    <x v="1415"/>
    <x v="0"/>
    <s v="CM"/>
    <s v="N"/>
    <x v="427"/>
    <x v="41"/>
    <x v="323"/>
    <m/>
    <x v="209"/>
    <m/>
    <x v="51"/>
    <x v="0"/>
    <x v="590"/>
    <d v="2013-04-14T00:00:00"/>
    <x v="5"/>
    <x v="1"/>
    <s v="Competition"/>
    <m/>
    <x v="557"/>
    <x v="0"/>
    <m/>
    <x v="1"/>
    <x v="0"/>
    <x v="1425"/>
    <x v="51"/>
    <x v="681"/>
    <x v="0"/>
    <x v="590"/>
    <x v="5959"/>
  </r>
  <r>
    <x v="2"/>
    <n v="941"/>
    <x v="1415"/>
    <x v="0"/>
    <s v="CM"/>
    <s v="N"/>
    <x v="427"/>
    <x v="41"/>
    <x v="432"/>
    <m/>
    <x v="39"/>
    <m/>
    <x v="3"/>
    <x v="0"/>
    <x v="582"/>
    <d v="2013-04-20T00:00:00"/>
    <x v="5"/>
    <x v="1"/>
    <s v="Competição Nacional - Sessão 11"/>
    <m/>
    <x v="0"/>
    <x v="0"/>
    <m/>
    <x v="0"/>
    <x v="0"/>
    <x v="1425"/>
    <x v="3"/>
    <x v="0"/>
    <x v="1"/>
    <x v="582"/>
    <x v="5960"/>
  </r>
  <r>
    <x v="2"/>
    <n v="941"/>
    <x v="1415"/>
    <x v="0"/>
    <s v="CM"/>
    <s v="N"/>
    <x v="427"/>
    <x v="41"/>
    <x v="1049"/>
    <m/>
    <x v="461"/>
    <m/>
    <x v="35"/>
    <x v="0"/>
    <x v="656"/>
    <d v="2013-06-20T00:00:00"/>
    <x v="7"/>
    <x v="1"/>
    <s v="Wettbewerb  - Filmblock 10"/>
    <m/>
    <x v="558"/>
    <x v="0"/>
    <m/>
    <x v="1"/>
    <x v="0"/>
    <x v="1425"/>
    <x v="35"/>
    <x v="682"/>
    <x v="0"/>
    <x v="656"/>
    <x v="5961"/>
  </r>
  <r>
    <x v="2"/>
    <n v="941"/>
    <x v="1415"/>
    <x v="0"/>
    <s v="CM"/>
    <s v="N"/>
    <x v="427"/>
    <x v="41"/>
    <x v="897"/>
    <m/>
    <x v="58"/>
    <m/>
    <x v="17"/>
    <x v="0"/>
    <x v="598"/>
    <d v="2013-09-15T00:00:00"/>
    <x v="20"/>
    <x v="0"/>
    <m/>
    <s v="Drama"/>
    <x v="0"/>
    <x v="0"/>
    <m/>
    <x v="0"/>
    <x v="0"/>
    <x v="1425"/>
    <x v="17"/>
    <x v="0"/>
    <x v="0"/>
    <x v="598"/>
    <x v="5962"/>
  </r>
  <r>
    <x v="2"/>
    <n v="941"/>
    <x v="1415"/>
    <x v="0"/>
    <s v="CM"/>
    <s v="N"/>
    <x v="427"/>
    <x v="41"/>
    <x v="353"/>
    <m/>
    <x v="237"/>
    <m/>
    <x v="17"/>
    <x v="0"/>
    <x v="543"/>
    <d v="2013-09-22T00:00:00"/>
    <x v="9"/>
    <x v="0"/>
    <m/>
    <s v="God, you're so square"/>
    <x v="0"/>
    <x v="0"/>
    <m/>
    <x v="0"/>
    <x v="0"/>
    <x v="1425"/>
    <x v="17"/>
    <x v="0"/>
    <x v="0"/>
    <x v="543"/>
    <x v="5963"/>
  </r>
  <r>
    <x v="2"/>
    <n v="941"/>
    <x v="1415"/>
    <x v="0"/>
    <s v="CM"/>
    <s v="N"/>
    <x v="427"/>
    <x v="41"/>
    <x v="859"/>
    <m/>
    <x v="420"/>
    <m/>
    <x v="0"/>
    <x v="0"/>
    <x v="559"/>
    <d v="2013-09-29T00:00:00"/>
    <x v="9"/>
    <x v="1"/>
    <s v="Mostra Competitiva Internacional - Int.III"/>
    <m/>
    <x v="0"/>
    <x v="0"/>
    <m/>
    <x v="0"/>
    <x v="0"/>
    <x v="1425"/>
    <x v="0"/>
    <x v="0"/>
    <x v="0"/>
    <x v="559"/>
    <x v="5964"/>
  </r>
  <r>
    <x v="2"/>
    <n v="941"/>
    <x v="1415"/>
    <x v="0"/>
    <s v="CM"/>
    <s v="N"/>
    <x v="427"/>
    <x v="41"/>
    <x v="882"/>
    <m/>
    <x v="14"/>
    <m/>
    <x v="3"/>
    <x v="0"/>
    <x v="544"/>
    <d v="2013-11-03T00:00:00"/>
    <x v="13"/>
    <x v="0"/>
    <m/>
    <m/>
    <x v="0"/>
    <x v="3"/>
    <m/>
    <x v="0"/>
    <x v="0"/>
    <x v="1425"/>
    <x v="3"/>
    <x v="0"/>
    <x v="1"/>
    <x v="544"/>
    <x v="5965"/>
  </r>
  <r>
    <x v="2"/>
    <n v="941"/>
    <x v="1415"/>
    <x v="0"/>
    <s v="CM"/>
    <s v="N"/>
    <x v="427"/>
    <x v="41"/>
    <x v="1050"/>
    <m/>
    <x v="462"/>
    <m/>
    <x v="15"/>
    <x v="0"/>
    <x v="711"/>
    <m/>
    <x v="9"/>
    <x v="0"/>
    <m/>
    <m/>
    <x v="559"/>
    <x v="2"/>
    <m/>
    <x v="1"/>
    <x v="0"/>
    <x v="1425"/>
    <x v="15"/>
    <x v="683"/>
    <x v="0"/>
    <x v="711"/>
    <x v="5966"/>
  </r>
  <r>
    <x v="2"/>
    <n v="1522"/>
    <x v="1416"/>
    <x v="0"/>
    <s v="LM"/>
    <s v="S"/>
    <x v="348"/>
    <x v="46"/>
    <x v="856"/>
    <m/>
    <x v="23"/>
    <m/>
    <x v="3"/>
    <x v="0"/>
    <x v="552"/>
    <d v="2013-03-06T00:00:00"/>
    <x v="19"/>
    <x v="0"/>
    <m/>
    <m/>
    <x v="0"/>
    <x v="1"/>
    <s v="Universidade Lusófona do Porto"/>
    <x v="0"/>
    <x v="5"/>
    <x v="1426"/>
    <x v="3"/>
    <x v="0"/>
    <x v="1"/>
    <x v="552"/>
    <x v="5967"/>
  </r>
  <r>
    <x v="2"/>
    <n v="1522"/>
    <x v="1416"/>
    <x v="0"/>
    <s v="LM"/>
    <s v="S"/>
    <x v="348"/>
    <x v="46"/>
    <x v="846"/>
    <m/>
    <x v="417"/>
    <m/>
    <x v="11"/>
    <x v="0"/>
    <x v="535"/>
    <d v="2013-08-03T00:00:00"/>
    <x v="25"/>
    <x v="0"/>
    <m/>
    <s v="Focus Portugal: Pedro Costa"/>
    <x v="0"/>
    <x v="0"/>
    <m/>
    <x v="0"/>
    <x v="5"/>
    <x v="1426"/>
    <x v="11"/>
    <x v="0"/>
    <x v="0"/>
    <x v="535"/>
    <x v="5968"/>
  </r>
  <r>
    <x v="2"/>
    <n v="942"/>
    <x v="1417"/>
    <x v="0"/>
    <s v="CM"/>
    <s v="N"/>
    <x v="932"/>
    <x v="3"/>
    <x v="316"/>
    <m/>
    <x v="11"/>
    <m/>
    <x v="3"/>
    <x v="0"/>
    <x v="500"/>
    <d v="2013-08-31T00:00:00"/>
    <x v="16"/>
    <x v="1"/>
    <s v="Ficção"/>
    <m/>
    <x v="0"/>
    <x v="0"/>
    <m/>
    <x v="0"/>
    <x v="0"/>
    <x v="1427"/>
    <x v="3"/>
    <x v="0"/>
    <x v="1"/>
    <x v="500"/>
    <x v="5969"/>
  </r>
  <r>
    <x v="2"/>
    <n v="943"/>
    <x v="650"/>
    <x v="2"/>
    <s v="CM"/>
    <s v="S"/>
    <x v="11"/>
    <x v="18"/>
    <x v="839"/>
    <m/>
    <x v="82"/>
    <m/>
    <x v="21"/>
    <x v="0"/>
    <x v="521"/>
    <d v="2013-07-07T00:00:00"/>
    <x v="17"/>
    <x v="0"/>
    <m/>
    <s v="Nós"/>
    <x v="0"/>
    <x v="1"/>
    <m/>
    <x v="0"/>
    <x v="4"/>
    <x v="652"/>
    <x v="21"/>
    <x v="0"/>
    <x v="0"/>
    <x v="521"/>
    <x v="5970"/>
  </r>
  <r>
    <x v="2"/>
    <n v="2093"/>
    <x v="1986"/>
    <x v="1"/>
    <s v="LM"/>
    <s v="N"/>
    <x v="1094"/>
    <x v="41"/>
    <x v="904"/>
    <m/>
    <x v="99"/>
    <m/>
    <x v="3"/>
    <x v="0"/>
    <x v="605"/>
    <d v="2013-07-05T00:00:00"/>
    <x v="8"/>
    <x v="0"/>
    <m/>
    <m/>
    <x v="0"/>
    <x v="1"/>
    <m/>
    <x v="0"/>
    <x v="1"/>
    <x v="2009"/>
    <x v="3"/>
    <x v="0"/>
    <x v="1"/>
    <x v="605"/>
    <x v="5971"/>
  </r>
  <r>
    <x v="2"/>
    <n v="946"/>
    <x v="1419"/>
    <x v="1"/>
    <s v="CM"/>
    <s v="S"/>
    <x v="615"/>
    <x v="41"/>
    <x v="519"/>
    <m/>
    <x v="24"/>
    <m/>
    <x v="3"/>
    <x v="0"/>
    <x v="504"/>
    <d v="2013-05-11T00:00:00"/>
    <x v="6"/>
    <x v="0"/>
    <m/>
    <m/>
    <x v="0"/>
    <x v="1"/>
    <m/>
    <x v="0"/>
    <x v="2"/>
    <x v="1429"/>
    <x v="3"/>
    <x v="0"/>
    <x v="1"/>
    <x v="504"/>
    <x v="5972"/>
  </r>
  <r>
    <x v="2"/>
    <n v="946"/>
    <x v="1419"/>
    <x v="1"/>
    <s v="CM"/>
    <s v="S"/>
    <x v="615"/>
    <x v="41"/>
    <x v="371"/>
    <m/>
    <x v="0"/>
    <m/>
    <x v="0"/>
    <x v="0"/>
    <x v="575"/>
    <d v="2013-07-28T00:00:00"/>
    <x v="8"/>
    <x v="0"/>
    <m/>
    <s v="Foco Portugal"/>
    <x v="0"/>
    <x v="0"/>
    <m/>
    <x v="0"/>
    <x v="2"/>
    <x v="1429"/>
    <x v="0"/>
    <x v="0"/>
    <x v="0"/>
    <x v="575"/>
    <x v="5973"/>
  </r>
  <r>
    <x v="2"/>
    <n v="948"/>
    <x v="1420"/>
    <x v="2"/>
    <s v="CM"/>
    <s v="S"/>
    <x v="934"/>
    <x v="41"/>
    <x v="26"/>
    <m/>
    <x v="24"/>
    <m/>
    <x v="3"/>
    <x v="0"/>
    <x v="571"/>
    <d v="2013-03-17T00:00:00"/>
    <x v="2"/>
    <x v="1"/>
    <s v="Competição SPAutores/Vasco Granja"/>
    <m/>
    <x v="0"/>
    <x v="0"/>
    <m/>
    <x v="0"/>
    <x v="4"/>
    <x v="1430"/>
    <x v="3"/>
    <x v="0"/>
    <x v="1"/>
    <x v="571"/>
    <x v="5974"/>
  </r>
  <r>
    <x v="2"/>
    <n v="948"/>
    <x v="1420"/>
    <x v="2"/>
    <s v="CM"/>
    <s v="S"/>
    <x v="934"/>
    <x v="41"/>
    <x v="146"/>
    <m/>
    <x v="24"/>
    <m/>
    <x v="3"/>
    <x v="0"/>
    <x v="537"/>
    <d v="2013-04-28T00:00:00"/>
    <x v="5"/>
    <x v="1"/>
    <s v="Novíssimos - Animação"/>
    <m/>
    <x v="560"/>
    <x v="0"/>
    <m/>
    <x v="1"/>
    <x v="4"/>
    <x v="1430"/>
    <x v="3"/>
    <x v="684"/>
    <x v="1"/>
    <x v="537"/>
    <x v="5975"/>
  </r>
  <r>
    <x v="2"/>
    <n v="948"/>
    <x v="1420"/>
    <x v="2"/>
    <s v="CM"/>
    <s v="S"/>
    <x v="934"/>
    <x v="41"/>
    <x v="973"/>
    <m/>
    <x v="440"/>
    <m/>
    <x v="51"/>
    <x v="0"/>
    <x v="612"/>
    <d v="2013-04-28T00:00:00"/>
    <x v="5"/>
    <x v="1"/>
    <s v="International Competition II"/>
    <m/>
    <x v="0"/>
    <x v="0"/>
    <m/>
    <x v="0"/>
    <x v="4"/>
    <x v="1430"/>
    <x v="51"/>
    <x v="0"/>
    <x v="0"/>
    <x v="612"/>
    <x v="5976"/>
  </r>
  <r>
    <x v="2"/>
    <n v="948"/>
    <x v="1420"/>
    <x v="2"/>
    <s v="CM"/>
    <s v="S"/>
    <x v="934"/>
    <x v="41"/>
    <x v="726"/>
    <m/>
    <x v="208"/>
    <m/>
    <x v="1"/>
    <x v="0"/>
    <x v="654"/>
    <d v="2013-06-16T00:00:00"/>
    <x v="7"/>
    <x v="1"/>
    <s v="Concurso Ibero-Americano - Programa I"/>
    <m/>
    <x v="0"/>
    <x v="0"/>
    <m/>
    <x v="0"/>
    <x v="4"/>
    <x v="1430"/>
    <x v="1"/>
    <x v="0"/>
    <x v="0"/>
    <x v="654"/>
    <x v="5977"/>
  </r>
  <r>
    <x v="2"/>
    <n v="948"/>
    <x v="1420"/>
    <x v="2"/>
    <s v="CM"/>
    <s v="S"/>
    <x v="934"/>
    <x v="41"/>
    <x v="220"/>
    <m/>
    <x v="154"/>
    <m/>
    <x v="0"/>
    <x v="0"/>
    <x v="566"/>
    <d v="2013-08-18T00:00:00"/>
    <x v="16"/>
    <x v="0"/>
    <m/>
    <s v="Panorama Internacional "/>
    <x v="0"/>
    <x v="0"/>
    <m/>
    <x v="0"/>
    <x v="4"/>
    <x v="1430"/>
    <x v="0"/>
    <x v="0"/>
    <x v="0"/>
    <x v="566"/>
    <x v="5978"/>
  </r>
  <r>
    <x v="2"/>
    <n v="948"/>
    <x v="1420"/>
    <x v="2"/>
    <s v="CM"/>
    <s v="S"/>
    <x v="934"/>
    <x v="41"/>
    <x v="512"/>
    <m/>
    <x v="307"/>
    <m/>
    <x v="1"/>
    <x v="0"/>
    <x v="519"/>
    <d v="2013-11-17T00:00:00"/>
    <x v="13"/>
    <x v="1"/>
    <s v="Internacional 20"/>
    <m/>
    <x v="0"/>
    <x v="0"/>
    <m/>
    <x v="0"/>
    <x v="4"/>
    <x v="1430"/>
    <x v="1"/>
    <x v="0"/>
    <x v="0"/>
    <x v="519"/>
    <x v="5979"/>
  </r>
  <r>
    <x v="2"/>
    <n v="948"/>
    <x v="1420"/>
    <x v="2"/>
    <s v="CM"/>
    <s v="S"/>
    <x v="934"/>
    <x v="41"/>
    <x v="352"/>
    <m/>
    <x v="147"/>
    <m/>
    <x v="1"/>
    <x v="0"/>
    <x v="699"/>
    <d v="2013-11-22T00:00:00"/>
    <x v="13"/>
    <x v="1"/>
    <s v="Sección Oficial/Concurso Internacional"/>
    <m/>
    <x v="561"/>
    <x v="0"/>
    <m/>
    <x v="1"/>
    <x v="4"/>
    <x v="1430"/>
    <x v="1"/>
    <x v="685"/>
    <x v="0"/>
    <x v="699"/>
    <x v="5980"/>
  </r>
  <r>
    <x v="2"/>
    <n v="948"/>
    <x v="1420"/>
    <x v="2"/>
    <s v="CM"/>
    <s v="S"/>
    <x v="934"/>
    <x v="41"/>
    <x v="245"/>
    <m/>
    <x v="172"/>
    <m/>
    <x v="49"/>
    <x v="0"/>
    <x v="546"/>
    <d v="2013-12-01T00:00:00"/>
    <x v="11"/>
    <x v="1"/>
    <s v="Competition Programme II"/>
    <m/>
    <x v="0"/>
    <x v="0"/>
    <m/>
    <x v="0"/>
    <x v="4"/>
    <x v="1430"/>
    <x v="49"/>
    <x v="0"/>
    <x v="0"/>
    <x v="546"/>
    <x v="5981"/>
  </r>
  <r>
    <x v="2"/>
    <n v="949"/>
    <x v="653"/>
    <x v="1"/>
    <s v="LM"/>
    <s v="S"/>
    <x v="25"/>
    <x v="13"/>
    <x v="906"/>
    <m/>
    <x v="348"/>
    <m/>
    <x v="3"/>
    <x v="0"/>
    <x v="592"/>
    <d v="2013-06-23T00:00:00"/>
    <x v="7"/>
    <x v="0"/>
    <m/>
    <m/>
    <x v="0"/>
    <x v="0"/>
    <m/>
    <x v="0"/>
    <x v="1"/>
    <x v="655"/>
    <x v="3"/>
    <x v="0"/>
    <x v="1"/>
    <x v="592"/>
    <x v="5982"/>
  </r>
  <r>
    <x v="2"/>
    <n v="1598"/>
    <x v="1423"/>
    <x v="0"/>
    <s v="CM"/>
    <s v="N"/>
    <x v="600"/>
    <x v="41"/>
    <x v="62"/>
    <m/>
    <x v="23"/>
    <m/>
    <x v="3"/>
    <x v="0"/>
    <x v="503"/>
    <d v="2013-03-10T00:00:00"/>
    <x v="19"/>
    <x v="1"/>
    <s v="Prémio de Cinema Português - Escolas de Cinema"/>
    <m/>
    <x v="0"/>
    <x v="0"/>
    <s v="Escola Artística de Soares dos Reis"/>
    <x v="0"/>
    <x v="0"/>
    <x v="1433"/>
    <x v="3"/>
    <x v="0"/>
    <x v="1"/>
    <x v="503"/>
    <x v="5983"/>
  </r>
  <r>
    <x v="2"/>
    <n v="1384"/>
    <x v="1425"/>
    <x v="1"/>
    <s v="CM"/>
    <s v="N"/>
    <x v="937"/>
    <x v="41"/>
    <x v="1051"/>
    <m/>
    <x v="23"/>
    <m/>
    <x v="3"/>
    <x v="0"/>
    <x v="693"/>
    <m/>
    <x v="6"/>
    <x v="1"/>
    <m/>
    <m/>
    <x v="0"/>
    <x v="1"/>
    <m/>
    <x v="0"/>
    <x v="2"/>
    <x v="1435"/>
    <x v="3"/>
    <x v="0"/>
    <x v="1"/>
    <x v="693"/>
    <x v="5984"/>
  </r>
  <r>
    <x v="2"/>
    <n v="954"/>
    <x v="657"/>
    <x v="0"/>
    <s v="CM"/>
    <s v="N"/>
    <x v="45"/>
    <x v="2"/>
    <x v="843"/>
    <m/>
    <x v="253"/>
    <m/>
    <x v="0"/>
    <x v="0"/>
    <x v="532"/>
    <d v="2013-05-26T00:00:00"/>
    <x v="6"/>
    <x v="0"/>
    <m/>
    <m/>
    <x v="0"/>
    <x v="1"/>
    <m/>
    <x v="0"/>
    <x v="0"/>
    <x v="659"/>
    <x v="0"/>
    <x v="0"/>
    <x v="0"/>
    <x v="532"/>
    <x v="5985"/>
  </r>
  <r>
    <x v="2"/>
    <n v="954"/>
    <x v="657"/>
    <x v="0"/>
    <s v="CM"/>
    <s v="N"/>
    <x v="45"/>
    <x v="2"/>
    <x v="844"/>
    <m/>
    <x v="0"/>
    <m/>
    <x v="0"/>
    <x v="0"/>
    <x v="533"/>
    <d v="2013-06-06T00:00:00"/>
    <x v="22"/>
    <x v="0"/>
    <m/>
    <m/>
    <x v="0"/>
    <x v="1"/>
    <m/>
    <x v="0"/>
    <x v="0"/>
    <x v="659"/>
    <x v="0"/>
    <x v="0"/>
    <x v="0"/>
    <x v="533"/>
    <x v="5986"/>
  </r>
  <r>
    <x v="2"/>
    <n v="1841"/>
    <x v="1987"/>
    <x v="5"/>
    <s v="CM"/>
    <s v="N"/>
    <x v="531"/>
    <x v="52"/>
    <x v="943"/>
    <m/>
    <x v="24"/>
    <m/>
    <x v="3"/>
    <x v="0"/>
    <x v="642"/>
    <m/>
    <x v="7"/>
    <x v="0"/>
    <m/>
    <m/>
    <x v="0"/>
    <x v="1"/>
    <m/>
    <x v="0"/>
    <x v="15"/>
    <x v="2010"/>
    <x v="3"/>
    <x v="0"/>
    <x v="1"/>
    <x v="642"/>
    <x v="5987"/>
  </r>
  <r>
    <x v="2"/>
    <n v="2026"/>
    <x v="1988"/>
    <x v="1"/>
    <s v="CM"/>
    <s v="N"/>
    <x v="1274"/>
    <x v="1"/>
    <x v="826"/>
    <m/>
    <x v="24"/>
    <m/>
    <x v="3"/>
    <x v="0"/>
    <x v="505"/>
    <d v="2013-09-29T00:00:00"/>
    <x v="9"/>
    <x v="1"/>
    <m/>
    <m/>
    <x v="0"/>
    <x v="0"/>
    <m/>
    <x v="0"/>
    <x v="2"/>
    <x v="2011"/>
    <x v="3"/>
    <x v="0"/>
    <x v="1"/>
    <x v="505"/>
    <x v="5988"/>
  </r>
  <r>
    <x v="2"/>
    <n v="2025"/>
    <x v="1989"/>
    <x v="0"/>
    <s v="CM"/>
    <s v="N"/>
    <x v="1275"/>
    <x v="52"/>
    <x v="826"/>
    <m/>
    <x v="24"/>
    <m/>
    <x v="3"/>
    <x v="0"/>
    <x v="505"/>
    <d v="2013-09-29T00:00:00"/>
    <x v="9"/>
    <x v="1"/>
    <m/>
    <m/>
    <x v="562"/>
    <x v="0"/>
    <m/>
    <x v="1"/>
    <x v="0"/>
    <x v="2012"/>
    <x v="3"/>
    <x v="686"/>
    <x v="1"/>
    <x v="505"/>
    <x v="5989"/>
  </r>
  <r>
    <x v="2"/>
    <n v="957"/>
    <x v="1430"/>
    <x v="0"/>
    <s v="CM"/>
    <s v="N"/>
    <x v="940"/>
    <x v="1"/>
    <x v="854"/>
    <m/>
    <x v="24"/>
    <m/>
    <x v="3"/>
    <x v="0"/>
    <x v="550"/>
    <d v="2013-03-27T00:00:00"/>
    <x v="2"/>
    <x v="0"/>
    <m/>
    <m/>
    <x v="0"/>
    <x v="1"/>
    <m/>
    <x v="0"/>
    <x v="0"/>
    <x v="1440"/>
    <x v="3"/>
    <x v="0"/>
    <x v="1"/>
    <x v="550"/>
    <x v="5990"/>
  </r>
  <r>
    <x v="2"/>
    <n v="1964"/>
    <x v="1990"/>
    <x v="0"/>
    <s v="CM"/>
    <s v="N"/>
    <x v="1276"/>
    <x v="52"/>
    <x v="316"/>
    <m/>
    <x v="11"/>
    <m/>
    <x v="3"/>
    <x v="0"/>
    <x v="500"/>
    <d v="2013-08-31T00:00:00"/>
    <x v="16"/>
    <x v="1"/>
    <s v="Ficção"/>
    <m/>
    <x v="0"/>
    <x v="0"/>
    <m/>
    <x v="0"/>
    <x v="0"/>
    <x v="2013"/>
    <x v="3"/>
    <x v="0"/>
    <x v="1"/>
    <x v="500"/>
    <x v="5991"/>
  </r>
  <r>
    <x v="2"/>
    <n v="1852"/>
    <x v="1991"/>
    <x v="1"/>
    <s v="CM"/>
    <s v="N"/>
    <x v="1277"/>
    <x v="1"/>
    <x v="854"/>
    <m/>
    <x v="24"/>
    <m/>
    <x v="3"/>
    <x v="0"/>
    <x v="550"/>
    <d v="2013-03-27T00:00:00"/>
    <x v="2"/>
    <x v="0"/>
    <m/>
    <m/>
    <x v="0"/>
    <x v="1"/>
    <m/>
    <x v="0"/>
    <x v="2"/>
    <x v="2014"/>
    <x v="3"/>
    <x v="0"/>
    <x v="1"/>
    <x v="550"/>
    <x v="5992"/>
  </r>
  <r>
    <x v="2"/>
    <n v="1394"/>
    <x v="1438"/>
    <x v="0"/>
    <s v="CM"/>
    <s v=""/>
    <x v="461"/>
    <x v="42"/>
    <x v="870"/>
    <m/>
    <x v="59"/>
    <m/>
    <x v="3"/>
    <x v="0"/>
    <x v="568"/>
    <d v="2013-10-13T00:00:00"/>
    <x v="14"/>
    <x v="0"/>
    <m/>
    <s v="Sessão de Abertura - Mostra Retrospectiva de curtas-metragens de João César Monteiro"/>
    <x v="0"/>
    <x v="0"/>
    <m/>
    <x v="0"/>
    <x v="0"/>
    <x v="1448"/>
    <x v="3"/>
    <x v="0"/>
    <x v="1"/>
    <x v="568"/>
    <x v="5993"/>
  </r>
  <r>
    <x v="2"/>
    <n v="1948"/>
    <x v="1992"/>
    <x v="1"/>
    <s v="CM"/>
    <s v="N"/>
    <x v="1136"/>
    <x v="2"/>
    <x v="316"/>
    <m/>
    <x v="11"/>
    <m/>
    <x v="3"/>
    <x v="0"/>
    <x v="500"/>
    <d v="2013-08-31T00:00:00"/>
    <x v="16"/>
    <x v="1"/>
    <s v="Documentário"/>
    <m/>
    <x v="0"/>
    <x v="0"/>
    <m/>
    <x v="0"/>
    <x v="2"/>
    <x v="2015"/>
    <x v="3"/>
    <x v="0"/>
    <x v="1"/>
    <x v="500"/>
    <x v="5994"/>
  </r>
  <r>
    <x v="2"/>
    <n v="1710"/>
    <x v="1993"/>
    <x v="0"/>
    <s v="CM"/>
    <s v="N"/>
    <x v="1278"/>
    <x v="1"/>
    <x v="831"/>
    <m/>
    <x v="348"/>
    <m/>
    <x v="3"/>
    <x v="0"/>
    <x v="511"/>
    <m/>
    <x v="2"/>
    <x v="1"/>
    <s v="Curta-metragem de ficção"/>
    <m/>
    <x v="563"/>
    <x v="0"/>
    <m/>
    <x v="1"/>
    <x v="0"/>
    <x v="2016"/>
    <x v="3"/>
    <x v="687"/>
    <x v="1"/>
    <x v="511"/>
    <x v="5995"/>
  </r>
  <r>
    <x v="2"/>
    <n v="973"/>
    <x v="1443"/>
    <x v="1"/>
    <s v="CM"/>
    <s v="N"/>
    <x v="949"/>
    <x v="41"/>
    <x v="519"/>
    <m/>
    <x v="24"/>
    <m/>
    <x v="3"/>
    <x v="0"/>
    <x v="504"/>
    <d v="2013-05-11T00:00:00"/>
    <x v="6"/>
    <x v="0"/>
    <m/>
    <m/>
    <x v="0"/>
    <x v="1"/>
    <m/>
    <x v="0"/>
    <x v="2"/>
    <x v="1453"/>
    <x v="3"/>
    <x v="0"/>
    <x v="1"/>
    <x v="504"/>
    <x v="5996"/>
  </r>
  <r>
    <x v="2"/>
    <n v="2041"/>
    <x v="1994"/>
    <x v="0"/>
    <s v="LM"/>
    <s v="N"/>
    <x v="238"/>
    <x v="41"/>
    <x v="985"/>
    <m/>
    <x v="126"/>
    <m/>
    <x v="37"/>
    <x v="0"/>
    <x v="528"/>
    <d v="2013-10-24T00:00:00"/>
    <x v="14"/>
    <x v="1"/>
    <s v="Largometraje Competencia"/>
    <m/>
    <x v="0"/>
    <x v="0"/>
    <m/>
    <x v="0"/>
    <x v="5"/>
    <x v="2017"/>
    <x v="37"/>
    <x v="0"/>
    <x v="0"/>
    <x v="528"/>
    <x v="5997"/>
  </r>
  <r>
    <x v="2"/>
    <n v="2017"/>
    <x v="1995"/>
    <x v="3"/>
    <s v="CM"/>
    <s v="N"/>
    <x v="1279"/>
    <x v="52"/>
    <x v="24"/>
    <m/>
    <x v="24"/>
    <m/>
    <x v="3"/>
    <x v="0"/>
    <x v="604"/>
    <d v="2013-09-28T00:00:00"/>
    <x v="9"/>
    <x v="1"/>
    <s v="Competição para a Melhor Curta Metragem"/>
    <m/>
    <x v="564"/>
    <x v="0"/>
    <m/>
    <x v="1"/>
    <x v="6"/>
    <x v="2018"/>
    <x v="3"/>
    <x v="688"/>
    <x v="1"/>
    <x v="604"/>
    <x v="5998"/>
  </r>
  <r>
    <x v="2"/>
    <n v="2126"/>
    <x v="1996"/>
    <x v="0"/>
    <s v="CM"/>
    <s v="N"/>
    <x v="1280"/>
    <x v="2"/>
    <x v="907"/>
    <m/>
    <x v="24"/>
    <m/>
    <x v="3"/>
    <x v="0"/>
    <x v="606"/>
    <d v="2013-12-15T00:00:00"/>
    <x v="12"/>
    <x v="1"/>
    <s v="Categoria Fundação INATEL"/>
    <m/>
    <x v="375"/>
    <x v="2"/>
    <m/>
    <x v="1"/>
    <x v="0"/>
    <x v="2019"/>
    <x v="3"/>
    <x v="689"/>
    <x v="1"/>
    <x v="606"/>
    <x v="5999"/>
  </r>
  <r>
    <x v="2"/>
    <n v="1878"/>
    <x v="1997"/>
    <x v="1"/>
    <s v="CM"/>
    <s v="N"/>
    <x v="574"/>
    <x v="41"/>
    <x v="519"/>
    <m/>
    <x v="24"/>
    <m/>
    <x v="3"/>
    <x v="0"/>
    <x v="504"/>
    <d v="2013-05-11T00:00:00"/>
    <x v="6"/>
    <x v="0"/>
    <m/>
    <m/>
    <x v="0"/>
    <x v="1"/>
    <m/>
    <x v="0"/>
    <x v="2"/>
    <x v="2020"/>
    <x v="3"/>
    <x v="0"/>
    <x v="1"/>
    <x v="504"/>
    <x v="6000"/>
  </r>
  <r>
    <x v="2"/>
    <n v="2121"/>
    <x v="1998"/>
    <x v="0"/>
    <s v="CM"/>
    <s v="N"/>
    <x v="1281"/>
    <x v="2"/>
    <x v="969"/>
    <m/>
    <x v="40"/>
    <m/>
    <x v="3"/>
    <x v="0"/>
    <x v="659"/>
    <m/>
    <x v="12"/>
    <x v="0"/>
    <m/>
    <m/>
    <x v="0"/>
    <x v="1"/>
    <m/>
    <x v="0"/>
    <x v="0"/>
    <x v="2021"/>
    <x v="3"/>
    <x v="0"/>
    <x v="1"/>
    <x v="659"/>
    <x v="6001"/>
  </r>
  <r>
    <x v="2"/>
    <n v="1776"/>
    <x v="1999"/>
    <x v="0"/>
    <s v="CM"/>
    <s v="N"/>
    <x v="1282"/>
    <x v="52"/>
    <x v="64"/>
    <m/>
    <x v="23"/>
    <m/>
    <x v="3"/>
    <x v="0"/>
    <x v="536"/>
    <d v="2013-05-18T00:00:00"/>
    <x v="6"/>
    <x v="1"/>
    <m/>
    <m/>
    <x v="110"/>
    <x v="1"/>
    <s v="ESAP"/>
    <x v="1"/>
    <x v="0"/>
    <x v="2022"/>
    <x v="3"/>
    <x v="152"/>
    <x v="1"/>
    <x v="536"/>
    <x v="6002"/>
  </r>
  <r>
    <x v="2"/>
    <n v="1776"/>
    <x v="1999"/>
    <x v="0"/>
    <s v="CM"/>
    <s v="N"/>
    <x v="1282"/>
    <x v="52"/>
    <x v="767"/>
    <m/>
    <x v="65"/>
    <m/>
    <x v="9"/>
    <x v="0"/>
    <x v="542"/>
    <d v="2013-09-08T00:00:00"/>
    <x v="9"/>
    <x v="0"/>
    <m/>
    <m/>
    <x v="0"/>
    <x v="0"/>
    <m/>
    <x v="0"/>
    <x v="0"/>
    <x v="2022"/>
    <x v="9"/>
    <x v="0"/>
    <x v="0"/>
    <x v="542"/>
    <x v="6003"/>
  </r>
  <r>
    <x v="2"/>
    <n v="988"/>
    <x v="1452"/>
    <x v="0"/>
    <s v="CM"/>
    <s v="N"/>
    <x v="955"/>
    <x v="41"/>
    <x v="827"/>
    <m/>
    <x v="24"/>
    <m/>
    <x v="3"/>
    <x v="0"/>
    <x v="521"/>
    <m/>
    <x v="7"/>
    <x v="1"/>
    <m/>
    <m/>
    <x v="0"/>
    <x v="0"/>
    <m/>
    <x v="0"/>
    <x v="0"/>
    <x v="1462"/>
    <x v="3"/>
    <x v="0"/>
    <x v="1"/>
    <x v="521"/>
    <x v="6004"/>
  </r>
  <r>
    <x v="2"/>
    <n v="990"/>
    <x v="678"/>
    <x v="0"/>
    <s v="CM"/>
    <s v="N"/>
    <x v="486"/>
    <x v="3"/>
    <x v="58"/>
    <m/>
    <x v="47"/>
    <m/>
    <x v="3"/>
    <x v="0"/>
    <x v="542"/>
    <d v="2013-09-08T00:00:00"/>
    <x v="9"/>
    <x v="0"/>
    <m/>
    <s v="Shortcutz Lisboa"/>
    <x v="0"/>
    <x v="1"/>
    <m/>
    <x v="0"/>
    <x v="0"/>
    <x v="680"/>
    <x v="3"/>
    <x v="0"/>
    <x v="1"/>
    <x v="542"/>
    <x v="6005"/>
  </r>
  <r>
    <x v="2"/>
    <n v="886"/>
    <x v="1453"/>
    <x v="0"/>
    <s v="CM"/>
    <s v=""/>
    <x v="298"/>
    <x v="41"/>
    <x v="1052"/>
    <m/>
    <x v="20"/>
    <m/>
    <x v="5"/>
    <x v="0"/>
    <x v="550"/>
    <d v="2013-03-19T00:00:00"/>
    <x v="2"/>
    <x v="0"/>
    <m/>
    <m/>
    <x v="0"/>
    <x v="0"/>
    <m/>
    <x v="0"/>
    <x v="0"/>
    <x v="1463"/>
    <x v="5"/>
    <x v="0"/>
    <x v="0"/>
    <x v="550"/>
    <x v="6006"/>
  </r>
  <r>
    <x v="2"/>
    <n v="886"/>
    <x v="1453"/>
    <x v="0"/>
    <s v="CM"/>
    <s v=""/>
    <x v="298"/>
    <x v="41"/>
    <x v="70"/>
    <m/>
    <x v="38"/>
    <m/>
    <x v="3"/>
    <x v="0"/>
    <x v="510"/>
    <d v="2013-09-15T00:00:00"/>
    <x v="9"/>
    <x v="1"/>
    <s v="Sessão Competitiva 1"/>
    <m/>
    <x v="0"/>
    <x v="0"/>
    <m/>
    <x v="0"/>
    <x v="0"/>
    <x v="1463"/>
    <x v="3"/>
    <x v="0"/>
    <x v="1"/>
    <x v="510"/>
    <x v="6007"/>
  </r>
  <r>
    <x v="2"/>
    <n v="1867"/>
    <x v="2000"/>
    <x v="0"/>
    <s v="CM"/>
    <s v="N"/>
    <x v="1283"/>
    <x v="52"/>
    <x v="146"/>
    <m/>
    <x v="24"/>
    <m/>
    <x v="3"/>
    <x v="0"/>
    <x v="537"/>
    <d v="2013-04-28T00:00:00"/>
    <x v="5"/>
    <x v="1"/>
    <s v="Competição Nacional - Ficção"/>
    <s v="Cinema Emergente Curtas"/>
    <x v="0"/>
    <x v="0"/>
    <m/>
    <x v="0"/>
    <x v="0"/>
    <x v="2023"/>
    <x v="3"/>
    <x v="0"/>
    <x v="1"/>
    <x v="537"/>
    <x v="6008"/>
  </r>
  <r>
    <x v="2"/>
    <n v="1678"/>
    <x v="2001"/>
    <x v="0"/>
    <s v="CM"/>
    <s v="N"/>
    <x v="1284"/>
    <x v="3"/>
    <x v="62"/>
    <m/>
    <x v="23"/>
    <m/>
    <x v="3"/>
    <x v="0"/>
    <x v="503"/>
    <d v="2013-03-10T00:00:00"/>
    <x v="19"/>
    <x v="1"/>
    <s v="Prémio de Cinema Português - Melhor Filme"/>
    <m/>
    <x v="0"/>
    <x v="0"/>
    <m/>
    <x v="0"/>
    <x v="0"/>
    <x v="2024"/>
    <x v="3"/>
    <x v="0"/>
    <x v="1"/>
    <x v="503"/>
    <x v="6009"/>
  </r>
  <r>
    <x v="2"/>
    <n v="1781"/>
    <x v="2002"/>
    <x v="0"/>
    <s v="CM"/>
    <s v="S"/>
    <x v="1285"/>
    <x v="41"/>
    <x v="34"/>
    <m/>
    <x v="32"/>
    <m/>
    <x v="3"/>
    <x v="0"/>
    <x v="525"/>
    <d v="2013-05-12T00:00:00"/>
    <x v="6"/>
    <x v="1"/>
    <s v="Ficção"/>
    <m/>
    <x v="0"/>
    <x v="0"/>
    <m/>
    <x v="0"/>
    <x v="0"/>
    <x v="2025"/>
    <x v="3"/>
    <x v="0"/>
    <x v="1"/>
    <x v="525"/>
    <x v="6010"/>
  </r>
  <r>
    <x v="2"/>
    <n v="1781"/>
    <x v="2002"/>
    <x v="0"/>
    <s v="CM"/>
    <s v="S"/>
    <x v="1285"/>
    <x v="41"/>
    <x v="827"/>
    <m/>
    <x v="24"/>
    <m/>
    <x v="3"/>
    <x v="0"/>
    <x v="632"/>
    <m/>
    <x v="8"/>
    <x v="1"/>
    <m/>
    <m/>
    <x v="0"/>
    <x v="0"/>
    <m/>
    <x v="0"/>
    <x v="0"/>
    <x v="2025"/>
    <x v="3"/>
    <x v="0"/>
    <x v="1"/>
    <x v="632"/>
    <x v="6011"/>
  </r>
  <r>
    <x v="2"/>
    <n v="1781"/>
    <x v="2002"/>
    <x v="0"/>
    <s v="CM"/>
    <s v="S"/>
    <x v="1285"/>
    <x v="41"/>
    <x v="316"/>
    <m/>
    <x v="11"/>
    <m/>
    <x v="3"/>
    <x v="0"/>
    <x v="500"/>
    <d v="2013-08-31T00:00:00"/>
    <x v="16"/>
    <x v="1"/>
    <s v="Ficção"/>
    <m/>
    <x v="565"/>
    <x v="0"/>
    <m/>
    <x v="1"/>
    <x v="0"/>
    <x v="2025"/>
    <x v="3"/>
    <x v="690"/>
    <x v="1"/>
    <x v="500"/>
    <x v="6012"/>
  </r>
  <r>
    <x v="2"/>
    <n v="1781"/>
    <x v="2002"/>
    <x v="0"/>
    <s v="CM"/>
    <s v="S"/>
    <x v="1285"/>
    <x v="41"/>
    <x v="1053"/>
    <m/>
    <x v="463"/>
    <m/>
    <x v="10"/>
    <x v="0"/>
    <x v="712"/>
    <d v="2013-09-22T00:00:00"/>
    <x v="9"/>
    <x v="1"/>
    <s v="International Competition"/>
    <m/>
    <x v="0"/>
    <x v="0"/>
    <m/>
    <x v="0"/>
    <x v="0"/>
    <x v="2025"/>
    <x v="10"/>
    <x v="0"/>
    <x v="0"/>
    <x v="712"/>
    <x v="6013"/>
  </r>
  <r>
    <x v="2"/>
    <n v="991"/>
    <x v="680"/>
    <x v="1"/>
    <s v="CM"/>
    <s v="N"/>
    <x v="488"/>
    <x v="18"/>
    <x v="1054"/>
    <m/>
    <x v="23"/>
    <m/>
    <x v="3"/>
    <x v="0"/>
    <x v="713"/>
    <d v="2013-04-28T00:00:00"/>
    <x v="31"/>
    <x v="0"/>
    <m/>
    <m/>
    <x v="0"/>
    <x v="1"/>
    <m/>
    <x v="0"/>
    <x v="2"/>
    <x v="682"/>
    <x v="3"/>
    <x v="0"/>
    <x v="1"/>
    <x v="713"/>
    <x v="6014"/>
  </r>
  <r>
    <x v="2"/>
    <n v="1662"/>
    <x v="2003"/>
    <x v="0"/>
    <s v="CM"/>
    <s v="N"/>
    <x v="1260"/>
    <x v="3"/>
    <x v="1055"/>
    <m/>
    <x v="24"/>
    <m/>
    <x v="3"/>
    <x v="0"/>
    <x v="714"/>
    <m/>
    <x v="1"/>
    <x v="1"/>
    <m/>
    <m/>
    <x v="0"/>
    <x v="1"/>
    <m/>
    <x v="0"/>
    <x v="0"/>
    <x v="2026"/>
    <x v="3"/>
    <x v="0"/>
    <x v="1"/>
    <x v="714"/>
    <x v="6015"/>
  </r>
  <r>
    <x v="2"/>
    <n v="993"/>
    <x v="682"/>
    <x v="0"/>
    <s v="LM"/>
    <s v="S"/>
    <x v="490"/>
    <x v="3"/>
    <x v="432"/>
    <m/>
    <x v="39"/>
    <m/>
    <x v="3"/>
    <x v="0"/>
    <x v="582"/>
    <d v="2013-04-20T00:00:00"/>
    <x v="5"/>
    <x v="1"/>
    <s v="Competição Nacional - Sessão 1"/>
    <m/>
    <x v="0"/>
    <x v="0"/>
    <m/>
    <x v="0"/>
    <x v="5"/>
    <x v="684"/>
    <x v="3"/>
    <x v="0"/>
    <x v="1"/>
    <x v="582"/>
    <x v="6016"/>
  </r>
  <r>
    <x v="2"/>
    <n v="993"/>
    <x v="682"/>
    <x v="0"/>
    <s v="LM"/>
    <s v="S"/>
    <x v="490"/>
    <x v="3"/>
    <x v="848"/>
    <m/>
    <x v="165"/>
    <m/>
    <x v="4"/>
    <x v="0"/>
    <x v="540"/>
    <d v="2013-09-01T00:00:00"/>
    <x v="20"/>
    <x v="0"/>
    <m/>
    <m/>
    <x v="0"/>
    <x v="1"/>
    <m/>
    <x v="0"/>
    <x v="5"/>
    <x v="684"/>
    <x v="4"/>
    <x v="0"/>
    <x v="0"/>
    <x v="540"/>
    <x v="6017"/>
  </r>
  <r>
    <x v="2"/>
    <n v="993"/>
    <x v="682"/>
    <x v="0"/>
    <s v="LM"/>
    <s v="S"/>
    <x v="490"/>
    <x v="3"/>
    <x v="830"/>
    <m/>
    <x v="412"/>
    <m/>
    <x v="0"/>
    <x v="0"/>
    <x v="509"/>
    <d v="2013-11-30T00:00:00"/>
    <x v="13"/>
    <x v="0"/>
    <m/>
    <s v="Mostra Cinema às Cinco"/>
    <x v="0"/>
    <x v="0"/>
    <m/>
    <x v="0"/>
    <x v="5"/>
    <x v="684"/>
    <x v="0"/>
    <x v="0"/>
    <x v="0"/>
    <x v="509"/>
    <x v="6018"/>
  </r>
  <r>
    <x v="2"/>
    <n v="993"/>
    <x v="682"/>
    <x v="0"/>
    <s v="LM"/>
    <s v="S"/>
    <x v="490"/>
    <x v="3"/>
    <x v="851"/>
    <m/>
    <x v="58"/>
    <m/>
    <x v="17"/>
    <x v="0"/>
    <x v="546"/>
    <d v="2013-12-05T00:00:00"/>
    <x v="11"/>
    <x v="0"/>
    <m/>
    <m/>
    <x v="0"/>
    <x v="0"/>
    <m/>
    <x v="0"/>
    <x v="5"/>
    <x v="684"/>
    <x v="17"/>
    <x v="0"/>
    <x v="0"/>
    <x v="546"/>
    <x v="6019"/>
  </r>
  <r>
    <x v="2"/>
    <n v="995"/>
    <x v="1455"/>
    <x v="1"/>
    <s v="CM"/>
    <s v="N"/>
    <x v="566"/>
    <x v="41"/>
    <x v="883"/>
    <m/>
    <x v="23"/>
    <m/>
    <x v="3"/>
    <x v="0"/>
    <x v="552"/>
    <m/>
    <x v="1"/>
    <x v="1"/>
    <m/>
    <m/>
    <x v="0"/>
    <x v="1"/>
    <m/>
    <x v="0"/>
    <x v="2"/>
    <x v="1465"/>
    <x v="3"/>
    <x v="0"/>
    <x v="1"/>
    <x v="552"/>
    <x v="6020"/>
  </r>
  <r>
    <x v="2"/>
    <n v="995"/>
    <x v="1455"/>
    <x v="1"/>
    <s v="CM"/>
    <s v="N"/>
    <x v="566"/>
    <x v="41"/>
    <x v="514"/>
    <m/>
    <x v="99"/>
    <m/>
    <x v="3"/>
    <x v="0"/>
    <x v="504"/>
    <d v="2013-05-11T00:00:00"/>
    <x v="6"/>
    <x v="1"/>
    <s v="Prémio Primeiro Olhar"/>
    <m/>
    <x v="566"/>
    <x v="0"/>
    <s v="Escola Superior de Tecnologia de Abrantes"/>
    <x v="1"/>
    <x v="2"/>
    <x v="1465"/>
    <x v="3"/>
    <x v="691"/>
    <x v="1"/>
    <x v="504"/>
    <x v="6021"/>
  </r>
  <r>
    <x v="2"/>
    <n v="995"/>
    <x v="1455"/>
    <x v="1"/>
    <s v="CM"/>
    <s v="N"/>
    <x v="566"/>
    <x v="41"/>
    <x v="192"/>
    <m/>
    <x v="140"/>
    <m/>
    <x v="3"/>
    <x v="0"/>
    <x v="334"/>
    <d v="2013-07-28T00:00:00"/>
    <x v="8"/>
    <x v="0"/>
    <m/>
    <s v="Panorama Cinema Português"/>
    <x v="0"/>
    <x v="0"/>
    <m/>
    <x v="0"/>
    <x v="2"/>
    <x v="1465"/>
    <x v="3"/>
    <x v="0"/>
    <x v="1"/>
    <x v="334"/>
    <x v="6022"/>
  </r>
  <r>
    <x v="2"/>
    <n v="995"/>
    <x v="1455"/>
    <x v="1"/>
    <s v="CM"/>
    <s v="N"/>
    <x v="566"/>
    <x v="41"/>
    <x v="977"/>
    <m/>
    <x v="32"/>
    <m/>
    <x v="3"/>
    <x v="0"/>
    <x v="541"/>
    <d v="2013-09-26T00:00:00"/>
    <x v="9"/>
    <x v="0"/>
    <m/>
    <m/>
    <x v="0"/>
    <x v="1"/>
    <s v="Clube de Cinema de Setúbal"/>
    <x v="0"/>
    <x v="2"/>
    <x v="1465"/>
    <x v="3"/>
    <x v="0"/>
    <x v="1"/>
    <x v="541"/>
    <x v="6023"/>
  </r>
  <r>
    <x v="2"/>
    <n v="1707"/>
    <x v="2004"/>
    <x v="0"/>
    <s v="CM"/>
    <s v="N"/>
    <x v="1286"/>
    <x v="41"/>
    <x v="62"/>
    <m/>
    <x v="23"/>
    <m/>
    <x v="3"/>
    <x v="0"/>
    <x v="503"/>
    <d v="2013-03-10T00:00:00"/>
    <x v="19"/>
    <x v="1"/>
    <s v="Prémio de Cinema Português - Escolas de Cinema"/>
    <m/>
    <x v="0"/>
    <x v="0"/>
    <s v="ESTC"/>
    <x v="0"/>
    <x v="0"/>
    <x v="2027"/>
    <x v="3"/>
    <x v="0"/>
    <x v="1"/>
    <x v="503"/>
    <x v="6024"/>
  </r>
  <r>
    <x v="2"/>
    <n v="1423"/>
    <x v="1459"/>
    <x v="0"/>
    <s v="CM"/>
    <s v="N"/>
    <x v="240"/>
    <x v="41"/>
    <x v="403"/>
    <m/>
    <x v="263"/>
    <m/>
    <x v="2"/>
    <x v="0"/>
    <x v="585"/>
    <d v="2013-04-07T00:00:00"/>
    <x v="5"/>
    <x v="1"/>
    <s v="Compétition Européenne"/>
    <m/>
    <x v="0"/>
    <x v="0"/>
    <m/>
    <x v="0"/>
    <x v="0"/>
    <x v="1469"/>
    <x v="2"/>
    <x v="0"/>
    <x v="0"/>
    <x v="585"/>
    <x v="6025"/>
  </r>
  <r>
    <x v="2"/>
    <n v="1423"/>
    <x v="1459"/>
    <x v="0"/>
    <s v="CM"/>
    <s v="N"/>
    <x v="240"/>
    <x v="41"/>
    <x v="857"/>
    <m/>
    <x v="419"/>
    <m/>
    <x v="34"/>
    <x v="0"/>
    <x v="554"/>
    <d v="2013-08-25T00:00:00"/>
    <x v="16"/>
    <x v="1"/>
    <s v="Courts métrages 1"/>
    <m/>
    <x v="0"/>
    <x v="0"/>
    <m/>
    <x v="0"/>
    <x v="0"/>
    <x v="1469"/>
    <x v="34"/>
    <x v="0"/>
    <x v="0"/>
    <x v="554"/>
    <x v="6026"/>
  </r>
  <r>
    <x v="2"/>
    <n v="937"/>
    <x v="1461"/>
    <x v="1"/>
    <s v="LM"/>
    <s v="N"/>
    <x v="959"/>
    <x v="41"/>
    <x v="1056"/>
    <m/>
    <x v="24"/>
    <m/>
    <x v="3"/>
    <x v="0"/>
    <x v="715"/>
    <m/>
    <x v="15"/>
    <x v="0"/>
    <m/>
    <m/>
    <x v="0"/>
    <x v="1"/>
    <m/>
    <x v="0"/>
    <x v="1"/>
    <x v="1471"/>
    <x v="3"/>
    <x v="0"/>
    <x v="1"/>
    <x v="715"/>
    <x v="6027"/>
  </r>
  <r>
    <x v="2"/>
    <n v="1285"/>
    <x v="1463"/>
    <x v="0"/>
    <s v="CM"/>
    <s v="N"/>
    <x v="960"/>
    <x v="3"/>
    <x v="1057"/>
    <m/>
    <x v="23"/>
    <m/>
    <x v="3"/>
    <x v="0"/>
    <x v="602"/>
    <m/>
    <x v="15"/>
    <x v="0"/>
    <m/>
    <s v="Curta Convidada, MIFEC - Mostra Internacional de Filmes de Escolas de Cinema"/>
    <x v="0"/>
    <x v="1"/>
    <m/>
    <x v="0"/>
    <x v="0"/>
    <x v="1473"/>
    <x v="3"/>
    <x v="0"/>
    <x v="1"/>
    <x v="602"/>
    <x v="6028"/>
  </r>
  <r>
    <x v="2"/>
    <n v="1285"/>
    <x v="1463"/>
    <x v="0"/>
    <s v="CM"/>
    <s v="N"/>
    <x v="960"/>
    <x v="3"/>
    <x v="828"/>
    <m/>
    <x v="410"/>
    <m/>
    <x v="48"/>
    <x v="0"/>
    <x v="507"/>
    <d v="2013-02-06T00:00:00"/>
    <x v="18"/>
    <x v="1"/>
    <s v="Short Film Section - Fiction"/>
    <m/>
    <x v="0"/>
    <x v="0"/>
    <m/>
    <x v="0"/>
    <x v="0"/>
    <x v="1473"/>
    <x v="48"/>
    <x v="0"/>
    <x v="0"/>
    <x v="507"/>
    <x v="6029"/>
  </r>
  <r>
    <x v="2"/>
    <n v="1285"/>
    <x v="1463"/>
    <x v="0"/>
    <s v="CM"/>
    <s v="N"/>
    <x v="960"/>
    <x v="3"/>
    <x v="62"/>
    <m/>
    <x v="23"/>
    <m/>
    <x v="3"/>
    <x v="0"/>
    <x v="503"/>
    <d v="2013-03-10T00:00:00"/>
    <x v="19"/>
    <x v="0"/>
    <m/>
    <s v="FANTAS em curtas: Cineclube de Avanca"/>
    <x v="0"/>
    <x v="0"/>
    <m/>
    <x v="0"/>
    <x v="0"/>
    <x v="1473"/>
    <x v="3"/>
    <x v="0"/>
    <x v="1"/>
    <x v="503"/>
    <x v="6030"/>
  </r>
  <r>
    <x v="2"/>
    <n v="1285"/>
    <x v="1463"/>
    <x v="0"/>
    <s v="CM"/>
    <s v="N"/>
    <x v="960"/>
    <x v="3"/>
    <x v="63"/>
    <m/>
    <x v="24"/>
    <m/>
    <x v="3"/>
    <x v="0"/>
    <x v="556"/>
    <d v="2013-04-10T00:00:00"/>
    <x v="5"/>
    <x v="1"/>
    <s v="Competição Curta-metragem"/>
    <m/>
    <x v="0"/>
    <x v="0"/>
    <m/>
    <x v="0"/>
    <x v="0"/>
    <x v="1473"/>
    <x v="3"/>
    <x v="0"/>
    <x v="1"/>
    <x v="556"/>
    <x v="6031"/>
  </r>
  <r>
    <x v="2"/>
    <n v="1285"/>
    <x v="1463"/>
    <x v="0"/>
    <s v="CM"/>
    <s v="N"/>
    <x v="960"/>
    <x v="3"/>
    <x v="34"/>
    <m/>
    <x v="32"/>
    <m/>
    <x v="3"/>
    <x v="0"/>
    <x v="525"/>
    <d v="2013-05-12T00:00:00"/>
    <x v="6"/>
    <x v="1"/>
    <s v="Ficção"/>
    <m/>
    <x v="0"/>
    <x v="0"/>
    <m/>
    <x v="0"/>
    <x v="0"/>
    <x v="1473"/>
    <x v="3"/>
    <x v="0"/>
    <x v="1"/>
    <x v="525"/>
    <x v="6032"/>
  </r>
  <r>
    <x v="2"/>
    <n v="1285"/>
    <x v="1463"/>
    <x v="0"/>
    <s v="CM"/>
    <s v="N"/>
    <x v="960"/>
    <x v="3"/>
    <x v="829"/>
    <m/>
    <x v="411"/>
    <m/>
    <x v="0"/>
    <x v="0"/>
    <x v="508"/>
    <d v="2013-06-08T00:00:00"/>
    <x v="7"/>
    <x v="1"/>
    <s v="Competição Mostra Estrangeira"/>
    <m/>
    <x v="0"/>
    <x v="0"/>
    <m/>
    <x v="0"/>
    <x v="0"/>
    <x v="1473"/>
    <x v="0"/>
    <x v="0"/>
    <x v="0"/>
    <x v="508"/>
    <x v="6033"/>
  </r>
  <r>
    <x v="2"/>
    <n v="1285"/>
    <x v="1463"/>
    <x v="0"/>
    <s v="CM"/>
    <s v="N"/>
    <x v="960"/>
    <x v="3"/>
    <x v="67"/>
    <m/>
    <x v="23"/>
    <m/>
    <x v="3"/>
    <x v="0"/>
    <x v="526"/>
    <d v="2013-06-16T00:00:00"/>
    <x v="7"/>
    <x v="1"/>
    <s v="Ficção Nacional"/>
    <m/>
    <x v="0"/>
    <x v="0"/>
    <m/>
    <x v="0"/>
    <x v="0"/>
    <x v="1473"/>
    <x v="3"/>
    <x v="0"/>
    <x v="1"/>
    <x v="526"/>
    <x v="6034"/>
  </r>
  <r>
    <x v="2"/>
    <n v="2097"/>
    <x v="2005"/>
    <x v="1"/>
    <s v="LM"/>
    <s v="N"/>
    <x v="1287"/>
    <x v="5"/>
    <x v="873"/>
    <m/>
    <x v="297"/>
    <m/>
    <x v="3"/>
    <x v="0"/>
    <x v="509"/>
    <d v="2013-11-27T00:00:00"/>
    <x v="13"/>
    <x v="1"/>
    <s v="Olhares e Enquadramentos"/>
    <m/>
    <x v="6"/>
    <x v="0"/>
    <m/>
    <x v="1"/>
    <x v="1"/>
    <x v="2028"/>
    <x v="3"/>
    <x v="692"/>
    <x v="1"/>
    <x v="509"/>
    <x v="6035"/>
  </r>
  <r>
    <x v="2"/>
    <n v="2038"/>
    <x v="2006"/>
    <x v="1"/>
    <s v="CM"/>
    <s v=""/>
    <x v="1288"/>
    <x v="2"/>
    <x v="870"/>
    <m/>
    <x v="59"/>
    <m/>
    <x v="3"/>
    <x v="0"/>
    <x v="568"/>
    <d v="2013-10-13T00:00:00"/>
    <x v="14"/>
    <x v="1"/>
    <s v="Competição Nacional"/>
    <m/>
    <x v="567"/>
    <x v="0"/>
    <m/>
    <x v="1"/>
    <x v="2"/>
    <x v="2029"/>
    <x v="3"/>
    <x v="693"/>
    <x v="1"/>
    <x v="568"/>
    <x v="6036"/>
  </r>
  <r>
    <x v="2"/>
    <n v="2038"/>
    <x v="2006"/>
    <x v="1"/>
    <s v="CM"/>
    <s v=""/>
    <x v="1288"/>
    <x v="2"/>
    <x v="1036"/>
    <m/>
    <x v="457"/>
    <m/>
    <x v="3"/>
    <x v="0"/>
    <x v="519"/>
    <d v="2013-11-18T00:00:00"/>
    <x v="13"/>
    <x v="1"/>
    <s v="Competição Curtas Metragens MEO"/>
    <m/>
    <x v="568"/>
    <x v="0"/>
    <m/>
    <x v="1"/>
    <x v="2"/>
    <x v="2029"/>
    <x v="3"/>
    <x v="694"/>
    <x v="1"/>
    <x v="519"/>
    <x v="6037"/>
  </r>
  <r>
    <x v="2"/>
    <n v="2038"/>
    <x v="2006"/>
    <x v="1"/>
    <s v="CM"/>
    <s v=""/>
    <x v="1288"/>
    <x v="2"/>
    <x v="907"/>
    <m/>
    <x v="24"/>
    <m/>
    <x v="3"/>
    <x v="0"/>
    <x v="716"/>
    <m/>
    <x v="12"/>
    <x v="1"/>
    <s v="Categoria Património Imaterial"/>
    <m/>
    <x v="569"/>
    <x v="2"/>
    <m/>
    <x v="1"/>
    <x v="2"/>
    <x v="2029"/>
    <x v="3"/>
    <x v="695"/>
    <x v="1"/>
    <x v="716"/>
    <x v="6038"/>
  </r>
  <r>
    <x v="2"/>
    <n v="1954"/>
    <x v="2007"/>
    <x v="0"/>
    <s v="CM"/>
    <s v="N"/>
    <x v="1289"/>
    <x v="41"/>
    <x v="316"/>
    <m/>
    <x v="11"/>
    <m/>
    <x v="3"/>
    <x v="0"/>
    <x v="500"/>
    <d v="2013-08-31T00:00:00"/>
    <x v="16"/>
    <x v="1"/>
    <s v="Ficção"/>
    <m/>
    <x v="0"/>
    <x v="0"/>
    <m/>
    <x v="0"/>
    <x v="0"/>
    <x v="2030"/>
    <x v="3"/>
    <x v="0"/>
    <x v="1"/>
    <x v="500"/>
    <x v="6039"/>
  </r>
  <r>
    <x v="2"/>
    <n v="1816"/>
    <x v="2008"/>
    <x v="0"/>
    <s v="CM"/>
    <s v="N"/>
    <x v="587"/>
    <x v="52"/>
    <x v="827"/>
    <m/>
    <x v="24"/>
    <m/>
    <x v="3"/>
    <x v="0"/>
    <x v="521"/>
    <m/>
    <x v="7"/>
    <x v="1"/>
    <m/>
    <m/>
    <x v="0"/>
    <x v="0"/>
    <m/>
    <x v="0"/>
    <x v="0"/>
    <x v="2031"/>
    <x v="3"/>
    <x v="0"/>
    <x v="1"/>
    <x v="521"/>
    <x v="6040"/>
  </r>
  <r>
    <x v="2"/>
    <n v="1816"/>
    <x v="2008"/>
    <x v="0"/>
    <s v="CM"/>
    <s v="N"/>
    <x v="587"/>
    <x v="52"/>
    <x v="316"/>
    <m/>
    <x v="11"/>
    <m/>
    <x v="3"/>
    <x v="0"/>
    <x v="500"/>
    <d v="2013-08-31T00:00:00"/>
    <x v="16"/>
    <x v="1"/>
    <s v="Ficção"/>
    <m/>
    <x v="0"/>
    <x v="0"/>
    <m/>
    <x v="0"/>
    <x v="0"/>
    <x v="2031"/>
    <x v="3"/>
    <x v="0"/>
    <x v="1"/>
    <x v="500"/>
    <x v="6041"/>
  </r>
  <r>
    <x v="2"/>
    <n v="1816"/>
    <x v="2008"/>
    <x v="0"/>
    <s v="CM"/>
    <s v="N"/>
    <x v="587"/>
    <x v="52"/>
    <x v="944"/>
    <m/>
    <x v="15"/>
    <m/>
    <x v="3"/>
    <x v="0"/>
    <x v="501"/>
    <m/>
    <x v="14"/>
    <x v="1"/>
    <m/>
    <m/>
    <x v="0"/>
    <x v="1"/>
    <s v="Sessão Especial dedicada ao &quot;cinema curto fantástico&quot;"/>
    <x v="0"/>
    <x v="0"/>
    <x v="2031"/>
    <x v="3"/>
    <x v="0"/>
    <x v="1"/>
    <x v="501"/>
    <x v="6042"/>
  </r>
  <r>
    <x v="2"/>
    <n v="1960"/>
    <x v="1468"/>
    <x v="1"/>
    <s v="CM"/>
    <s v="N"/>
    <x v="456"/>
    <x v="41"/>
    <x v="316"/>
    <m/>
    <x v="11"/>
    <m/>
    <x v="3"/>
    <x v="0"/>
    <x v="500"/>
    <d v="2013-08-31T00:00:00"/>
    <x v="16"/>
    <x v="1"/>
    <s v="Documentário"/>
    <m/>
    <x v="0"/>
    <x v="0"/>
    <m/>
    <x v="0"/>
    <x v="2"/>
    <x v="1478"/>
    <x v="3"/>
    <x v="0"/>
    <x v="1"/>
    <x v="500"/>
    <x v="6043"/>
  </r>
  <r>
    <x v="2"/>
    <n v="1997"/>
    <x v="2009"/>
    <x v="1"/>
    <s v="CM"/>
    <s v=""/>
    <x v="256"/>
    <x v="10"/>
    <x v="592"/>
    <m/>
    <x v="5"/>
    <m/>
    <x v="3"/>
    <x v="0"/>
    <x v="516"/>
    <m/>
    <x v="16"/>
    <x v="0"/>
    <m/>
    <m/>
    <x v="0"/>
    <x v="1"/>
    <m/>
    <x v="0"/>
    <x v="2"/>
    <x v="2032"/>
    <x v="3"/>
    <x v="0"/>
    <x v="1"/>
    <x v="516"/>
    <x v="6044"/>
  </r>
  <r>
    <x v="2"/>
    <n v="1995"/>
    <x v="2010"/>
    <x v="0"/>
    <s v="LM"/>
    <s v="S"/>
    <x v="39"/>
    <x v="52"/>
    <x v="246"/>
    <m/>
    <x v="173"/>
    <m/>
    <x v="7"/>
    <x v="0"/>
    <x v="516"/>
    <d v="2013-09-02T00:00:00"/>
    <x v="20"/>
    <x v="0"/>
    <m/>
    <s v="Regards sur les cinémas du monde (Longs métrages)"/>
    <x v="0"/>
    <x v="0"/>
    <m/>
    <x v="0"/>
    <x v="5"/>
    <x v="2033"/>
    <x v="7"/>
    <x v="0"/>
    <x v="0"/>
    <x v="516"/>
    <x v="6045"/>
  </r>
  <r>
    <x v="2"/>
    <n v="1453"/>
    <x v="1475"/>
    <x v="0"/>
    <s v="CM"/>
    <s v="N"/>
    <x v="843"/>
    <x v="41"/>
    <x v="146"/>
    <m/>
    <x v="24"/>
    <m/>
    <x v="3"/>
    <x v="0"/>
    <x v="537"/>
    <d v="2013-04-28T00:00:00"/>
    <x v="5"/>
    <x v="1"/>
    <s v="Competição Internacional, Competição Nacional"/>
    <m/>
    <x v="0"/>
    <x v="0"/>
    <m/>
    <x v="0"/>
    <x v="0"/>
    <x v="1485"/>
    <x v="3"/>
    <x v="0"/>
    <x v="1"/>
    <x v="537"/>
    <x v="6046"/>
  </r>
  <r>
    <x v="2"/>
    <n v="1453"/>
    <x v="1475"/>
    <x v="0"/>
    <s v="CM"/>
    <s v="N"/>
    <x v="843"/>
    <x v="41"/>
    <x v="708"/>
    <m/>
    <x v="135"/>
    <m/>
    <x v="2"/>
    <x v="0"/>
    <x v="514"/>
    <d v="2013-05-24T00:00:00"/>
    <x v="6"/>
    <x v="0"/>
    <m/>
    <s v="Invitations: Le Fresnoy"/>
    <x v="0"/>
    <x v="0"/>
    <m/>
    <x v="0"/>
    <x v="0"/>
    <x v="1485"/>
    <x v="2"/>
    <x v="0"/>
    <x v="0"/>
    <x v="514"/>
    <x v="6047"/>
  </r>
  <r>
    <x v="2"/>
    <n v="1453"/>
    <x v="1475"/>
    <x v="0"/>
    <s v="CM"/>
    <s v="N"/>
    <x v="843"/>
    <x v="41"/>
    <x v="68"/>
    <m/>
    <x v="53"/>
    <m/>
    <x v="3"/>
    <x v="0"/>
    <x v="573"/>
    <d v="2013-07-14T00:00:00"/>
    <x v="8"/>
    <x v="0"/>
    <m/>
    <s v="Panorama Nacional"/>
    <x v="0"/>
    <x v="0"/>
    <m/>
    <x v="0"/>
    <x v="0"/>
    <x v="1485"/>
    <x v="3"/>
    <x v="0"/>
    <x v="1"/>
    <x v="573"/>
    <x v="6048"/>
  </r>
  <r>
    <x v="2"/>
    <n v="2031"/>
    <x v="2011"/>
    <x v="0"/>
    <s v="CM"/>
    <s v="N"/>
    <x v="461"/>
    <x v="59"/>
    <x v="870"/>
    <m/>
    <x v="59"/>
    <m/>
    <x v="3"/>
    <x v="0"/>
    <x v="568"/>
    <d v="2013-10-13T00:00:00"/>
    <x v="14"/>
    <x v="0"/>
    <m/>
    <s v="Sessão de Abertura - Mostra Retrospectiva de curtas-metragens de João César Monteiro"/>
    <x v="0"/>
    <x v="0"/>
    <m/>
    <x v="0"/>
    <x v="0"/>
    <x v="2034"/>
    <x v="3"/>
    <x v="0"/>
    <x v="1"/>
    <x v="568"/>
    <x v="6049"/>
  </r>
  <r>
    <x v="2"/>
    <n v="2048"/>
    <x v="2012"/>
    <x v="1"/>
    <s v="CM"/>
    <s v="N"/>
    <x v="1290"/>
    <x v="5"/>
    <x v="951"/>
    <m/>
    <x v="11"/>
    <m/>
    <x v="3"/>
    <x v="0"/>
    <x v="568"/>
    <d v="2013-10-12T00:00:00"/>
    <x v="14"/>
    <x v="1"/>
    <s v="Documentário"/>
    <m/>
    <x v="570"/>
    <x v="0"/>
    <m/>
    <x v="1"/>
    <x v="2"/>
    <x v="2035"/>
    <x v="3"/>
    <x v="696"/>
    <x v="1"/>
    <x v="568"/>
    <x v="6050"/>
  </r>
  <r>
    <x v="2"/>
    <n v="1026"/>
    <x v="704"/>
    <x v="1"/>
    <s v="LM"/>
    <s v="S"/>
    <x v="362"/>
    <x v="2"/>
    <x v="950"/>
    <m/>
    <x v="321"/>
    <m/>
    <x v="3"/>
    <x v="0"/>
    <x v="509"/>
    <d v="2013-12-01T00:00:00"/>
    <x v="11"/>
    <x v="0"/>
    <m/>
    <m/>
    <x v="0"/>
    <x v="1"/>
    <m/>
    <x v="0"/>
    <x v="1"/>
    <x v="707"/>
    <x v="3"/>
    <x v="0"/>
    <x v="1"/>
    <x v="509"/>
    <x v="6051"/>
  </r>
  <r>
    <x v="2"/>
    <n v="1728"/>
    <x v="2013"/>
    <x v="2"/>
    <s v="CM"/>
    <s v="N"/>
    <x v="1291"/>
    <x v="41"/>
    <x v="26"/>
    <m/>
    <x v="24"/>
    <m/>
    <x v="3"/>
    <x v="0"/>
    <x v="571"/>
    <d v="2013-03-17T00:00:00"/>
    <x v="2"/>
    <x v="1"/>
    <s v="Competição Internacional Estudantes"/>
    <m/>
    <x v="0"/>
    <x v="0"/>
    <m/>
    <x v="0"/>
    <x v="4"/>
    <x v="2036"/>
    <x v="3"/>
    <x v="0"/>
    <x v="1"/>
    <x v="571"/>
    <x v="6052"/>
  </r>
  <r>
    <x v="2"/>
    <n v="2101"/>
    <x v="2014"/>
    <x v="1"/>
    <s v="CM"/>
    <s v="N"/>
    <x v="666"/>
    <x v="4"/>
    <x v="996"/>
    <m/>
    <x v="24"/>
    <m/>
    <x v="3"/>
    <x v="0"/>
    <x v="681"/>
    <d v="2013-12-13T00:00:00"/>
    <x v="12"/>
    <x v="0"/>
    <m/>
    <s v="Ciclo de Documentários"/>
    <x v="0"/>
    <x v="1"/>
    <m/>
    <x v="0"/>
    <x v="2"/>
    <x v="2037"/>
    <x v="3"/>
    <x v="0"/>
    <x v="1"/>
    <x v="681"/>
    <x v="6053"/>
  </r>
  <r>
    <x v="2"/>
    <n v="2118"/>
    <x v="2015"/>
    <x v="0"/>
    <s v="CM"/>
    <s v="N"/>
    <x v="1292"/>
    <x v="2"/>
    <x v="969"/>
    <m/>
    <x v="40"/>
    <m/>
    <x v="3"/>
    <x v="0"/>
    <x v="659"/>
    <m/>
    <x v="12"/>
    <x v="0"/>
    <m/>
    <m/>
    <x v="0"/>
    <x v="1"/>
    <m/>
    <x v="0"/>
    <x v="0"/>
    <x v="2038"/>
    <x v="3"/>
    <x v="0"/>
    <x v="1"/>
    <x v="659"/>
    <x v="6054"/>
  </r>
  <r>
    <x v="2"/>
    <n v="1727"/>
    <x v="2016"/>
    <x v="2"/>
    <s v="CM"/>
    <s v="N"/>
    <x v="1293"/>
    <x v="41"/>
    <x v="26"/>
    <m/>
    <x v="24"/>
    <m/>
    <x v="3"/>
    <x v="0"/>
    <x v="571"/>
    <d v="2013-03-17T00:00:00"/>
    <x v="2"/>
    <x v="1"/>
    <s v="Competição Internacional Estudantes"/>
    <m/>
    <x v="571"/>
    <x v="0"/>
    <m/>
    <x v="1"/>
    <x v="4"/>
    <x v="2039"/>
    <x v="3"/>
    <x v="697"/>
    <x v="1"/>
    <x v="571"/>
    <x v="6055"/>
  </r>
  <r>
    <x v="2"/>
    <n v="1031"/>
    <x v="1477"/>
    <x v="0"/>
    <s v="CM"/>
    <s v="S"/>
    <x v="120"/>
    <x v="41"/>
    <x v="885"/>
    <m/>
    <x v="419"/>
    <m/>
    <x v="34"/>
    <x v="0"/>
    <x v="586"/>
    <d v="2013-01-27T00:00:00"/>
    <x v="15"/>
    <x v="0"/>
    <m/>
    <s v="Tous les garçons s'appellent João"/>
    <x v="0"/>
    <x v="0"/>
    <m/>
    <x v="0"/>
    <x v="0"/>
    <x v="1487"/>
    <x v="34"/>
    <x v="0"/>
    <x v="0"/>
    <x v="586"/>
    <x v="6056"/>
  </r>
  <r>
    <x v="2"/>
    <n v="1031"/>
    <x v="1477"/>
    <x v="0"/>
    <s v="CM"/>
    <s v="S"/>
    <x v="120"/>
    <x v="41"/>
    <x v="83"/>
    <m/>
    <x v="63"/>
    <m/>
    <x v="2"/>
    <x v="0"/>
    <x v="586"/>
    <d v="2013-01-27T00:00:00"/>
    <x v="15"/>
    <x v="0"/>
    <m/>
    <s v="Plans suivants"/>
    <x v="0"/>
    <x v="0"/>
    <m/>
    <x v="0"/>
    <x v="0"/>
    <x v="1487"/>
    <x v="2"/>
    <x v="0"/>
    <x v="0"/>
    <x v="586"/>
    <x v="6057"/>
  </r>
  <r>
    <x v="2"/>
    <n v="1031"/>
    <x v="1477"/>
    <x v="0"/>
    <s v="CM"/>
    <s v="S"/>
    <x v="120"/>
    <x v="41"/>
    <x v="162"/>
    <m/>
    <x v="124"/>
    <m/>
    <x v="3"/>
    <x v="0"/>
    <x v="616"/>
    <m/>
    <x v="1"/>
    <x v="0"/>
    <m/>
    <m/>
    <x v="0"/>
    <x v="1"/>
    <s v="O Cinema de João Salaviza"/>
    <x v="0"/>
    <x v="0"/>
    <x v="1487"/>
    <x v="3"/>
    <x v="0"/>
    <x v="1"/>
    <x v="616"/>
    <x v="6058"/>
  </r>
  <r>
    <x v="2"/>
    <n v="1031"/>
    <x v="1477"/>
    <x v="0"/>
    <s v="CM"/>
    <s v="S"/>
    <x v="120"/>
    <x v="41"/>
    <x v="508"/>
    <m/>
    <x v="27"/>
    <m/>
    <x v="7"/>
    <x v="0"/>
    <x v="557"/>
    <d v="2013-03-17T00:00:00"/>
    <x v="2"/>
    <x v="0"/>
    <m/>
    <s v="Carte Blanche INDIELISBOA: Les nouveaux arrivants"/>
    <x v="0"/>
    <x v="0"/>
    <m/>
    <x v="0"/>
    <x v="0"/>
    <x v="1487"/>
    <x v="7"/>
    <x v="0"/>
    <x v="0"/>
    <x v="557"/>
    <x v="6059"/>
  </r>
  <r>
    <x v="2"/>
    <n v="1031"/>
    <x v="1477"/>
    <x v="0"/>
    <s v="CM"/>
    <s v="S"/>
    <x v="120"/>
    <x v="41"/>
    <x v="1058"/>
    <m/>
    <x v="24"/>
    <m/>
    <x v="3"/>
    <x v="0"/>
    <x v="557"/>
    <m/>
    <x v="2"/>
    <x v="1"/>
    <m/>
    <m/>
    <x v="68"/>
    <x v="2"/>
    <m/>
    <x v="1"/>
    <x v="0"/>
    <x v="1487"/>
    <x v="3"/>
    <x v="698"/>
    <x v="1"/>
    <x v="557"/>
    <x v="6060"/>
  </r>
  <r>
    <x v="2"/>
    <n v="1031"/>
    <x v="1477"/>
    <x v="0"/>
    <s v="CM"/>
    <s v="S"/>
    <x v="120"/>
    <x v="41"/>
    <x v="269"/>
    <m/>
    <x v="188"/>
    <m/>
    <x v="55"/>
    <x v="0"/>
    <x v="561"/>
    <d v="2013-04-06T00:00:00"/>
    <x v="3"/>
    <x v="1"/>
    <s v="Competencia de Cortometrajes Internacionales"/>
    <m/>
    <x v="572"/>
    <x v="0"/>
    <m/>
    <x v="1"/>
    <x v="0"/>
    <x v="1487"/>
    <x v="55"/>
    <x v="699"/>
    <x v="0"/>
    <x v="561"/>
    <x v="6061"/>
  </r>
  <r>
    <x v="2"/>
    <n v="1031"/>
    <x v="1477"/>
    <x v="0"/>
    <s v="CM"/>
    <s v="S"/>
    <x v="120"/>
    <x v="41"/>
    <x v="921"/>
    <m/>
    <x v="24"/>
    <m/>
    <x v="3"/>
    <x v="0"/>
    <x v="617"/>
    <m/>
    <x v="2"/>
    <x v="0"/>
    <m/>
    <m/>
    <x v="0"/>
    <x v="1"/>
    <s v="ART e Cineclube de Telheiras na Bibioteca Municipal Orlando Ribeiro"/>
    <x v="0"/>
    <x v="0"/>
    <x v="1487"/>
    <x v="3"/>
    <x v="0"/>
    <x v="1"/>
    <x v="617"/>
    <x v="6062"/>
  </r>
  <r>
    <x v="2"/>
    <n v="1031"/>
    <x v="1477"/>
    <x v="0"/>
    <s v="CM"/>
    <s v="S"/>
    <x v="120"/>
    <x v="41"/>
    <x v="973"/>
    <m/>
    <x v="440"/>
    <m/>
    <x v="51"/>
    <x v="0"/>
    <x v="612"/>
    <d v="2013-04-28T00:00:00"/>
    <x v="5"/>
    <x v="1"/>
    <s v="International Competition I"/>
    <m/>
    <x v="0"/>
    <x v="0"/>
    <m/>
    <x v="0"/>
    <x v="0"/>
    <x v="1487"/>
    <x v="51"/>
    <x v="0"/>
    <x v="0"/>
    <x v="612"/>
    <x v="6063"/>
  </r>
  <r>
    <x v="2"/>
    <n v="1031"/>
    <x v="1477"/>
    <x v="0"/>
    <s v="CM"/>
    <s v="S"/>
    <x v="120"/>
    <x v="41"/>
    <x v="169"/>
    <m/>
    <x v="129"/>
    <m/>
    <x v="1"/>
    <x v="0"/>
    <x v="693"/>
    <d v="2013-05-18T00:00:00"/>
    <x v="6"/>
    <x v="1"/>
    <s v="Certamen de cortometrajes"/>
    <m/>
    <x v="0"/>
    <x v="0"/>
    <m/>
    <x v="0"/>
    <x v="0"/>
    <x v="1487"/>
    <x v="1"/>
    <x v="0"/>
    <x v="0"/>
    <x v="693"/>
    <x v="6064"/>
  </r>
  <r>
    <x v="2"/>
    <n v="1031"/>
    <x v="1477"/>
    <x v="0"/>
    <s v="CM"/>
    <s v="S"/>
    <x v="120"/>
    <x v="41"/>
    <x v="843"/>
    <m/>
    <x v="253"/>
    <m/>
    <x v="0"/>
    <x v="0"/>
    <x v="532"/>
    <d v="2013-05-26T00:00:00"/>
    <x v="6"/>
    <x v="0"/>
    <m/>
    <m/>
    <x v="0"/>
    <x v="1"/>
    <m/>
    <x v="0"/>
    <x v="0"/>
    <x v="1487"/>
    <x v="0"/>
    <x v="0"/>
    <x v="0"/>
    <x v="532"/>
    <x v="6065"/>
  </r>
  <r>
    <x v="2"/>
    <n v="1031"/>
    <x v="1477"/>
    <x v="0"/>
    <s v="CM"/>
    <s v="S"/>
    <x v="120"/>
    <x v="41"/>
    <x v="844"/>
    <m/>
    <x v="0"/>
    <m/>
    <x v="0"/>
    <x v="0"/>
    <x v="533"/>
    <d v="2013-06-06T00:00:00"/>
    <x v="22"/>
    <x v="0"/>
    <m/>
    <m/>
    <x v="0"/>
    <x v="1"/>
    <m/>
    <x v="0"/>
    <x v="0"/>
    <x v="1487"/>
    <x v="0"/>
    <x v="0"/>
    <x v="0"/>
    <x v="533"/>
    <x v="6066"/>
  </r>
  <r>
    <x v="2"/>
    <n v="1031"/>
    <x v="1477"/>
    <x v="0"/>
    <s v="CM"/>
    <s v="S"/>
    <x v="120"/>
    <x v="41"/>
    <x v="846"/>
    <m/>
    <x v="417"/>
    <m/>
    <x v="11"/>
    <x v="0"/>
    <x v="535"/>
    <d v="2013-08-03T00:00:00"/>
    <x v="25"/>
    <x v="0"/>
    <m/>
    <s v="Focus Portugal: Contemporary Cinema"/>
    <x v="0"/>
    <x v="0"/>
    <m/>
    <x v="0"/>
    <x v="0"/>
    <x v="1487"/>
    <x v="11"/>
    <x v="0"/>
    <x v="0"/>
    <x v="535"/>
    <x v="6067"/>
  </r>
  <r>
    <x v="2"/>
    <n v="1031"/>
    <x v="1477"/>
    <x v="0"/>
    <s v="CM"/>
    <s v="S"/>
    <x v="120"/>
    <x v="41"/>
    <x v="848"/>
    <m/>
    <x v="165"/>
    <m/>
    <x v="4"/>
    <x v="0"/>
    <x v="540"/>
    <d v="2013-09-01T00:00:00"/>
    <x v="20"/>
    <x v="0"/>
    <m/>
    <m/>
    <x v="0"/>
    <x v="1"/>
    <m/>
    <x v="0"/>
    <x v="0"/>
    <x v="1487"/>
    <x v="4"/>
    <x v="0"/>
    <x v="0"/>
    <x v="540"/>
    <x v="6068"/>
  </r>
  <r>
    <x v="2"/>
    <n v="1031"/>
    <x v="1477"/>
    <x v="0"/>
    <s v="CM"/>
    <s v="S"/>
    <x v="120"/>
    <x v="41"/>
    <x v="895"/>
    <m/>
    <x v="425"/>
    <m/>
    <x v="0"/>
    <x v="0"/>
    <x v="597"/>
    <d v="2013-09-14T00:00:00"/>
    <x v="9"/>
    <x v="0"/>
    <m/>
    <s v="Mostra Portugal Contemporânei"/>
    <x v="0"/>
    <x v="0"/>
    <m/>
    <x v="0"/>
    <x v="0"/>
    <x v="1487"/>
    <x v="0"/>
    <x v="0"/>
    <x v="0"/>
    <x v="597"/>
    <x v="6069"/>
  </r>
  <r>
    <x v="2"/>
    <n v="1031"/>
    <x v="1477"/>
    <x v="0"/>
    <s v="CM"/>
    <s v="S"/>
    <x v="120"/>
    <x v="41"/>
    <x v="492"/>
    <m/>
    <x v="128"/>
    <m/>
    <x v="1"/>
    <x v="0"/>
    <x v="519"/>
    <d v="2013-11-16T00:00:00"/>
    <x v="13"/>
    <x v="0"/>
    <m/>
    <s v="Focus Europa: Portugal"/>
    <x v="0"/>
    <x v="0"/>
    <m/>
    <x v="0"/>
    <x v="0"/>
    <x v="1487"/>
    <x v="1"/>
    <x v="0"/>
    <x v="0"/>
    <x v="519"/>
    <x v="6070"/>
  </r>
  <r>
    <x v="2"/>
    <n v="1031"/>
    <x v="1477"/>
    <x v="0"/>
    <s v="CM"/>
    <s v="S"/>
    <x v="120"/>
    <x v="41"/>
    <x v="920"/>
    <m/>
    <x v="429"/>
    <m/>
    <x v="63"/>
    <x v="0"/>
    <x v="509"/>
    <d v="2013-11-30T00:00:00"/>
    <x v="13"/>
    <x v="0"/>
    <m/>
    <m/>
    <x v="0"/>
    <x v="0"/>
    <m/>
    <x v="0"/>
    <x v="0"/>
    <x v="1487"/>
    <x v="63"/>
    <x v="0"/>
    <x v="0"/>
    <x v="509"/>
    <x v="6071"/>
  </r>
  <r>
    <x v="2"/>
    <n v="1656"/>
    <x v="2017"/>
    <x v="0"/>
    <s v="CM"/>
    <s v="N"/>
    <x v="655"/>
    <x v="4"/>
    <x v="883"/>
    <m/>
    <x v="23"/>
    <m/>
    <x v="3"/>
    <x v="0"/>
    <x v="552"/>
    <m/>
    <x v="1"/>
    <x v="0"/>
    <m/>
    <s v="Curta Convidada"/>
    <x v="0"/>
    <x v="1"/>
    <m/>
    <x v="0"/>
    <x v="0"/>
    <x v="2040"/>
    <x v="3"/>
    <x v="0"/>
    <x v="1"/>
    <x v="552"/>
    <x v="6072"/>
  </r>
  <r>
    <x v="2"/>
    <n v="1656"/>
    <x v="2017"/>
    <x v="0"/>
    <s v="CM"/>
    <s v="N"/>
    <x v="655"/>
    <x v="4"/>
    <x v="316"/>
    <m/>
    <x v="11"/>
    <m/>
    <x v="3"/>
    <x v="0"/>
    <x v="500"/>
    <d v="2013-08-31T00:00:00"/>
    <x v="16"/>
    <x v="1"/>
    <s v="Ficção"/>
    <m/>
    <x v="539"/>
    <x v="0"/>
    <m/>
    <x v="1"/>
    <x v="0"/>
    <x v="2040"/>
    <x v="3"/>
    <x v="658"/>
    <x v="1"/>
    <x v="500"/>
    <x v="6073"/>
  </r>
  <r>
    <x v="2"/>
    <n v="1033"/>
    <x v="708"/>
    <x v="0"/>
    <s v="CM"/>
    <s v="S"/>
    <x v="38"/>
    <x v="15"/>
    <x v="373"/>
    <m/>
    <x v="189"/>
    <m/>
    <x v="5"/>
    <x v="0"/>
    <x v="497"/>
    <d v="2013-04-21T00:00:00"/>
    <x v="5"/>
    <x v="0"/>
    <m/>
    <s v="Focus Portugal: Restless Future"/>
    <x v="0"/>
    <x v="0"/>
    <s v="Programa da ACM"/>
    <x v="0"/>
    <x v="0"/>
    <x v="711"/>
    <x v="5"/>
    <x v="0"/>
    <x v="0"/>
    <x v="497"/>
    <x v="6074"/>
  </r>
  <r>
    <x v="2"/>
    <n v="1033"/>
    <x v="708"/>
    <x v="0"/>
    <s v="CM"/>
    <s v="S"/>
    <x v="38"/>
    <x v="15"/>
    <x v="922"/>
    <m/>
    <x v="117"/>
    <m/>
    <x v="9"/>
    <x v="0"/>
    <x v="618"/>
    <d v="2013-08-04T00:00:00"/>
    <x v="25"/>
    <x v="0"/>
    <m/>
    <s v="New Portuguese Cinema"/>
    <x v="0"/>
    <x v="0"/>
    <m/>
    <x v="0"/>
    <x v="0"/>
    <x v="711"/>
    <x v="9"/>
    <x v="0"/>
    <x v="0"/>
    <x v="618"/>
    <x v="6075"/>
  </r>
  <r>
    <x v="2"/>
    <n v="1033"/>
    <x v="708"/>
    <x v="0"/>
    <s v="CM"/>
    <s v="S"/>
    <x v="38"/>
    <x v="15"/>
    <x v="890"/>
    <m/>
    <x v="319"/>
    <m/>
    <x v="1"/>
    <x v="0"/>
    <x v="594"/>
    <d v="2013-12-13T00:00:00"/>
    <x v="11"/>
    <x v="0"/>
    <m/>
    <s v="Curtametraxes: João Nicolau"/>
    <x v="0"/>
    <x v="1"/>
    <s v="No CGAI"/>
    <x v="0"/>
    <x v="0"/>
    <x v="711"/>
    <x v="1"/>
    <x v="0"/>
    <x v="0"/>
    <x v="594"/>
    <x v="6076"/>
  </r>
  <r>
    <x v="2"/>
    <n v="1033"/>
    <x v="708"/>
    <x v="0"/>
    <s v="CM"/>
    <s v="S"/>
    <x v="38"/>
    <x v="15"/>
    <x v="920"/>
    <m/>
    <x v="429"/>
    <m/>
    <x v="63"/>
    <x v="0"/>
    <x v="509"/>
    <d v="2013-11-30T00:00:00"/>
    <x v="13"/>
    <x v="0"/>
    <m/>
    <m/>
    <x v="0"/>
    <x v="0"/>
    <m/>
    <x v="0"/>
    <x v="0"/>
    <x v="711"/>
    <x v="63"/>
    <x v="0"/>
    <x v="0"/>
    <x v="509"/>
    <x v="6077"/>
  </r>
  <r>
    <x v="2"/>
    <n v="1033"/>
    <x v="708"/>
    <x v="0"/>
    <s v="CM"/>
    <s v="S"/>
    <x v="38"/>
    <x v="15"/>
    <x v="851"/>
    <m/>
    <x v="58"/>
    <m/>
    <x v="17"/>
    <x v="0"/>
    <x v="546"/>
    <d v="2013-12-05T00:00:00"/>
    <x v="11"/>
    <x v="0"/>
    <m/>
    <m/>
    <x v="0"/>
    <x v="0"/>
    <m/>
    <x v="0"/>
    <x v="0"/>
    <x v="711"/>
    <x v="17"/>
    <x v="0"/>
    <x v="0"/>
    <x v="546"/>
    <x v="6078"/>
  </r>
  <r>
    <x v="2"/>
    <n v="1942"/>
    <x v="2018"/>
    <x v="1"/>
    <s v="CM"/>
    <s v="N"/>
    <x v="384"/>
    <x v="52"/>
    <x v="192"/>
    <m/>
    <x v="140"/>
    <m/>
    <x v="3"/>
    <x v="0"/>
    <x v="334"/>
    <d v="2013-07-28T00:00:00"/>
    <x v="8"/>
    <x v="1"/>
    <s v="Competição Estreia Mundial - Curta-metragem, Competição Vídeo"/>
    <m/>
    <x v="0"/>
    <x v="0"/>
    <m/>
    <x v="0"/>
    <x v="2"/>
    <x v="2041"/>
    <x v="3"/>
    <x v="0"/>
    <x v="1"/>
    <x v="334"/>
    <x v="6079"/>
  </r>
  <r>
    <x v="2"/>
    <n v="1942"/>
    <x v="2018"/>
    <x v="1"/>
    <s v="CM"/>
    <s v="N"/>
    <x v="384"/>
    <x v="52"/>
    <x v="767"/>
    <m/>
    <x v="65"/>
    <m/>
    <x v="9"/>
    <x v="0"/>
    <x v="542"/>
    <d v="2013-09-08T00:00:00"/>
    <x v="9"/>
    <x v="0"/>
    <m/>
    <m/>
    <x v="0"/>
    <x v="0"/>
    <m/>
    <x v="0"/>
    <x v="2"/>
    <x v="2041"/>
    <x v="9"/>
    <x v="0"/>
    <x v="0"/>
    <x v="542"/>
    <x v="6080"/>
  </r>
  <r>
    <x v="2"/>
    <n v="2185"/>
    <x v="2019"/>
    <x v="1"/>
    <s v="CM"/>
    <s v=""/>
    <x v="1294"/>
    <x v="52"/>
    <x v="25"/>
    <m/>
    <x v="24"/>
    <m/>
    <x v="3"/>
    <x v="0"/>
    <x v="553"/>
    <d v="2013-11-03T00:00:00"/>
    <x v="0"/>
    <x v="0"/>
    <m/>
    <s v="Verdes Anoa"/>
    <x v="0"/>
    <x v="0"/>
    <m/>
    <x v="0"/>
    <x v="2"/>
    <x v="2042"/>
    <x v="3"/>
    <x v="0"/>
    <x v="1"/>
    <x v="553"/>
    <x v="6081"/>
  </r>
  <r>
    <x v="2"/>
    <n v="1339"/>
    <x v="1484"/>
    <x v="1"/>
    <s v="LM"/>
    <s v="N"/>
    <x v="973"/>
    <x v="41"/>
    <x v="1059"/>
    <m/>
    <x v="20"/>
    <m/>
    <x v="5"/>
    <x v="0"/>
    <x v="717"/>
    <d v="2013-01-16T00:00:00"/>
    <x v="15"/>
    <x v="0"/>
    <m/>
    <m/>
    <x v="0"/>
    <x v="1"/>
    <m/>
    <x v="0"/>
    <x v="1"/>
    <x v="1494"/>
    <x v="5"/>
    <x v="0"/>
    <x v="0"/>
    <x v="717"/>
    <x v="6082"/>
  </r>
  <r>
    <x v="2"/>
    <n v="1339"/>
    <x v="1484"/>
    <x v="1"/>
    <s v="LM"/>
    <s v="N"/>
    <x v="973"/>
    <x v="41"/>
    <x v="521"/>
    <m/>
    <x v="65"/>
    <m/>
    <x v="9"/>
    <x v="0"/>
    <x v="709"/>
    <d v="2013-01-13T00:00:00"/>
    <x v="15"/>
    <x v="0"/>
    <m/>
    <m/>
    <x v="0"/>
    <x v="1"/>
    <m/>
    <x v="0"/>
    <x v="1"/>
    <x v="1494"/>
    <x v="9"/>
    <x v="0"/>
    <x v="0"/>
    <x v="709"/>
    <x v="6083"/>
  </r>
  <r>
    <x v="2"/>
    <n v="1339"/>
    <x v="1484"/>
    <x v="1"/>
    <s v="LM"/>
    <s v="N"/>
    <x v="973"/>
    <x v="41"/>
    <x v="1"/>
    <m/>
    <x v="1"/>
    <m/>
    <x v="1"/>
    <x v="0"/>
    <x v="595"/>
    <d v="2013-02-24T00:00:00"/>
    <x v="1"/>
    <x v="0"/>
    <m/>
    <s v="La Región Central"/>
    <x v="0"/>
    <x v="0"/>
    <m/>
    <x v="0"/>
    <x v="1"/>
    <x v="1494"/>
    <x v="1"/>
    <x v="0"/>
    <x v="0"/>
    <x v="595"/>
    <x v="6084"/>
  </r>
  <r>
    <x v="2"/>
    <n v="1339"/>
    <x v="1484"/>
    <x v="1"/>
    <s v="LM"/>
    <s v="N"/>
    <x v="973"/>
    <x v="41"/>
    <x v="522"/>
    <m/>
    <x v="165"/>
    <m/>
    <x v="4"/>
    <x v="0"/>
    <x v="590"/>
    <d v="2013-04-21T00:00:00"/>
    <x v="5"/>
    <x v="0"/>
    <m/>
    <s v="Panorama"/>
    <x v="0"/>
    <x v="0"/>
    <m/>
    <x v="0"/>
    <x v="1"/>
    <x v="1494"/>
    <x v="4"/>
    <x v="0"/>
    <x v="0"/>
    <x v="590"/>
    <x v="6085"/>
  </r>
  <r>
    <x v="2"/>
    <n v="1339"/>
    <x v="1484"/>
    <x v="1"/>
    <s v="LM"/>
    <s v="N"/>
    <x v="973"/>
    <x v="41"/>
    <x v="519"/>
    <m/>
    <x v="24"/>
    <m/>
    <x v="3"/>
    <x v="0"/>
    <x v="504"/>
    <d v="2013-05-11T00:00:00"/>
    <x v="6"/>
    <x v="0"/>
    <m/>
    <m/>
    <x v="0"/>
    <x v="1"/>
    <m/>
    <x v="0"/>
    <x v="1"/>
    <x v="1494"/>
    <x v="3"/>
    <x v="0"/>
    <x v="1"/>
    <x v="504"/>
    <x v="6086"/>
  </r>
  <r>
    <x v="2"/>
    <n v="1339"/>
    <x v="1484"/>
    <x v="1"/>
    <s v="LM"/>
    <s v="N"/>
    <x v="973"/>
    <x v="41"/>
    <x v="1060"/>
    <m/>
    <x v="382"/>
    <m/>
    <x v="49"/>
    <x v="0"/>
    <x v="605"/>
    <d v="2013-07-21T00:00:00"/>
    <x v="8"/>
    <x v="1"/>
    <s v="Art of Living"/>
    <m/>
    <x v="0"/>
    <x v="0"/>
    <m/>
    <x v="0"/>
    <x v="1"/>
    <x v="1494"/>
    <x v="49"/>
    <x v="0"/>
    <x v="0"/>
    <x v="605"/>
    <x v="6087"/>
  </r>
  <r>
    <x v="2"/>
    <n v="1339"/>
    <x v="1484"/>
    <x v="1"/>
    <s v="LM"/>
    <s v="N"/>
    <x v="973"/>
    <x v="41"/>
    <x v="826"/>
    <m/>
    <x v="24"/>
    <m/>
    <x v="3"/>
    <x v="0"/>
    <x v="505"/>
    <d v="2013-09-29T00:00:00"/>
    <x v="9"/>
    <x v="1"/>
    <m/>
    <m/>
    <x v="573"/>
    <x v="0"/>
    <m/>
    <x v="1"/>
    <x v="1"/>
    <x v="1494"/>
    <x v="3"/>
    <x v="700"/>
    <x v="1"/>
    <x v="505"/>
    <x v="6088"/>
  </r>
  <r>
    <x v="2"/>
    <n v="1339"/>
    <x v="1484"/>
    <x v="1"/>
    <s v="LM"/>
    <s v="N"/>
    <x v="973"/>
    <x v="41"/>
    <x v="837"/>
    <m/>
    <x v="414"/>
    <m/>
    <x v="18"/>
    <x v="0"/>
    <x v="518"/>
    <d v="2013-10-23T00:00:00"/>
    <x v="14"/>
    <x v="0"/>
    <m/>
    <s v="Masters"/>
    <x v="0"/>
    <x v="0"/>
    <m/>
    <x v="0"/>
    <x v="1"/>
    <x v="1494"/>
    <x v="18"/>
    <x v="0"/>
    <x v="0"/>
    <x v="518"/>
    <x v="6089"/>
  </r>
  <r>
    <x v="2"/>
    <n v="1746"/>
    <x v="2020"/>
    <x v="5"/>
    <s v="CM"/>
    <s v="N"/>
    <x v="1295"/>
    <x v="1"/>
    <x v="831"/>
    <m/>
    <x v="348"/>
    <m/>
    <x v="3"/>
    <x v="0"/>
    <x v="511"/>
    <m/>
    <x v="2"/>
    <x v="1"/>
    <s v="Videoclip"/>
    <m/>
    <x v="0"/>
    <x v="0"/>
    <m/>
    <x v="0"/>
    <x v="15"/>
    <x v="2043"/>
    <x v="3"/>
    <x v="0"/>
    <x v="1"/>
    <x v="511"/>
    <x v="6090"/>
  </r>
  <r>
    <x v="2"/>
    <n v="1992"/>
    <x v="2021"/>
    <x v="0"/>
    <s v="CM"/>
    <s v="N"/>
    <x v="0"/>
    <x v="52"/>
    <x v="209"/>
    <m/>
    <x v="72"/>
    <m/>
    <x v="15"/>
    <x v="0"/>
    <x v="500"/>
    <d v="2013-09-07T00:00:00"/>
    <x v="20"/>
    <x v="2"/>
    <m/>
    <s v="Fuori Concorso: Proiezoni Speciali"/>
    <x v="0"/>
    <x v="0"/>
    <m/>
    <x v="0"/>
    <x v="0"/>
    <x v="2044"/>
    <x v="15"/>
    <x v="0"/>
    <x v="0"/>
    <x v="500"/>
    <x v="6091"/>
  </r>
  <r>
    <x v="2"/>
    <n v="1992"/>
    <x v="2021"/>
    <x v="0"/>
    <s v="CM"/>
    <s v="N"/>
    <x v="0"/>
    <x v="52"/>
    <x v="148"/>
    <m/>
    <x v="113"/>
    <m/>
    <x v="7"/>
    <x v="0"/>
    <x v="505"/>
    <d v="2013-10-11T00:00:00"/>
    <x v="10"/>
    <x v="0"/>
    <m/>
    <s v="Cinema of Our Time"/>
    <x v="0"/>
    <x v="0"/>
    <m/>
    <x v="0"/>
    <x v="0"/>
    <x v="2044"/>
    <x v="7"/>
    <x v="0"/>
    <x v="0"/>
    <x v="505"/>
    <x v="6092"/>
  </r>
  <r>
    <x v="2"/>
    <n v="1992"/>
    <x v="2021"/>
    <x v="0"/>
    <s v="CM"/>
    <s v="N"/>
    <x v="0"/>
    <x v="52"/>
    <x v="709"/>
    <m/>
    <x v="65"/>
    <m/>
    <x v="9"/>
    <x v="0"/>
    <x v="619"/>
    <d v="2013-10-13T00:00:00"/>
    <x v="10"/>
    <x v="0"/>
    <m/>
    <s v="Shorts Program 4"/>
    <x v="0"/>
    <x v="0"/>
    <m/>
    <x v="0"/>
    <x v="0"/>
    <x v="2044"/>
    <x v="9"/>
    <x v="0"/>
    <x v="0"/>
    <x v="619"/>
    <x v="6093"/>
  </r>
  <r>
    <x v="2"/>
    <n v="1992"/>
    <x v="2021"/>
    <x v="0"/>
    <s v="CM"/>
    <s v="N"/>
    <x v="0"/>
    <x v="52"/>
    <x v="179"/>
    <m/>
    <x v="133"/>
    <m/>
    <x v="0"/>
    <x v="0"/>
    <x v="501"/>
    <d v="2013-10-31T00:00:00"/>
    <x v="14"/>
    <x v="0"/>
    <m/>
    <s v="Programa Sergei Loznitsa, Miguel Gomes e Jeanne Dosse"/>
    <x v="0"/>
    <x v="0"/>
    <m/>
    <x v="0"/>
    <x v="0"/>
    <x v="2044"/>
    <x v="0"/>
    <x v="0"/>
    <x v="0"/>
    <x v="501"/>
    <x v="6094"/>
  </r>
  <r>
    <x v="2"/>
    <n v="1992"/>
    <x v="2021"/>
    <x v="0"/>
    <s v="CM"/>
    <s v="N"/>
    <x v="0"/>
    <x v="52"/>
    <x v="149"/>
    <m/>
    <x v="114"/>
    <m/>
    <x v="35"/>
    <x v="0"/>
    <x v="553"/>
    <d v="2013-11-06T00:00:00"/>
    <x v="0"/>
    <x v="0"/>
    <m/>
    <s v="O Som e a Fúria presents"/>
    <x v="0"/>
    <x v="0"/>
    <m/>
    <x v="0"/>
    <x v="0"/>
    <x v="2044"/>
    <x v="35"/>
    <x v="0"/>
    <x v="0"/>
    <x v="553"/>
    <x v="6095"/>
  </r>
  <r>
    <x v="2"/>
    <n v="1992"/>
    <x v="2021"/>
    <x v="0"/>
    <s v="CM"/>
    <s v="N"/>
    <x v="0"/>
    <x v="52"/>
    <x v="25"/>
    <m/>
    <x v="24"/>
    <m/>
    <x v="3"/>
    <x v="0"/>
    <x v="553"/>
    <d v="2013-11-03T00:00:00"/>
    <x v="0"/>
    <x v="0"/>
    <m/>
    <s v="Riscos"/>
    <x v="0"/>
    <x v="0"/>
    <m/>
    <x v="0"/>
    <x v="0"/>
    <x v="2044"/>
    <x v="3"/>
    <x v="0"/>
    <x v="1"/>
    <x v="553"/>
    <x v="6096"/>
  </r>
  <r>
    <x v="2"/>
    <n v="1992"/>
    <x v="2021"/>
    <x v="0"/>
    <s v="CM"/>
    <s v="N"/>
    <x v="0"/>
    <x v="52"/>
    <x v="150"/>
    <m/>
    <x v="115"/>
    <m/>
    <x v="36"/>
    <x v="0"/>
    <x v="574"/>
    <d v="2013-11-17T00:00:00"/>
    <x v="13"/>
    <x v="1"/>
    <s v="NEW VISION Award"/>
    <m/>
    <x v="0"/>
    <x v="0"/>
    <m/>
    <x v="0"/>
    <x v="0"/>
    <x v="2044"/>
    <x v="36"/>
    <x v="0"/>
    <x v="0"/>
    <x v="574"/>
    <x v="6097"/>
  </r>
  <r>
    <x v="2"/>
    <n v="1992"/>
    <x v="2021"/>
    <x v="0"/>
    <s v="CM"/>
    <s v="N"/>
    <x v="0"/>
    <x v="52"/>
    <x v="492"/>
    <m/>
    <x v="128"/>
    <m/>
    <x v="1"/>
    <x v="0"/>
    <x v="519"/>
    <d v="2013-11-16T00:00:00"/>
    <x v="13"/>
    <x v="0"/>
    <m/>
    <s v="Focus Europa: Portugal"/>
    <x v="0"/>
    <x v="0"/>
    <m/>
    <x v="0"/>
    <x v="0"/>
    <x v="2044"/>
    <x v="1"/>
    <x v="0"/>
    <x v="0"/>
    <x v="519"/>
    <x v="6098"/>
  </r>
  <r>
    <x v="2"/>
    <n v="1992"/>
    <x v="2021"/>
    <x v="0"/>
    <s v="CM"/>
    <s v="N"/>
    <x v="0"/>
    <x v="52"/>
    <x v="875"/>
    <m/>
    <x v="173"/>
    <m/>
    <x v="7"/>
    <x v="0"/>
    <x v="498"/>
    <d v="2013-11-24T00:00:00"/>
    <x v="13"/>
    <x v="1"/>
    <s v="Compétition Courts Métrages "/>
    <m/>
    <x v="0"/>
    <x v="0"/>
    <m/>
    <x v="0"/>
    <x v="0"/>
    <x v="2044"/>
    <x v="7"/>
    <x v="0"/>
    <x v="0"/>
    <x v="498"/>
    <x v="6099"/>
  </r>
  <r>
    <x v="2"/>
    <n v="1992"/>
    <x v="2021"/>
    <x v="0"/>
    <s v="CM"/>
    <s v="N"/>
    <x v="0"/>
    <x v="52"/>
    <x v="890"/>
    <m/>
    <x v="319"/>
    <m/>
    <x v="1"/>
    <x v="0"/>
    <x v="594"/>
    <d v="2013-12-13T00:00:00"/>
    <x v="11"/>
    <x v="0"/>
    <m/>
    <m/>
    <x v="0"/>
    <x v="1"/>
    <s v="No CGAI"/>
    <x v="0"/>
    <x v="0"/>
    <x v="2044"/>
    <x v="1"/>
    <x v="0"/>
    <x v="0"/>
    <x v="594"/>
    <x v="6100"/>
  </r>
  <r>
    <x v="2"/>
    <n v="1992"/>
    <x v="2021"/>
    <x v="0"/>
    <s v="CM"/>
    <s v="N"/>
    <x v="0"/>
    <x v="52"/>
    <x v="1061"/>
    <m/>
    <x v="65"/>
    <m/>
    <x v="9"/>
    <x v="0"/>
    <x v="718"/>
    <d v="2013-11-24T00:00:00"/>
    <x v="13"/>
    <x v="0"/>
    <m/>
    <m/>
    <x v="0"/>
    <x v="1"/>
    <s v="Museum of the Moving Image"/>
    <x v="0"/>
    <x v="0"/>
    <x v="2044"/>
    <x v="9"/>
    <x v="0"/>
    <x v="0"/>
    <x v="718"/>
    <x v="6101"/>
  </r>
  <r>
    <x v="2"/>
    <n v="2181"/>
    <x v="2022"/>
    <x v="1"/>
    <s v="CM"/>
    <s v="N"/>
    <x v="463"/>
    <x v="52"/>
    <x v="25"/>
    <m/>
    <x v="24"/>
    <m/>
    <x v="3"/>
    <x v="0"/>
    <x v="553"/>
    <d v="2013-11-03T00:00:00"/>
    <x v="0"/>
    <x v="0"/>
    <m/>
    <s v="Verdes Anoa"/>
    <x v="0"/>
    <x v="0"/>
    <m/>
    <x v="0"/>
    <x v="2"/>
    <x v="2045"/>
    <x v="3"/>
    <x v="0"/>
    <x v="1"/>
    <x v="553"/>
    <x v="6102"/>
  </r>
  <r>
    <x v="2"/>
    <n v="2054"/>
    <x v="2023"/>
    <x v="0"/>
    <s v="CM"/>
    <s v="N"/>
    <x v="1296"/>
    <x v="52"/>
    <x v="1045"/>
    <m/>
    <x v="15"/>
    <m/>
    <x v="3"/>
    <x v="0"/>
    <x v="566"/>
    <m/>
    <x v="16"/>
    <x v="0"/>
    <m/>
    <s v="Curta Convidada, Curso de Multimédia da Escola Profissional Mariana Seixas"/>
    <x v="0"/>
    <x v="1"/>
    <m/>
    <x v="0"/>
    <x v="0"/>
    <x v="2046"/>
    <x v="3"/>
    <x v="0"/>
    <x v="1"/>
    <x v="566"/>
    <x v="6103"/>
  </r>
  <r>
    <x v="2"/>
    <n v="1895"/>
    <x v="2024"/>
    <x v="0"/>
    <s v="CM"/>
    <s v="S"/>
    <x v="1297"/>
    <x v="52"/>
    <x v="68"/>
    <m/>
    <x v="53"/>
    <m/>
    <x v="3"/>
    <x v="0"/>
    <x v="573"/>
    <d v="2013-07-14T00:00:00"/>
    <x v="8"/>
    <x v="1"/>
    <s v="Competição Nacional"/>
    <m/>
    <x v="574"/>
    <x v="0"/>
    <m/>
    <x v="1"/>
    <x v="0"/>
    <x v="2047"/>
    <x v="3"/>
    <x v="701"/>
    <x v="1"/>
    <x v="573"/>
    <x v="6104"/>
  </r>
  <r>
    <x v="2"/>
    <n v="1895"/>
    <x v="2024"/>
    <x v="0"/>
    <s v="CM"/>
    <s v="S"/>
    <x v="1297"/>
    <x v="52"/>
    <x v="870"/>
    <m/>
    <x v="59"/>
    <m/>
    <x v="3"/>
    <x v="0"/>
    <x v="568"/>
    <d v="2013-10-13T00:00:00"/>
    <x v="14"/>
    <x v="1"/>
    <s v="Competição Nacional"/>
    <m/>
    <x v="0"/>
    <x v="0"/>
    <m/>
    <x v="0"/>
    <x v="0"/>
    <x v="2047"/>
    <x v="3"/>
    <x v="0"/>
    <x v="1"/>
    <x v="568"/>
    <x v="6105"/>
  </r>
  <r>
    <x v="2"/>
    <n v="1895"/>
    <x v="2024"/>
    <x v="0"/>
    <s v="CM"/>
    <s v="S"/>
    <x v="1297"/>
    <x v="52"/>
    <x v="149"/>
    <m/>
    <x v="114"/>
    <m/>
    <x v="35"/>
    <x v="0"/>
    <x v="553"/>
    <d v="2013-11-06T00:00:00"/>
    <x v="0"/>
    <x v="0"/>
    <m/>
    <s v="O Som e a Fúria presents"/>
    <x v="0"/>
    <x v="0"/>
    <m/>
    <x v="0"/>
    <x v="0"/>
    <x v="2047"/>
    <x v="35"/>
    <x v="0"/>
    <x v="0"/>
    <x v="553"/>
    <x v="6106"/>
  </r>
  <r>
    <x v="2"/>
    <n v="1895"/>
    <x v="2024"/>
    <x v="0"/>
    <s v="CM"/>
    <s v="S"/>
    <x v="1297"/>
    <x v="52"/>
    <x v="860"/>
    <m/>
    <x v="6"/>
    <m/>
    <x v="4"/>
    <x v="0"/>
    <x v="467"/>
    <d v="2013-11-24T00:00:00"/>
    <x v="13"/>
    <x v="0"/>
    <m/>
    <s v="Portugal Alterado: Las últimas películas"/>
    <x v="0"/>
    <x v="0"/>
    <m/>
    <x v="0"/>
    <x v="0"/>
    <x v="2047"/>
    <x v="4"/>
    <x v="0"/>
    <x v="0"/>
    <x v="467"/>
    <x v="6107"/>
  </r>
  <r>
    <x v="2"/>
    <n v="1895"/>
    <x v="2024"/>
    <x v="0"/>
    <s v="CM"/>
    <s v="S"/>
    <x v="1297"/>
    <x v="52"/>
    <x v="133"/>
    <m/>
    <x v="101"/>
    <m/>
    <x v="3"/>
    <x v="0"/>
    <x v="502"/>
    <d v="2013-12-08T00:00:00"/>
    <x v="12"/>
    <x v="1"/>
    <s v="Sessão Competitiva de Curtas-Metragens 1"/>
    <m/>
    <x v="97"/>
    <x v="0"/>
    <m/>
    <x v="1"/>
    <x v="0"/>
    <x v="2047"/>
    <x v="3"/>
    <x v="702"/>
    <x v="1"/>
    <x v="502"/>
    <x v="6108"/>
  </r>
  <r>
    <x v="2"/>
    <n v="1041"/>
    <x v="713"/>
    <x v="3"/>
    <s v="CM"/>
    <s v=""/>
    <x v="80"/>
    <x v="12"/>
    <x v="373"/>
    <m/>
    <x v="189"/>
    <m/>
    <x v="5"/>
    <x v="0"/>
    <x v="497"/>
    <d v="2013-04-21T00:00:00"/>
    <x v="5"/>
    <x v="0"/>
    <m/>
    <s v="Focus Portugal: Restless Future"/>
    <x v="0"/>
    <x v="0"/>
    <s v="Programa da ACM"/>
    <x v="0"/>
    <x v="6"/>
    <x v="716"/>
    <x v="5"/>
    <x v="0"/>
    <x v="0"/>
    <x v="497"/>
    <x v="6109"/>
  </r>
  <r>
    <x v="2"/>
    <n v="1041"/>
    <x v="713"/>
    <x v="3"/>
    <s v="CM"/>
    <s v=""/>
    <x v="80"/>
    <x v="12"/>
    <x v="896"/>
    <m/>
    <x v="20"/>
    <m/>
    <x v="5"/>
    <x v="0"/>
    <x v="540"/>
    <d v="2013-08-30T00:00:00"/>
    <x v="16"/>
    <x v="0"/>
    <m/>
    <m/>
    <x v="0"/>
    <x v="1"/>
    <s v="Kino Arsenal"/>
    <x v="0"/>
    <x v="6"/>
    <x v="716"/>
    <x v="5"/>
    <x v="0"/>
    <x v="0"/>
    <x v="540"/>
    <x v="6110"/>
  </r>
  <r>
    <x v="2"/>
    <n v="1041"/>
    <x v="713"/>
    <x v="3"/>
    <s v="CM"/>
    <s v=""/>
    <x v="80"/>
    <x v="12"/>
    <x v="709"/>
    <m/>
    <x v="65"/>
    <m/>
    <x v="9"/>
    <x v="0"/>
    <x v="619"/>
    <d v="2013-10-13T00:00:00"/>
    <x v="10"/>
    <x v="0"/>
    <m/>
    <s v="Views from the Avant-Garde Program 7: Sandro Aguilar - Dive: Approach and Exit"/>
    <x v="0"/>
    <x v="0"/>
    <m/>
    <x v="0"/>
    <x v="6"/>
    <x v="716"/>
    <x v="9"/>
    <x v="0"/>
    <x v="0"/>
    <x v="619"/>
    <x v="6111"/>
  </r>
  <r>
    <x v="2"/>
    <n v="1701"/>
    <x v="2025"/>
    <x v="0"/>
    <s v="CM"/>
    <s v="N"/>
    <x v="1298"/>
    <x v="41"/>
    <x v="62"/>
    <m/>
    <x v="23"/>
    <m/>
    <x v="3"/>
    <x v="0"/>
    <x v="503"/>
    <d v="2013-03-10T00:00:00"/>
    <x v="19"/>
    <x v="1"/>
    <s v="Prémio de Cinema Português - Escolas de Cinema"/>
    <m/>
    <x v="0"/>
    <x v="0"/>
    <s v="RESTART "/>
    <x v="0"/>
    <x v="0"/>
    <x v="2048"/>
    <x v="3"/>
    <x v="0"/>
    <x v="1"/>
    <x v="503"/>
    <x v="6112"/>
  </r>
  <r>
    <x v="2"/>
    <n v="1649"/>
    <x v="2026"/>
    <x v="0"/>
    <s v="LM"/>
    <s v="S"/>
    <x v="418"/>
    <x v="5"/>
    <x v="926"/>
    <m/>
    <x v="430"/>
    <m/>
    <x v="58"/>
    <x v="0"/>
    <x v="621"/>
    <d v="2013-02-22T00:00:00"/>
    <x v="1"/>
    <x v="1"/>
    <s v="Compétition Internationale"/>
    <m/>
    <x v="0"/>
    <x v="0"/>
    <m/>
    <x v="0"/>
    <x v="5"/>
    <x v="2049"/>
    <x v="58"/>
    <x v="0"/>
    <x v="0"/>
    <x v="621"/>
    <x v="6113"/>
  </r>
  <r>
    <x v="2"/>
    <n v="1649"/>
    <x v="2026"/>
    <x v="0"/>
    <s v="LM"/>
    <s v="S"/>
    <x v="418"/>
    <x v="5"/>
    <x v="863"/>
    <m/>
    <x v="421"/>
    <m/>
    <x v="32"/>
    <x v="0"/>
    <x v="561"/>
    <d v="2013-03-30T00:00:00"/>
    <x v="2"/>
    <x v="0"/>
    <m/>
    <s v="Carte Blanche Cinéma Portugais"/>
    <x v="0"/>
    <x v="1"/>
    <m/>
    <x v="0"/>
    <x v="5"/>
    <x v="2049"/>
    <x v="32"/>
    <x v="0"/>
    <x v="0"/>
    <x v="561"/>
    <x v="6114"/>
  </r>
  <r>
    <x v="2"/>
    <n v="1649"/>
    <x v="2026"/>
    <x v="0"/>
    <s v="LM"/>
    <s v="S"/>
    <x v="418"/>
    <x v="5"/>
    <x v="143"/>
    <m/>
    <x v="109"/>
    <m/>
    <x v="2"/>
    <x v="0"/>
    <x v="519"/>
    <d v="2013-11-16T00:00:00"/>
    <x v="13"/>
    <x v="0"/>
    <m/>
    <s v="Plein Sud"/>
    <x v="0"/>
    <x v="0"/>
    <m/>
    <x v="0"/>
    <x v="5"/>
    <x v="2049"/>
    <x v="2"/>
    <x v="0"/>
    <x v="0"/>
    <x v="519"/>
    <x v="6115"/>
  </r>
  <r>
    <x v="2"/>
    <n v="1914"/>
    <x v="2027"/>
    <x v="0"/>
    <s v="CM"/>
    <s v="N"/>
    <x v="1299"/>
    <x v="52"/>
    <x v="68"/>
    <m/>
    <x v="53"/>
    <m/>
    <x v="3"/>
    <x v="0"/>
    <x v="573"/>
    <d v="2013-07-14T00:00:00"/>
    <x v="8"/>
    <x v="1"/>
    <s v="17º Videorun Restart"/>
    <m/>
    <x v="430"/>
    <x v="0"/>
    <m/>
    <x v="1"/>
    <x v="0"/>
    <x v="2050"/>
    <x v="3"/>
    <x v="703"/>
    <x v="1"/>
    <x v="573"/>
    <x v="6116"/>
  </r>
  <r>
    <x v="2"/>
    <n v="1941"/>
    <x v="2028"/>
    <x v="3"/>
    <s v="CM"/>
    <s v="N"/>
    <x v="1300"/>
    <x v="52"/>
    <x v="192"/>
    <m/>
    <x v="140"/>
    <m/>
    <x v="3"/>
    <x v="0"/>
    <x v="334"/>
    <d v="2013-07-28T00:00:00"/>
    <x v="8"/>
    <x v="0"/>
    <m/>
    <m/>
    <x v="0"/>
    <x v="0"/>
    <m/>
    <x v="0"/>
    <x v="6"/>
    <x v="2051"/>
    <x v="3"/>
    <x v="0"/>
    <x v="1"/>
    <x v="334"/>
    <x v="6117"/>
  </r>
  <r>
    <x v="2"/>
    <n v="1941"/>
    <x v="2028"/>
    <x v="3"/>
    <s v="CM"/>
    <s v="N"/>
    <x v="1300"/>
    <x v="52"/>
    <x v="767"/>
    <m/>
    <x v="65"/>
    <m/>
    <x v="9"/>
    <x v="0"/>
    <x v="542"/>
    <d v="2013-09-08T00:00:00"/>
    <x v="9"/>
    <x v="0"/>
    <m/>
    <m/>
    <x v="0"/>
    <x v="0"/>
    <m/>
    <x v="0"/>
    <x v="6"/>
    <x v="2051"/>
    <x v="9"/>
    <x v="0"/>
    <x v="0"/>
    <x v="542"/>
    <x v="6118"/>
  </r>
  <r>
    <x v="2"/>
    <n v="1834"/>
    <x v="2029"/>
    <x v="1"/>
    <s v="CM"/>
    <s v="N"/>
    <x v="15"/>
    <x v="44"/>
    <x v="906"/>
    <m/>
    <x v="348"/>
    <m/>
    <x v="3"/>
    <x v="0"/>
    <x v="592"/>
    <d v="2013-06-23T00:00:00"/>
    <x v="7"/>
    <x v="0"/>
    <m/>
    <m/>
    <x v="0"/>
    <x v="0"/>
    <m/>
    <x v="0"/>
    <x v="2"/>
    <x v="2052"/>
    <x v="3"/>
    <x v="0"/>
    <x v="1"/>
    <x v="592"/>
    <x v="6119"/>
  </r>
  <r>
    <x v="2"/>
    <n v="1566"/>
    <x v="1488"/>
    <x v="1"/>
    <s v="CM"/>
    <s v="N"/>
    <x v="975"/>
    <x v="41"/>
    <x v="62"/>
    <m/>
    <x v="23"/>
    <m/>
    <x v="3"/>
    <x v="0"/>
    <x v="503"/>
    <d v="2013-03-10T00:00:00"/>
    <x v="19"/>
    <x v="1"/>
    <s v="Prémio de Cinema Português - Escolas de Cinema"/>
    <m/>
    <x v="0"/>
    <x v="0"/>
    <s v="ESTC"/>
    <x v="0"/>
    <x v="2"/>
    <x v="1498"/>
    <x v="3"/>
    <x v="0"/>
    <x v="1"/>
    <x v="503"/>
    <x v="6120"/>
  </r>
  <r>
    <x v="2"/>
    <n v="1566"/>
    <x v="1488"/>
    <x v="1"/>
    <s v="CM"/>
    <s v="N"/>
    <x v="975"/>
    <x v="41"/>
    <x v="509"/>
    <m/>
    <x v="174"/>
    <m/>
    <x v="1"/>
    <x v="0"/>
    <x v="641"/>
    <d v="2013-04-28T00:00:00"/>
    <x v="5"/>
    <x v="1"/>
    <s v="Documental 2"/>
    <m/>
    <x v="0"/>
    <x v="0"/>
    <m/>
    <x v="0"/>
    <x v="2"/>
    <x v="1498"/>
    <x v="1"/>
    <x v="0"/>
    <x v="0"/>
    <x v="641"/>
    <x v="6121"/>
  </r>
  <r>
    <x v="2"/>
    <n v="1566"/>
    <x v="1488"/>
    <x v="1"/>
    <s v="CM"/>
    <s v="N"/>
    <x v="975"/>
    <x v="41"/>
    <x v="146"/>
    <m/>
    <x v="24"/>
    <m/>
    <x v="3"/>
    <x v="0"/>
    <x v="537"/>
    <d v="2013-04-28T00:00:00"/>
    <x v="5"/>
    <x v="1"/>
    <s v="Competição Nacional"/>
    <s v="Cinema Emergente Curtas 1, INDIE JUNIOR 3º Ciclo"/>
    <x v="575"/>
    <x v="0"/>
    <m/>
    <x v="1"/>
    <x v="2"/>
    <x v="1498"/>
    <x v="3"/>
    <x v="704"/>
    <x v="1"/>
    <x v="537"/>
    <x v="6122"/>
  </r>
  <r>
    <x v="2"/>
    <n v="1566"/>
    <x v="1488"/>
    <x v="1"/>
    <s v="CM"/>
    <s v="N"/>
    <x v="975"/>
    <x v="41"/>
    <x v="519"/>
    <m/>
    <x v="24"/>
    <m/>
    <x v="3"/>
    <x v="0"/>
    <x v="504"/>
    <d v="2013-05-11T00:00:00"/>
    <x v="6"/>
    <x v="0"/>
    <m/>
    <m/>
    <x v="0"/>
    <x v="1"/>
    <m/>
    <x v="0"/>
    <x v="2"/>
    <x v="1498"/>
    <x v="3"/>
    <x v="0"/>
    <x v="1"/>
    <x v="504"/>
    <x v="6123"/>
  </r>
  <r>
    <x v="2"/>
    <n v="1566"/>
    <x v="1488"/>
    <x v="1"/>
    <s v="CM"/>
    <s v="N"/>
    <x v="975"/>
    <x v="41"/>
    <x v="34"/>
    <m/>
    <x v="32"/>
    <m/>
    <x v="3"/>
    <x v="0"/>
    <x v="525"/>
    <d v="2013-05-12T00:00:00"/>
    <x v="6"/>
    <x v="1"/>
    <s v="Curta-metragem Escolar"/>
    <m/>
    <x v="576"/>
    <x v="0"/>
    <m/>
    <x v="1"/>
    <x v="2"/>
    <x v="1498"/>
    <x v="3"/>
    <x v="705"/>
    <x v="1"/>
    <x v="525"/>
    <x v="6124"/>
  </r>
  <r>
    <x v="2"/>
    <n v="1566"/>
    <x v="1488"/>
    <x v="1"/>
    <s v="CM"/>
    <s v="N"/>
    <x v="975"/>
    <x v="41"/>
    <x v="975"/>
    <m/>
    <x v="441"/>
    <m/>
    <x v="75"/>
    <x v="0"/>
    <x v="666"/>
    <d v="2013-06-21T00:00:00"/>
    <x v="22"/>
    <x v="1"/>
    <m/>
    <m/>
    <x v="0"/>
    <x v="0"/>
    <m/>
    <x v="0"/>
    <x v="2"/>
    <x v="1498"/>
    <x v="75"/>
    <x v="0"/>
    <x v="0"/>
    <x v="666"/>
    <x v="6125"/>
  </r>
  <r>
    <x v="2"/>
    <n v="1566"/>
    <x v="1488"/>
    <x v="1"/>
    <s v="CM"/>
    <s v="N"/>
    <x v="975"/>
    <x v="41"/>
    <x v="864"/>
    <m/>
    <x v="32"/>
    <m/>
    <x v="3"/>
    <x v="0"/>
    <x v="562"/>
    <d v="2013-06-16T00:00:00"/>
    <x v="7"/>
    <x v="0"/>
    <m/>
    <s v="Curtas Sadinas"/>
    <x v="0"/>
    <x v="0"/>
    <m/>
    <x v="0"/>
    <x v="2"/>
    <x v="1498"/>
    <x v="3"/>
    <x v="0"/>
    <x v="1"/>
    <x v="562"/>
    <x v="6126"/>
  </r>
  <r>
    <x v="2"/>
    <n v="1566"/>
    <x v="1488"/>
    <x v="1"/>
    <s v="CM"/>
    <s v="N"/>
    <x v="975"/>
    <x v="41"/>
    <x v="68"/>
    <m/>
    <x v="53"/>
    <m/>
    <x v="3"/>
    <x v="0"/>
    <x v="573"/>
    <d v="2013-07-14T00:00:00"/>
    <x v="8"/>
    <x v="1"/>
    <s v="Competição Take One!"/>
    <m/>
    <x v="6"/>
    <x v="0"/>
    <m/>
    <x v="1"/>
    <x v="2"/>
    <x v="1498"/>
    <x v="3"/>
    <x v="706"/>
    <x v="1"/>
    <x v="573"/>
    <x v="6127"/>
  </r>
  <r>
    <x v="2"/>
    <n v="1566"/>
    <x v="1488"/>
    <x v="1"/>
    <s v="CM"/>
    <s v="N"/>
    <x v="975"/>
    <x v="41"/>
    <x v="192"/>
    <m/>
    <x v="140"/>
    <m/>
    <x v="3"/>
    <x v="0"/>
    <x v="334"/>
    <d v="2013-07-28T00:00:00"/>
    <x v="8"/>
    <x v="0"/>
    <m/>
    <s v="Panorama Cinema Português"/>
    <x v="0"/>
    <x v="0"/>
    <m/>
    <x v="0"/>
    <x v="2"/>
    <x v="1498"/>
    <x v="3"/>
    <x v="0"/>
    <x v="1"/>
    <x v="334"/>
    <x v="6128"/>
  </r>
  <r>
    <x v="2"/>
    <n v="1566"/>
    <x v="1488"/>
    <x v="1"/>
    <s v="CM"/>
    <s v="N"/>
    <x v="975"/>
    <x v="41"/>
    <x v="870"/>
    <m/>
    <x v="59"/>
    <m/>
    <x v="3"/>
    <x v="0"/>
    <x v="568"/>
    <d v="2013-10-13T00:00:00"/>
    <x v="14"/>
    <x v="1"/>
    <s v="Competição Nacional"/>
    <m/>
    <x v="7"/>
    <x v="0"/>
    <m/>
    <x v="1"/>
    <x v="2"/>
    <x v="1498"/>
    <x v="3"/>
    <x v="230"/>
    <x v="1"/>
    <x v="568"/>
    <x v="6129"/>
  </r>
  <r>
    <x v="2"/>
    <n v="1566"/>
    <x v="1488"/>
    <x v="1"/>
    <s v="CM"/>
    <s v="N"/>
    <x v="975"/>
    <x v="41"/>
    <x v="928"/>
    <m/>
    <x v="78"/>
    <m/>
    <x v="20"/>
    <x v="0"/>
    <x v="528"/>
    <d v="2013-10-20T00:00:00"/>
    <x v="14"/>
    <x v="0"/>
    <m/>
    <s v="Short Docs: Programme 2"/>
    <x v="0"/>
    <x v="0"/>
    <m/>
    <x v="0"/>
    <x v="2"/>
    <x v="1498"/>
    <x v="20"/>
    <x v="0"/>
    <x v="0"/>
    <x v="528"/>
    <x v="6130"/>
  </r>
  <r>
    <x v="2"/>
    <n v="1862"/>
    <x v="2030"/>
    <x v="1"/>
    <s v="CM"/>
    <s v="N"/>
    <x v="834"/>
    <x v="27"/>
    <x v="854"/>
    <m/>
    <x v="24"/>
    <m/>
    <x v="3"/>
    <x v="0"/>
    <x v="550"/>
    <d v="2013-03-27T00:00:00"/>
    <x v="2"/>
    <x v="0"/>
    <m/>
    <m/>
    <x v="0"/>
    <x v="1"/>
    <m/>
    <x v="0"/>
    <x v="2"/>
    <x v="2053"/>
    <x v="3"/>
    <x v="0"/>
    <x v="1"/>
    <x v="550"/>
    <x v="6131"/>
  </r>
  <r>
    <x v="2"/>
    <n v="1851"/>
    <x v="2031"/>
    <x v="0"/>
    <s v="LM"/>
    <s v="N"/>
    <x v="1301"/>
    <x v="52"/>
    <x v="864"/>
    <m/>
    <x v="32"/>
    <m/>
    <x v="3"/>
    <x v="0"/>
    <x v="562"/>
    <d v="2013-06-16T00:00:00"/>
    <x v="7"/>
    <x v="1"/>
    <s v="Primeiras Obras"/>
    <m/>
    <x v="0"/>
    <x v="0"/>
    <m/>
    <x v="0"/>
    <x v="5"/>
    <x v="2054"/>
    <x v="3"/>
    <x v="0"/>
    <x v="1"/>
    <x v="562"/>
    <x v="6132"/>
  </r>
  <r>
    <x v="2"/>
    <n v="2155"/>
    <x v="2032"/>
    <x v="0"/>
    <s v="LM"/>
    <s v="S"/>
    <x v="430"/>
    <x v="36"/>
    <x v="993"/>
    <m/>
    <x v="340"/>
    <m/>
    <x v="3"/>
    <x v="0"/>
    <x v="639"/>
    <d v="2013-11-09T00:00:00"/>
    <x v="13"/>
    <x v="0"/>
    <m/>
    <m/>
    <x v="0"/>
    <x v="1"/>
    <m/>
    <x v="0"/>
    <x v="5"/>
    <x v="2055"/>
    <x v="3"/>
    <x v="0"/>
    <x v="1"/>
    <x v="639"/>
    <x v="6133"/>
  </r>
  <r>
    <x v="2"/>
    <n v="2055"/>
    <x v="2033"/>
    <x v="0"/>
    <s v="CM"/>
    <s v="N"/>
    <x v="1302"/>
    <x v="52"/>
    <x v="1062"/>
    <m/>
    <x v="15"/>
    <m/>
    <x v="3"/>
    <x v="0"/>
    <x v="719"/>
    <m/>
    <x v="16"/>
    <x v="1"/>
    <m/>
    <m/>
    <x v="0"/>
    <x v="1"/>
    <m/>
    <x v="0"/>
    <x v="0"/>
    <x v="2056"/>
    <x v="3"/>
    <x v="0"/>
    <x v="1"/>
    <x v="719"/>
    <x v="6134"/>
  </r>
  <r>
    <x v="2"/>
    <n v="2132"/>
    <x v="2034"/>
    <x v="1"/>
    <s v="CM"/>
    <s v="N"/>
    <x v="1303"/>
    <x v="52"/>
    <x v="454"/>
    <m/>
    <x v="15"/>
    <m/>
    <x v="3"/>
    <x v="0"/>
    <x v="334"/>
    <m/>
    <x v="8"/>
    <x v="1"/>
    <s v="Documentário"/>
    <m/>
    <x v="40"/>
    <x v="0"/>
    <m/>
    <x v="1"/>
    <x v="2"/>
    <x v="2057"/>
    <x v="3"/>
    <x v="471"/>
    <x v="1"/>
    <x v="334"/>
    <x v="6135"/>
  </r>
  <r>
    <x v="2"/>
    <n v="2132"/>
    <x v="2034"/>
    <x v="1"/>
    <s v="CM"/>
    <s v="N"/>
    <x v="1303"/>
    <x v="52"/>
    <x v="962"/>
    <m/>
    <x v="15"/>
    <m/>
    <x v="3"/>
    <x v="0"/>
    <x v="653"/>
    <m/>
    <x v="13"/>
    <x v="0"/>
    <m/>
    <s v="Doc Xpress Viseu"/>
    <x v="0"/>
    <x v="1"/>
    <m/>
    <x v="0"/>
    <x v="2"/>
    <x v="2057"/>
    <x v="3"/>
    <x v="0"/>
    <x v="1"/>
    <x v="653"/>
    <x v="6136"/>
  </r>
  <r>
    <x v="2"/>
    <n v="1063"/>
    <x v="1494"/>
    <x v="0"/>
    <s v="CM"/>
    <s v="N"/>
    <x v="981"/>
    <x v="2"/>
    <x v="192"/>
    <m/>
    <x v="140"/>
    <m/>
    <x v="3"/>
    <x v="0"/>
    <x v="334"/>
    <d v="2013-07-28T00:00:00"/>
    <x v="8"/>
    <x v="0"/>
    <m/>
    <s v="Premiados AVANCA 2012"/>
    <x v="0"/>
    <x v="0"/>
    <m/>
    <x v="0"/>
    <x v="0"/>
    <x v="1504"/>
    <x v="3"/>
    <x v="0"/>
    <x v="1"/>
    <x v="334"/>
    <x v="6137"/>
  </r>
  <r>
    <x v="2"/>
    <n v="1064"/>
    <x v="729"/>
    <x v="1"/>
    <s v="LM"/>
    <s v="S"/>
    <x v="10"/>
    <x v="1"/>
    <x v="906"/>
    <m/>
    <x v="348"/>
    <m/>
    <x v="3"/>
    <x v="0"/>
    <x v="592"/>
    <d v="2013-06-23T00:00:00"/>
    <x v="7"/>
    <x v="0"/>
    <m/>
    <m/>
    <x v="0"/>
    <x v="0"/>
    <m/>
    <x v="0"/>
    <x v="1"/>
    <x v="732"/>
    <x v="3"/>
    <x v="0"/>
    <x v="1"/>
    <x v="592"/>
    <x v="6138"/>
  </r>
  <r>
    <x v="2"/>
    <n v="1064"/>
    <x v="729"/>
    <x v="1"/>
    <s v="LM"/>
    <s v="S"/>
    <x v="10"/>
    <x v="1"/>
    <x v="824"/>
    <m/>
    <x v="408"/>
    <m/>
    <x v="9"/>
    <x v="0"/>
    <x v="498"/>
    <d v="2013-11-17T00:00:00"/>
    <x v="13"/>
    <x v="0"/>
    <m/>
    <m/>
    <x v="0"/>
    <x v="1"/>
    <s v="No BAM/PFA"/>
    <x v="0"/>
    <x v="1"/>
    <x v="732"/>
    <x v="9"/>
    <x v="0"/>
    <x v="0"/>
    <x v="498"/>
    <x v="6139"/>
  </r>
  <r>
    <x v="2"/>
    <n v="1991"/>
    <x v="2035"/>
    <x v="3"/>
    <s v="CM"/>
    <s v="N"/>
    <x v="1005"/>
    <x v="52"/>
    <x v="918"/>
    <m/>
    <x v="256"/>
    <m/>
    <x v="9"/>
    <x v="0"/>
    <x v="541"/>
    <d v="2013-09-08T00:00:00"/>
    <x v="9"/>
    <x v="0"/>
    <m/>
    <s v="System Overload"/>
    <x v="0"/>
    <x v="0"/>
    <m/>
    <x v="0"/>
    <x v="6"/>
    <x v="2058"/>
    <x v="9"/>
    <x v="0"/>
    <x v="0"/>
    <x v="541"/>
    <x v="6140"/>
  </r>
  <r>
    <x v="2"/>
    <n v="1991"/>
    <x v="2035"/>
    <x v="3"/>
    <s v="CM"/>
    <s v="N"/>
    <x v="1005"/>
    <x v="52"/>
    <x v="767"/>
    <m/>
    <x v="65"/>
    <m/>
    <x v="9"/>
    <x v="0"/>
    <x v="542"/>
    <d v="2013-09-08T00:00:00"/>
    <x v="9"/>
    <x v="0"/>
    <m/>
    <m/>
    <x v="0"/>
    <x v="0"/>
    <m/>
    <x v="0"/>
    <x v="6"/>
    <x v="2058"/>
    <x v="9"/>
    <x v="0"/>
    <x v="0"/>
    <x v="542"/>
    <x v="6141"/>
  </r>
  <r>
    <x v="2"/>
    <n v="1946"/>
    <x v="2036"/>
    <x v="1"/>
    <s v="CM"/>
    <s v="N"/>
    <x v="1304"/>
    <x v="52"/>
    <x v="316"/>
    <m/>
    <x v="11"/>
    <m/>
    <x v="3"/>
    <x v="0"/>
    <x v="500"/>
    <d v="2013-08-31T00:00:00"/>
    <x v="16"/>
    <x v="1"/>
    <s v="Documentário"/>
    <m/>
    <x v="0"/>
    <x v="0"/>
    <m/>
    <x v="0"/>
    <x v="2"/>
    <x v="2059"/>
    <x v="3"/>
    <x v="0"/>
    <x v="1"/>
    <x v="500"/>
    <x v="6142"/>
  </r>
  <r>
    <x v="2"/>
    <n v="2108"/>
    <x v="2037"/>
    <x v="1"/>
    <s v="CM"/>
    <s v="N"/>
    <x v="1305"/>
    <x v="2"/>
    <x v="855"/>
    <m/>
    <x v="18"/>
    <m/>
    <x v="3"/>
    <x v="0"/>
    <x v="551"/>
    <d v="2013-12-10T00:00:00"/>
    <x v="32"/>
    <x v="0"/>
    <m/>
    <m/>
    <x v="0"/>
    <x v="1"/>
    <m/>
    <x v="0"/>
    <x v="2"/>
    <x v="2060"/>
    <x v="3"/>
    <x v="0"/>
    <x v="1"/>
    <x v="551"/>
    <x v="6143"/>
  </r>
  <r>
    <x v="2"/>
    <n v="2108"/>
    <x v="2037"/>
    <x v="1"/>
    <s v="CM"/>
    <s v="N"/>
    <x v="1305"/>
    <x v="2"/>
    <x v="873"/>
    <m/>
    <x v="297"/>
    <m/>
    <x v="3"/>
    <x v="0"/>
    <x v="509"/>
    <d v="2013-11-27T00:00:00"/>
    <x v="13"/>
    <x v="0"/>
    <m/>
    <s v="Homenagem à Ria de Aveiro"/>
    <x v="0"/>
    <x v="0"/>
    <m/>
    <x v="0"/>
    <x v="2"/>
    <x v="2060"/>
    <x v="3"/>
    <x v="0"/>
    <x v="1"/>
    <x v="509"/>
    <x v="6144"/>
  </r>
  <r>
    <x v="2"/>
    <n v="1859"/>
    <x v="2038"/>
    <x v="0"/>
    <s v="CM"/>
    <s v="S"/>
    <x v="615"/>
    <x v="27"/>
    <x v="854"/>
    <m/>
    <x v="24"/>
    <m/>
    <x v="3"/>
    <x v="0"/>
    <x v="550"/>
    <d v="2013-03-27T00:00:00"/>
    <x v="2"/>
    <x v="0"/>
    <m/>
    <m/>
    <x v="0"/>
    <x v="1"/>
    <m/>
    <x v="0"/>
    <x v="0"/>
    <x v="2061"/>
    <x v="3"/>
    <x v="0"/>
    <x v="1"/>
    <x v="550"/>
    <x v="6145"/>
  </r>
  <r>
    <x v="2"/>
    <n v="1073"/>
    <x v="737"/>
    <x v="0"/>
    <s v="LM"/>
    <s v="S"/>
    <x v="289"/>
    <x v="3"/>
    <x v="1063"/>
    <m/>
    <x v="273"/>
    <m/>
    <x v="11"/>
    <x v="0"/>
    <x v="622"/>
    <d v="2013-03-06T00:00:00"/>
    <x v="19"/>
    <x v="0"/>
    <s v="Best World Movies"/>
    <m/>
    <x v="577"/>
    <x v="0"/>
    <m/>
    <x v="1"/>
    <x v="5"/>
    <x v="740"/>
    <x v="11"/>
    <x v="707"/>
    <x v="0"/>
    <x v="622"/>
    <x v="6146"/>
  </r>
  <r>
    <x v="2"/>
    <n v="1073"/>
    <x v="737"/>
    <x v="0"/>
    <s v="LM"/>
    <s v="S"/>
    <x v="289"/>
    <x v="3"/>
    <x v="269"/>
    <m/>
    <x v="188"/>
    <m/>
    <x v="55"/>
    <x v="0"/>
    <x v="561"/>
    <d v="2013-04-06T00:00:00"/>
    <x v="3"/>
    <x v="1"/>
    <s v="Competencia Internacional de Largometrajes"/>
    <m/>
    <x v="578"/>
    <x v="0"/>
    <m/>
    <x v="1"/>
    <x v="5"/>
    <x v="740"/>
    <x v="55"/>
    <x v="708"/>
    <x v="0"/>
    <x v="561"/>
    <x v="6147"/>
  </r>
  <r>
    <x v="2"/>
    <n v="1073"/>
    <x v="737"/>
    <x v="0"/>
    <s v="LM"/>
    <s v="S"/>
    <x v="289"/>
    <x v="3"/>
    <x v="835"/>
    <m/>
    <x v="243"/>
    <m/>
    <x v="64"/>
    <x v="0"/>
    <x v="515"/>
    <d v="2013-06-29T00:00:00"/>
    <x v="7"/>
    <x v="0"/>
    <m/>
    <s v="Portugal Euphoria"/>
    <x v="0"/>
    <x v="0"/>
    <m/>
    <x v="0"/>
    <x v="5"/>
    <x v="740"/>
    <x v="64"/>
    <x v="0"/>
    <x v="0"/>
    <x v="515"/>
    <x v="6148"/>
  </r>
  <r>
    <x v="2"/>
    <n v="1073"/>
    <x v="737"/>
    <x v="0"/>
    <s v="LM"/>
    <s v="S"/>
    <x v="289"/>
    <x v="3"/>
    <x v="846"/>
    <m/>
    <x v="417"/>
    <m/>
    <x v="11"/>
    <x v="0"/>
    <x v="535"/>
    <d v="2013-08-03T00:00:00"/>
    <x v="25"/>
    <x v="0"/>
    <m/>
    <s v="Focus Portugal: Contemporary Cinema"/>
    <x v="0"/>
    <x v="0"/>
    <m/>
    <x v="0"/>
    <x v="5"/>
    <x v="740"/>
    <x v="11"/>
    <x v="0"/>
    <x v="0"/>
    <x v="535"/>
    <x v="6149"/>
  </r>
  <r>
    <x v="2"/>
    <n v="1073"/>
    <x v="737"/>
    <x v="0"/>
    <s v="LM"/>
    <s v="S"/>
    <x v="289"/>
    <x v="3"/>
    <x v="848"/>
    <m/>
    <x v="165"/>
    <m/>
    <x v="4"/>
    <x v="0"/>
    <x v="540"/>
    <d v="2013-09-01T00:00:00"/>
    <x v="20"/>
    <x v="0"/>
    <m/>
    <m/>
    <x v="0"/>
    <x v="1"/>
    <m/>
    <x v="0"/>
    <x v="5"/>
    <x v="740"/>
    <x v="4"/>
    <x v="0"/>
    <x v="0"/>
    <x v="540"/>
    <x v="6150"/>
  </r>
  <r>
    <x v="2"/>
    <n v="1073"/>
    <x v="737"/>
    <x v="0"/>
    <s v="LM"/>
    <s v="S"/>
    <x v="289"/>
    <x v="3"/>
    <x v="492"/>
    <m/>
    <x v="128"/>
    <m/>
    <x v="1"/>
    <x v="0"/>
    <x v="519"/>
    <d v="2013-11-16T00:00:00"/>
    <x v="13"/>
    <x v="0"/>
    <m/>
    <s v="Focus Europa: Portugal"/>
    <x v="0"/>
    <x v="0"/>
    <m/>
    <x v="0"/>
    <x v="5"/>
    <x v="740"/>
    <x v="1"/>
    <x v="0"/>
    <x v="0"/>
    <x v="519"/>
    <x v="6151"/>
  </r>
  <r>
    <x v="2"/>
    <n v="1855"/>
    <x v="2039"/>
    <x v="0"/>
    <s v="CM"/>
    <s v="N"/>
    <x v="326"/>
    <x v="1"/>
    <x v="854"/>
    <m/>
    <x v="24"/>
    <m/>
    <x v="3"/>
    <x v="0"/>
    <x v="550"/>
    <d v="2013-03-27T00:00:00"/>
    <x v="2"/>
    <x v="0"/>
    <m/>
    <m/>
    <x v="0"/>
    <x v="1"/>
    <m/>
    <x v="0"/>
    <x v="0"/>
    <x v="2062"/>
    <x v="3"/>
    <x v="0"/>
    <x v="1"/>
    <x v="550"/>
    <x v="6152"/>
  </r>
  <r>
    <x v="2"/>
    <n v="1855"/>
    <x v="2039"/>
    <x v="0"/>
    <s v="CM"/>
    <s v="N"/>
    <x v="326"/>
    <x v="1"/>
    <x v="860"/>
    <m/>
    <x v="6"/>
    <m/>
    <x v="4"/>
    <x v="0"/>
    <x v="467"/>
    <d v="2013-11-24T00:00:00"/>
    <x v="13"/>
    <x v="0"/>
    <m/>
    <s v="Portugal Alterado: Las últimas películas"/>
    <x v="0"/>
    <x v="0"/>
    <m/>
    <x v="0"/>
    <x v="0"/>
    <x v="2062"/>
    <x v="4"/>
    <x v="0"/>
    <x v="0"/>
    <x v="467"/>
    <x v="6153"/>
  </r>
  <r>
    <x v="2"/>
    <n v="1074"/>
    <x v="1498"/>
    <x v="2"/>
    <s v="CM"/>
    <s v="S"/>
    <x v="480"/>
    <x v="41"/>
    <x v="26"/>
    <m/>
    <x v="24"/>
    <m/>
    <x v="3"/>
    <x v="0"/>
    <x v="571"/>
    <d v="2013-03-17T00:00:00"/>
    <x v="2"/>
    <x v="1"/>
    <s v="Competição SPAutores/Vasco Granja"/>
    <m/>
    <x v="0"/>
    <x v="0"/>
    <m/>
    <x v="0"/>
    <x v="4"/>
    <x v="1508"/>
    <x v="3"/>
    <x v="0"/>
    <x v="1"/>
    <x v="571"/>
    <x v="6154"/>
  </r>
  <r>
    <x v="2"/>
    <n v="1074"/>
    <x v="1498"/>
    <x v="2"/>
    <s v="CM"/>
    <s v="S"/>
    <x v="480"/>
    <x v="41"/>
    <x v="854"/>
    <m/>
    <x v="24"/>
    <m/>
    <x v="3"/>
    <x v="0"/>
    <x v="550"/>
    <d v="2013-03-27T00:00:00"/>
    <x v="2"/>
    <x v="0"/>
    <m/>
    <m/>
    <x v="0"/>
    <x v="1"/>
    <m/>
    <x v="0"/>
    <x v="4"/>
    <x v="1508"/>
    <x v="3"/>
    <x v="0"/>
    <x v="1"/>
    <x v="550"/>
    <x v="6155"/>
  </r>
  <r>
    <x v="2"/>
    <n v="1753"/>
    <x v="2040"/>
    <x v="1"/>
    <s v="CM"/>
    <s v="N"/>
    <x v="1306"/>
    <x v="41"/>
    <x v="432"/>
    <m/>
    <x v="39"/>
    <m/>
    <x v="3"/>
    <x v="0"/>
    <x v="582"/>
    <d v="2013-04-20T00:00:00"/>
    <x v="5"/>
    <x v="1"/>
    <s v="Competição Nacional - Sessão 5"/>
    <m/>
    <x v="579"/>
    <x v="0"/>
    <m/>
    <x v="1"/>
    <x v="2"/>
    <x v="2063"/>
    <x v="3"/>
    <x v="709"/>
    <x v="1"/>
    <x v="582"/>
    <x v="6156"/>
  </r>
  <r>
    <x v="2"/>
    <n v="1441"/>
    <x v="1499"/>
    <x v="1"/>
    <s v="CM"/>
    <s v="N"/>
    <x v="985"/>
    <x v="41"/>
    <x v="826"/>
    <m/>
    <x v="24"/>
    <m/>
    <x v="3"/>
    <x v="0"/>
    <x v="505"/>
    <d v="2013-09-29T00:00:00"/>
    <x v="9"/>
    <x v="1"/>
    <m/>
    <m/>
    <x v="0"/>
    <x v="0"/>
    <m/>
    <x v="0"/>
    <x v="2"/>
    <x v="1509"/>
    <x v="3"/>
    <x v="0"/>
    <x v="1"/>
    <x v="505"/>
    <x v="6157"/>
  </r>
  <r>
    <x v="2"/>
    <n v="2090"/>
    <x v="2041"/>
    <x v="1"/>
    <s v="CM"/>
    <s v="N"/>
    <x v="1094"/>
    <x v="41"/>
    <x v="904"/>
    <m/>
    <x v="99"/>
    <m/>
    <x v="3"/>
    <x v="0"/>
    <x v="605"/>
    <d v="2013-07-05T00:00:00"/>
    <x v="8"/>
    <x v="0"/>
    <m/>
    <m/>
    <x v="0"/>
    <x v="1"/>
    <m/>
    <x v="0"/>
    <x v="2"/>
    <x v="2064"/>
    <x v="3"/>
    <x v="0"/>
    <x v="1"/>
    <x v="605"/>
    <x v="6158"/>
  </r>
  <r>
    <x v="2"/>
    <n v="2090"/>
    <x v="2041"/>
    <x v="1"/>
    <s v="CM"/>
    <s v="N"/>
    <x v="1094"/>
    <x v="41"/>
    <x v="1064"/>
    <m/>
    <x v="321"/>
    <m/>
    <x v="3"/>
    <x v="0"/>
    <x v="685"/>
    <d v="2013-12-01T00:00:00"/>
    <x v="11"/>
    <x v="1"/>
    <m/>
    <m/>
    <x v="580"/>
    <x v="0"/>
    <m/>
    <x v="1"/>
    <x v="2"/>
    <x v="2064"/>
    <x v="3"/>
    <x v="710"/>
    <x v="1"/>
    <x v="685"/>
    <x v="6159"/>
  </r>
  <r>
    <x v="2"/>
    <n v="1730"/>
    <x v="2042"/>
    <x v="1"/>
    <s v="CM"/>
    <s v="N"/>
    <x v="162"/>
    <x v="22"/>
    <x v="1065"/>
    <m/>
    <x v="174"/>
    <m/>
    <x v="1"/>
    <x v="0"/>
    <x v="596"/>
    <d v="2013-04-05T00:00:00"/>
    <x v="3"/>
    <x v="0"/>
    <m/>
    <m/>
    <x v="0"/>
    <x v="1"/>
    <s v="No Museu de Arte Contemporânea de Barcelona"/>
    <x v="0"/>
    <x v="2"/>
    <x v="2065"/>
    <x v="1"/>
    <x v="0"/>
    <x v="0"/>
    <x v="596"/>
    <x v="6160"/>
  </r>
  <r>
    <x v="2"/>
    <n v="1679"/>
    <x v="2043"/>
    <x v="1"/>
    <s v="CM"/>
    <s v="N"/>
    <x v="1307"/>
    <x v="41"/>
    <x v="62"/>
    <m/>
    <x v="23"/>
    <m/>
    <x v="3"/>
    <x v="0"/>
    <x v="503"/>
    <d v="2013-03-10T00:00:00"/>
    <x v="19"/>
    <x v="1"/>
    <s v="Prémio de Cinema Português - Melhor Filme"/>
    <m/>
    <x v="0"/>
    <x v="0"/>
    <m/>
    <x v="0"/>
    <x v="2"/>
    <x v="2066"/>
    <x v="3"/>
    <x v="0"/>
    <x v="1"/>
    <x v="503"/>
    <x v="6161"/>
  </r>
  <r>
    <x v="2"/>
    <n v="1639"/>
    <x v="2044"/>
    <x v="0"/>
    <s v="CM"/>
    <s v="N"/>
    <x v="1308"/>
    <x v="41"/>
    <x v="840"/>
    <m/>
    <x v="24"/>
    <m/>
    <x v="3"/>
    <x v="0"/>
    <x v="522"/>
    <d v="2013-01-27T00:00:00"/>
    <x v="15"/>
    <x v="1"/>
    <s v="Competição Geral"/>
    <m/>
    <x v="581"/>
    <x v="0"/>
    <m/>
    <x v="1"/>
    <x v="0"/>
    <x v="2067"/>
    <x v="3"/>
    <x v="711"/>
    <x v="1"/>
    <x v="522"/>
    <x v="6162"/>
  </r>
  <r>
    <x v="2"/>
    <n v="1639"/>
    <x v="2044"/>
    <x v="0"/>
    <s v="CM"/>
    <s v="N"/>
    <x v="1308"/>
    <x v="41"/>
    <x v="316"/>
    <m/>
    <x v="11"/>
    <m/>
    <x v="3"/>
    <x v="0"/>
    <x v="500"/>
    <d v="2013-08-31T00:00:00"/>
    <x v="16"/>
    <x v="1"/>
    <s v="Ficção"/>
    <m/>
    <x v="0"/>
    <x v="0"/>
    <m/>
    <x v="0"/>
    <x v="0"/>
    <x v="2067"/>
    <x v="3"/>
    <x v="0"/>
    <x v="1"/>
    <x v="500"/>
    <x v="6163"/>
  </r>
  <r>
    <x v="2"/>
    <n v="1639"/>
    <x v="2044"/>
    <x v="0"/>
    <s v="CM"/>
    <s v="N"/>
    <x v="1308"/>
    <x v="41"/>
    <x v="48"/>
    <m/>
    <x v="24"/>
    <m/>
    <x v="3"/>
    <x v="0"/>
    <x v="569"/>
    <d v="2013-09-15T00:00:00"/>
    <x v="9"/>
    <x v="1"/>
    <s v="Prémio Yorn MOTELx"/>
    <m/>
    <x v="0"/>
    <x v="0"/>
    <m/>
    <x v="0"/>
    <x v="0"/>
    <x v="2067"/>
    <x v="3"/>
    <x v="0"/>
    <x v="1"/>
    <x v="569"/>
    <x v="6164"/>
  </r>
  <r>
    <x v="2"/>
    <n v="1826"/>
    <x v="2045"/>
    <x v="0"/>
    <s v="CM"/>
    <s v="N"/>
    <x v="1309"/>
    <x v="52"/>
    <x v="1066"/>
    <m/>
    <x v="24"/>
    <m/>
    <x v="3"/>
    <x v="0"/>
    <x v="720"/>
    <m/>
    <x v="7"/>
    <x v="1"/>
    <m/>
    <m/>
    <x v="0"/>
    <x v="1"/>
    <m/>
    <x v="0"/>
    <x v="0"/>
    <x v="2068"/>
    <x v="3"/>
    <x v="0"/>
    <x v="1"/>
    <x v="720"/>
    <x v="6165"/>
  </r>
  <r>
    <x v="2"/>
    <n v="1975"/>
    <x v="2046"/>
    <x v="5"/>
    <s v="CM"/>
    <s v="N"/>
    <x v="1310"/>
    <x v="52"/>
    <x v="316"/>
    <m/>
    <x v="11"/>
    <m/>
    <x v="3"/>
    <x v="0"/>
    <x v="500"/>
    <d v="2013-08-31T00:00:00"/>
    <x v="16"/>
    <x v="1"/>
    <s v="Videoclip"/>
    <m/>
    <x v="0"/>
    <x v="0"/>
    <m/>
    <x v="0"/>
    <x v="15"/>
    <x v="2069"/>
    <x v="3"/>
    <x v="0"/>
    <x v="1"/>
    <x v="500"/>
    <x v="6166"/>
  </r>
  <r>
    <x v="2"/>
    <n v="1080"/>
    <x v="1506"/>
    <x v="5"/>
    <s v="CM"/>
    <s v="N"/>
    <x v="682"/>
    <x v="3"/>
    <x v="316"/>
    <m/>
    <x v="11"/>
    <m/>
    <x v="3"/>
    <x v="0"/>
    <x v="500"/>
    <d v="2013-08-31T00:00:00"/>
    <x v="16"/>
    <x v="1"/>
    <s v="Videoclip"/>
    <m/>
    <x v="0"/>
    <x v="0"/>
    <m/>
    <x v="0"/>
    <x v="15"/>
    <x v="1516"/>
    <x v="3"/>
    <x v="0"/>
    <x v="1"/>
    <x v="500"/>
    <x v="6167"/>
  </r>
  <r>
    <x v="2"/>
    <n v="1743"/>
    <x v="2047"/>
    <x v="5"/>
    <s v="CM"/>
    <s v="N"/>
    <x v="1311"/>
    <x v="41"/>
    <x v="831"/>
    <m/>
    <x v="348"/>
    <m/>
    <x v="3"/>
    <x v="0"/>
    <x v="511"/>
    <m/>
    <x v="2"/>
    <x v="1"/>
    <s v="Videoclip"/>
    <m/>
    <x v="0"/>
    <x v="0"/>
    <m/>
    <x v="0"/>
    <x v="15"/>
    <x v="2070"/>
    <x v="3"/>
    <x v="0"/>
    <x v="1"/>
    <x v="511"/>
    <x v="6168"/>
  </r>
  <r>
    <x v="2"/>
    <n v="1996"/>
    <x v="2048"/>
    <x v="0"/>
    <s v="LM"/>
    <s v="S"/>
    <x v="63"/>
    <x v="41"/>
    <x v="147"/>
    <m/>
    <x v="112"/>
    <m/>
    <x v="34"/>
    <x v="0"/>
    <x v="626"/>
    <d v="2013-08-17T00:00:00"/>
    <x v="16"/>
    <x v="2"/>
    <m/>
    <s v="Fuori Concorso"/>
    <x v="0"/>
    <x v="0"/>
    <m/>
    <x v="0"/>
    <x v="5"/>
    <x v="2071"/>
    <x v="34"/>
    <x v="0"/>
    <x v="0"/>
    <x v="626"/>
    <x v="6169"/>
  </r>
  <r>
    <x v="2"/>
    <n v="1400"/>
    <x v="1507"/>
    <x v="1"/>
    <s v="CM"/>
    <s v=""/>
    <x v="991"/>
    <x v="41"/>
    <x v="519"/>
    <m/>
    <x v="24"/>
    <m/>
    <x v="3"/>
    <x v="0"/>
    <x v="504"/>
    <d v="2013-05-11T00:00:00"/>
    <x v="6"/>
    <x v="0"/>
    <m/>
    <s v="Sessão Panorama DOCLISBOA"/>
    <x v="0"/>
    <x v="1"/>
    <m/>
    <x v="0"/>
    <x v="2"/>
    <x v="1517"/>
    <x v="3"/>
    <x v="0"/>
    <x v="1"/>
    <x v="504"/>
    <x v="6170"/>
  </r>
  <r>
    <x v="2"/>
    <n v="1783"/>
    <x v="2049"/>
    <x v="2"/>
    <s v="CM"/>
    <s v="N"/>
    <x v="1312"/>
    <x v="2"/>
    <x v="34"/>
    <m/>
    <x v="32"/>
    <m/>
    <x v="3"/>
    <x v="0"/>
    <x v="525"/>
    <d v="2013-05-12T00:00:00"/>
    <x v="6"/>
    <x v="1"/>
    <s v="Curta-metragem Escolar"/>
    <m/>
    <x v="47"/>
    <x v="0"/>
    <m/>
    <x v="1"/>
    <x v="4"/>
    <x v="2072"/>
    <x v="3"/>
    <x v="712"/>
    <x v="1"/>
    <x v="525"/>
    <x v="6171"/>
  </r>
  <r>
    <x v="2"/>
    <n v="1084"/>
    <x v="1509"/>
    <x v="1"/>
    <s v="CM"/>
    <s v="N"/>
    <x v="992"/>
    <x v="41"/>
    <x v="519"/>
    <m/>
    <x v="24"/>
    <m/>
    <x v="3"/>
    <x v="0"/>
    <x v="504"/>
    <d v="2013-05-11T00:00:00"/>
    <x v="6"/>
    <x v="0"/>
    <m/>
    <s v="Sessão Lisboa I"/>
    <x v="0"/>
    <x v="1"/>
    <m/>
    <x v="0"/>
    <x v="2"/>
    <x v="1519"/>
    <x v="3"/>
    <x v="0"/>
    <x v="1"/>
    <x v="504"/>
    <x v="6172"/>
  </r>
  <r>
    <x v="2"/>
    <n v="1085"/>
    <x v="741"/>
    <x v="1"/>
    <s v="LM"/>
    <s v="S"/>
    <x v="258"/>
    <x v="5"/>
    <x v="925"/>
    <m/>
    <x v="121"/>
    <m/>
    <x v="3"/>
    <x v="0"/>
    <x v="721"/>
    <m/>
    <x v="15"/>
    <x v="0"/>
    <m/>
    <m/>
    <x v="0"/>
    <x v="1"/>
    <m/>
    <x v="0"/>
    <x v="1"/>
    <x v="744"/>
    <x v="3"/>
    <x v="0"/>
    <x v="1"/>
    <x v="721"/>
    <x v="6173"/>
  </r>
  <r>
    <x v="2"/>
    <n v="1089"/>
    <x v="745"/>
    <x v="2"/>
    <s v="CM"/>
    <s v="S"/>
    <x v="100"/>
    <x v="3"/>
    <x v="854"/>
    <m/>
    <x v="24"/>
    <m/>
    <x v="3"/>
    <x v="0"/>
    <x v="550"/>
    <d v="2013-03-27T00:00:00"/>
    <x v="2"/>
    <x v="0"/>
    <m/>
    <m/>
    <x v="0"/>
    <x v="1"/>
    <m/>
    <x v="0"/>
    <x v="4"/>
    <x v="748"/>
    <x v="3"/>
    <x v="0"/>
    <x v="1"/>
    <x v="550"/>
    <x v="6174"/>
  </r>
  <r>
    <x v="2"/>
    <n v="1089"/>
    <x v="745"/>
    <x v="2"/>
    <s v="CM"/>
    <s v="S"/>
    <x v="100"/>
    <x v="3"/>
    <x v="1006"/>
    <m/>
    <x v="143"/>
    <m/>
    <x v="43"/>
    <x v="0"/>
    <x v="603"/>
    <d v="2013-04-28T00:00:00"/>
    <x v="5"/>
    <x v="1"/>
    <s v="Competition "/>
    <m/>
    <x v="0"/>
    <x v="0"/>
    <m/>
    <x v="0"/>
    <x v="4"/>
    <x v="748"/>
    <x v="43"/>
    <x v="0"/>
    <x v="0"/>
    <x v="603"/>
    <x v="6175"/>
  </r>
  <r>
    <x v="2"/>
    <n v="1089"/>
    <x v="745"/>
    <x v="2"/>
    <s v="CM"/>
    <s v="S"/>
    <x v="100"/>
    <x v="3"/>
    <x v="34"/>
    <m/>
    <x v="32"/>
    <m/>
    <x v="3"/>
    <x v="0"/>
    <x v="525"/>
    <d v="2013-05-12T00:00:00"/>
    <x v="6"/>
    <x v="1"/>
    <s v="Animação"/>
    <m/>
    <x v="0"/>
    <x v="0"/>
    <m/>
    <x v="0"/>
    <x v="4"/>
    <x v="748"/>
    <x v="3"/>
    <x v="0"/>
    <x v="1"/>
    <x v="525"/>
    <x v="6176"/>
  </r>
  <r>
    <x v="2"/>
    <n v="1095"/>
    <x v="750"/>
    <x v="0"/>
    <s v="CM"/>
    <s v="S"/>
    <x v="116"/>
    <x v="5"/>
    <x v="34"/>
    <m/>
    <x v="32"/>
    <m/>
    <x v="3"/>
    <x v="0"/>
    <x v="525"/>
    <d v="2013-05-12T00:00:00"/>
    <x v="6"/>
    <x v="1"/>
    <s v="Ficção"/>
    <m/>
    <x v="0"/>
    <x v="0"/>
    <m/>
    <x v="0"/>
    <x v="0"/>
    <x v="753"/>
    <x v="3"/>
    <x v="0"/>
    <x v="1"/>
    <x v="525"/>
    <x v="6177"/>
  </r>
  <r>
    <x v="2"/>
    <n v="1611"/>
    <x v="2050"/>
    <x v="2"/>
    <s v="CM"/>
    <s v="S"/>
    <x v="33"/>
    <x v="15"/>
    <x v="885"/>
    <m/>
    <x v="419"/>
    <m/>
    <x v="34"/>
    <x v="0"/>
    <x v="586"/>
    <d v="2013-01-27T00:00:00"/>
    <x v="15"/>
    <x v="0"/>
    <m/>
    <s v="Petit Black Movie: Aigre-doux à la portugaise"/>
    <x v="0"/>
    <x v="0"/>
    <m/>
    <x v="0"/>
    <x v="4"/>
    <x v="2073"/>
    <x v="34"/>
    <x v="0"/>
    <x v="0"/>
    <x v="586"/>
    <x v="6178"/>
  </r>
  <r>
    <x v="2"/>
    <n v="1694"/>
    <x v="2051"/>
    <x v="1"/>
    <s v="CM"/>
    <s v="N"/>
    <x v="1313"/>
    <x v="41"/>
    <x v="62"/>
    <m/>
    <x v="23"/>
    <m/>
    <x v="3"/>
    <x v="0"/>
    <x v="503"/>
    <d v="2013-03-10T00:00:00"/>
    <x v="19"/>
    <x v="1"/>
    <s v="Prémio de Cinema Português - Escolas de Cinema"/>
    <m/>
    <x v="0"/>
    <x v="0"/>
    <s v="Universidade Católica do Porto"/>
    <x v="0"/>
    <x v="2"/>
    <x v="2074"/>
    <x v="3"/>
    <x v="0"/>
    <x v="1"/>
    <x v="503"/>
    <x v="6179"/>
  </r>
  <r>
    <x v="2"/>
    <n v="2187"/>
    <x v="2052"/>
    <x v="0"/>
    <s v="CM"/>
    <s v="N"/>
    <x v="1314"/>
    <x v="52"/>
    <x v="877"/>
    <m/>
    <x v="15"/>
    <m/>
    <x v="3"/>
    <x v="0"/>
    <x v="577"/>
    <m/>
    <x v="12"/>
    <x v="1"/>
    <m/>
    <m/>
    <x v="0"/>
    <x v="1"/>
    <m/>
    <x v="0"/>
    <x v="0"/>
    <x v="2075"/>
    <x v="3"/>
    <x v="0"/>
    <x v="1"/>
    <x v="577"/>
    <x v="6180"/>
  </r>
  <r>
    <x v="2"/>
    <n v="1097"/>
    <x v="752"/>
    <x v="1"/>
    <s v="CM"/>
    <s v="N"/>
    <x v="523"/>
    <x v="3"/>
    <x v="977"/>
    <m/>
    <x v="32"/>
    <m/>
    <x v="3"/>
    <x v="0"/>
    <x v="541"/>
    <d v="2013-09-26T00:00:00"/>
    <x v="9"/>
    <x v="0"/>
    <m/>
    <m/>
    <x v="0"/>
    <x v="1"/>
    <s v="Clube de Cinema de Setúbal"/>
    <x v="0"/>
    <x v="2"/>
    <x v="755"/>
    <x v="3"/>
    <x v="0"/>
    <x v="1"/>
    <x v="541"/>
    <x v="6181"/>
  </r>
  <r>
    <x v="2"/>
    <n v="2011"/>
    <x v="2053"/>
    <x v="1"/>
    <s v="CM"/>
    <s v="N"/>
    <x v="1315"/>
    <x v="52"/>
    <x v="842"/>
    <m/>
    <x v="279"/>
    <m/>
    <x v="3"/>
    <x v="0"/>
    <x v="527"/>
    <d v="2013-09-29T00:00:00"/>
    <x v="9"/>
    <x v="1"/>
    <s v="3ª Manga . Documentários"/>
    <m/>
    <x v="0"/>
    <x v="0"/>
    <m/>
    <x v="0"/>
    <x v="2"/>
    <x v="2076"/>
    <x v="3"/>
    <x v="0"/>
    <x v="1"/>
    <x v="527"/>
    <x v="6182"/>
  </r>
  <r>
    <x v="2"/>
    <n v="1098"/>
    <x v="753"/>
    <x v="0"/>
    <s v="CM"/>
    <s v="N"/>
    <x v="185"/>
    <x v="5"/>
    <x v="857"/>
    <m/>
    <x v="419"/>
    <m/>
    <x v="34"/>
    <x v="0"/>
    <x v="554"/>
    <d v="2013-08-25T00:00:00"/>
    <x v="16"/>
    <x v="1"/>
    <s v="Courts métrages 3"/>
    <m/>
    <x v="0"/>
    <x v="0"/>
    <m/>
    <x v="0"/>
    <x v="0"/>
    <x v="756"/>
    <x v="34"/>
    <x v="0"/>
    <x v="0"/>
    <x v="554"/>
    <x v="6183"/>
  </r>
  <r>
    <x v="2"/>
    <n v="1873"/>
    <x v="2054"/>
    <x v="1"/>
    <s v="CM"/>
    <s v="N"/>
    <x v="782"/>
    <x v="15"/>
    <x v="628"/>
    <m/>
    <x v="24"/>
    <m/>
    <x v="3"/>
    <x v="0"/>
    <x v="587"/>
    <m/>
    <x v="1"/>
    <x v="0"/>
    <m/>
    <m/>
    <x v="0"/>
    <x v="1"/>
    <s v="Curtas de Diogo Pessoa de Andrade"/>
    <x v="0"/>
    <x v="2"/>
    <x v="2077"/>
    <x v="3"/>
    <x v="0"/>
    <x v="1"/>
    <x v="587"/>
    <x v="6184"/>
  </r>
  <r>
    <x v="2"/>
    <n v="1101"/>
    <x v="755"/>
    <x v="1"/>
    <s v="CM"/>
    <s v="N"/>
    <x v="525"/>
    <x v="5"/>
    <x v="906"/>
    <m/>
    <x v="348"/>
    <m/>
    <x v="3"/>
    <x v="0"/>
    <x v="592"/>
    <d v="2013-06-23T00:00:00"/>
    <x v="7"/>
    <x v="0"/>
    <m/>
    <m/>
    <x v="0"/>
    <x v="0"/>
    <m/>
    <x v="0"/>
    <x v="2"/>
    <x v="758"/>
    <x v="3"/>
    <x v="0"/>
    <x v="1"/>
    <x v="592"/>
    <x v="6185"/>
  </r>
  <r>
    <x v="2"/>
    <n v="1315"/>
    <x v="1514"/>
    <x v="0"/>
    <s v="CM"/>
    <s v="N"/>
    <x v="848"/>
    <x v="41"/>
    <x v="867"/>
    <m/>
    <x v="24"/>
    <m/>
    <x v="3"/>
    <x v="0"/>
    <x v="564"/>
    <m/>
    <x v="7"/>
    <x v="1"/>
    <m/>
    <m/>
    <x v="0"/>
    <x v="1"/>
    <m/>
    <x v="0"/>
    <x v="0"/>
    <x v="1524"/>
    <x v="3"/>
    <x v="0"/>
    <x v="1"/>
    <x v="564"/>
    <x v="6186"/>
  </r>
  <r>
    <x v="2"/>
    <n v="1315"/>
    <x v="1514"/>
    <x v="0"/>
    <s v="CM"/>
    <s v="N"/>
    <x v="848"/>
    <x v="41"/>
    <x v="192"/>
    <m/>
    <x v="140"/>
    <m/>
    <x v="3"/>
    <x v="0"/>
    <x v="334"/>
    <d v="2013-07-28T00:00:00"/>
    <x v="8"/>
    <x v="1"/>
    <s v="Prémio Competição Avanca"/>
    <m/>
    <x v="0"/>
    <x v="0"/>
    <m/>
    <x v="0"/>
    <x v="0"/>
    <x v="1524"/>
    <x v="3"/>
    <x v="0"/>
    <x v="1"/>
    <x v="334"/>
    <x v="6187"/>
  </r>
  <r>
    <x v="2"/>
    <n v="1103"/>
    <x v="1516"/>
    <x v="0"/>
    <s v="CM"/>
    <s v="S"/>
    <x v="80"/>
    <x v="41"/>
    <x v="90"/>
    <m/>
    <x v="69"/>
    <m/>
    <x v="8"/>
    <x v="0"/>
    <x v="602"/>
    <d v="2013-02-03T00:00:00"/>
    <x v="18"/>
    <x v="0"/>
    <m/>
    <s v="Spectrum Shorts - Bust that Paradigm"/>
    <x v="0"/>
    <x v="0"/>
    <m/>
    <x v="0"/>
    <x v="0"/>
    <x v="1526"/>
    <x v="8"/>
    <x v="0"/>
    <x v="0"/>
    <x v="602"/>
    <x v="6188"/>
  </r>
  <r>
    <x v="2"/>
    <n v="1103"/>
    <x v="1516"/>
    <x v="0"/>
    <s v="CM"/>
    <s v="S"/>
    <x v="80"/>
    <x v="41"/>
    <x v="522"/>
    <m/>
    <x v="165"/>
    <m/>
    <x v="4"/>
    <x v="0"/>
    <x v="590"/>
    <d v="2013-04-21T00:00:00"/>
    <x v="5"/>
    <x v="0"/>
    <m/>
    <s v="Vanguardia y Género"/>
    <x v="0"/>
    <x v="0"/>
    <m/>
    <x v="0"/>
    <x v="0"/>
    <x v="1526"/>
    <x v="4"/>
    <x v="0"/>
    <x v="0"/>
    <x v="590"/>
    <x v="6189"/>
  </r>
  <r>
    <x v="2"/>
    <n v="1103"/>
    <x v="1516"/>
    <x v="0"/>
    <s v="CM"/>
    <s v="S"/>
    <x v="80"/>
    <x v="41"/>
    <x v="902"/>
    <m/>
    <x v="426"/>
    <m/>
    <x v="5"/>
    <x v="0"/>
    <x v="603"/>
    <d v="2013-04-28T00:00:00"/>
    <x v="5"/>
    <x v="0"/>
    <m/>
    <s v="Count to Zeo"/>
    <x v="0"/>
    <x v="0"/>
    <m/>
    <x v="0"/>
    <x v="0"/>
    <x v="1526"/>
    <x v="5"/>
    <x v="0"/>
    <x v="0"/>
    <x v="603"/>
    <x v="6190"/>
  </r>
  <r>
    <x v="2"/>
    <n v="1103"/>
    <x v="1516"/>
    <x v="0"/>
    <s v="CM"/>
    <s v="S"/>
    <x v="80"/>
    <x v="41"/>
    <x v="233"/>
    <m/>
    <x v="163"/>
    <m/>
    <x v="5"/>
    <x v="0"/>
    <x v="720"/>
    <d v="2013-06-10T00:00:00"/>
    <x v="7"/>
    <x v="1"/>
    <s v="International Competition - Cold Blooded Prg.6"/>
    <m/>
    <x v="0"/>
    <x v="0"/>
    <m/>
    <x v="0"/>
    <x v="0"/>
    <x v="1526"/>
    <x v="5"/>
    <x v="0"/>
    <x v="0"/>
    <x v="720"/>
    <x v="6191"/>
  </r>
  <r>
    <x v="2"/>
    <n v="1103"/>
    <x v="1516"/>
    <x v="0"/>
    <s v="CM"/>
    <s v="S"/>
    <x v="80"/>
    <x v="41"/>
    <x v="50"/>
    <m/>
    <x v="20"/>
    <m/>
    <x v="5"/>
    <x v="0"/>
    <x v="642"/>
    <d v="2013-06-30T00:00:00"/>
    <x v="7"/>
    <x v="0"/>
    <m/>
    <m/>
    <x v="0"/>
    <x v="1"/>
    <m/>
    <x v="0"/>
    <x v="0"/>
    <x v="1526"/>
    <x v="5"/>
    <x v="0"/>
    <x v="0"/>
    <x v="642"/>
    <x v="6192"/>
  </r>
  <r>
    <x v="2"/>
    <n v="1103"/>
    <x v="1516"/>
    <x v="0"/>
    <s v="CM"/>
    <s v="S"/>
    <x v="80"/>
    <x v="41"/>
    <x v="922"/>
    <m/>
    <x v="117"/>
    <m/>
    <x v="9"/>
    <x v="0"/>
    <x v="618"/>
    <d v="2013-08-04T00:00:00"/>
    <x v="25"/>
    <x v="0"/>
    <m/>
    <s v="New Portuguese Cinema"/>
    <x v="0"/>
    <x v="0"/>
    <m/>
    <x v="0"/>
    <x v="0"/>
    <x v="1526"/>
    <x v="9"/>
    <x v="0"/>
    <x v="0"/>
    <x v="618"/>
    <x v="6193"/>
  </r>
  <r>
    <x v="2"/>
    <n v="1103"/>
    <x v="1516"/>
    <x v="0"/>
    <s v="CM"/>
    <s v="S"/>
    <x v="80"/>
    <x v="41"/>
    <x v="896"/>
    <m/>
    <x v="20"/>
    <m/>
    <x v="5"/>
    <x v="0"/>
    <x v="540"/>
    <d v="2013-08-30T00:00:00"/>
    <x v="16"/>
    <x v="0"/>
    <m/>
    <m/>
    <x v="0"/>
    <x v="1"/>
    <s v="Kino Arsenal"/>
    <x v="0"/>
    <x v="0"/>
    <x v="1526"/>
    <x v="5"/>
    <x v="0"/>
    <x v="0"/>
    <x v="540"/>
    <x v="6194"/>
  </r>
  <r>
    <x v="2"/>
    <n v="1103"/>
    <x v="1516"/>
    <x v="0"/>
    <s v="CM"/>
    <s v="S"/>
    <x v="80"/>
    <x v="41"/>
    <x v="938"/>
    <m/>
    <x v="165"/>
    <m/>
    <x v="4"/>
    <x v="0"/>
    <x v="636"/>
    <d v="2013-09-22T00:00:00"/>
    <x v="9"/>
    <x v="0"/>
    <m/>
    <s v="Focos: Rencontres Internationales Paris/Berlin/Madrid"/>
    <x v="0"/>
    <x v="0"/>
    <m/>
    <x v="0"/>
    <x v="0"/>
    <x v="1526"/>
    <x v="4"/>
    <x v="0"/>
    <x v="0"/>
    <x v="636"/>
    <x v="6195"/>
  </r>
  <r>
    <x v="2"/>
    <n v="1103"/>
    <x v="1516"/>
    <x v="0"/>
    <s v="CM"/>
    <s v="S"/>
    <x v="80"/>
    <x v="41"/>
    <x v="709"/>
    <m/>
    <x v="65"/>
    <m/>
    <x v="9"/>
    <x v="0"/>
    <x v="619"/>
    <d v="2013-10-13T00:00:00"/>
    <x v="10"/>
    <x v="0"/>
    <m/>
    <s v="Views from the Avant-Garde Program 7: Sandro Aguilar - Dive: Approach and Exit"/>
    <x v="0"/>
    <x v="0"/>
    <m/>
    <x v="0"/>
    <x v="0"/>
    <x v="1526"/>
    <x v="9"/>
    <x v="0"/>
    <x v="0"/>
    <x v="619"/>
    <x v="6196"/>
  </r>
  <r>
    <x v="2"/>
    <n v="1103"/>
    <x v="1516"/>
    <x v="0"/>
    <s v="CM"/>
    <s v="S"/>
    <x v="80"/>
    <x v="41"/>
    <x v="928"/>
    <m/>
    <x v="78"/>
    <m/>
    <x v="20"/>
    <x v="0"/>
    <x v="528"/>
    <d v="2013-10-20T00:00:00"/>
    <x v="14"/>
    <x v="1"/>
    <s v="World Shorts: Programme 3"/>
    <m/>
    <x v="0"/>
    <x v="0"/>
    <m/>
    <x v="0"/>
    <x v="0"/>
    <x v="1526"/>
    <x v="20"/>
    <x v="0"/>
    <x v="0"/>
    <x v="528"/>
    <x v="6197"/>
  </r>
  <r>
    <x v="2"/>
    <n v="1103"/>
    <x v="1516"/>
    <x v="0"/>
    <s v="CM"/>
    <s v="S"/>
    <x v="80"/>
    <x v="41"/>
    <x v="95"/>
    <m/>
    <x v="74"/>
    <m/>
    <x v="1"/>
    <x v="0"/>
    <x v="519"/>
    <d v="2013-11-15T00:00:00"/>
    <x v="13"/>
    <x v="1"/>
    <s v="Certamen Europeo 3"/>
    <m/>
    <x v="0"/>
    <x v="0"/>
    <m/>
    <x v="0"/>
    <x v="0"/>
    <x v="1526"/>
    <x v="1"/>
    <x v="0"/>
    <x v="0"/>
    <x v="519"/>
    <x v="6198"/>
  </r>
  <r>
    <x v="2"/>
    <n v="1103"/>
    <x v="1516"/>
    <x v="0"/>
    <s v="CM"/>
    <s v="S"/>
    <x v="80"/>
    <x v="41"/>
    <x v="890"/>
    <m/>
    <x v="319"/>
    <m/>
    <x v="1"/>
    <x v="0"/>
    <x v="594"/>
    <d v="2013-12-13T00:00:00"/>
    <x v="11"/>
    <x v="0"/>
    <m/>
    <s v="Curtametraxes: Sandro Aguilar"/>
    <x v="0"/>
    <x v="1"/>
    <s v="No CGAI"/>
    <x v="0"/>
    <x v="0"/>
    <x v="1526"/>
    <x v="1"/>
    <x v="0"/>
    <x v="0"/>
    <x v="594"/>
    <x v="6199"/>
  </r>
  <r>
    <x v="2"/>
    <n v="1104"/>
    <x v="756"/>
    <x v="0"/>
    <s v="CM"/>
    <s v="N"/>
    <x v="526"/>
    <x v="2"/>
    <x v="583"/>
    <m/>
    <x v="49"/>
    <m/>
    <x v="3"/>
    <x v="0"/>
    <x v="609"/>
    <m/>
    <x v="15"/>
    <x v="0"/>
    <m/>
    <m/>
    <x v="0"/>
    <x v="1"/>
    <s v="Sessão Especial &quot;Todos juntos pelo ANTRO DO TAFUL&quot;"/>
    <x v="0"/>
    <x v="0"/>
    <x v="759"/>
    <x v="3"/>
    <x v="0"/>
    <x v="1"/>
    <x v="609"/>
    <x v="6200"/>
  </r>
  <r>
    <x v="2"/>
    <n v="1105"/>
    <x v="757"/>
    <x v="1"/>
    <s v="CM"/>
    <s v="N"/>
    <x v="525"/>
    <x v="2"/>
    <x v="583"/>
    <m/>
    <x v="49"/>
    <m/>
    <x v="3"/>
    <x v="0"/>
    <x v="609"/>
    <m/>
    <x v="15"/>
    <x v="0"/>
    <m/>
    <m/>
    <x v="0"/>
    <x v="1"/>
    <s v="Sessão Especial &quot;Todos juntos pelo ANTRO DO TAFUL&quot;"/>
    <x v="0"/>
    <x v="2"/>
    <x v="760"/>
    <x v="3"/>
    <x v="0"/>
    <x v="1"/>
    <x v="609"/>
    <x v="6201"/>
  </r>
  <r>
    <x v="2"/>
    <n v="1106"/>
    <x v="758"/>
    <x v="0"/>
    <s v="LM"/>
    <s v="S"/>
    <x v="20"/>
    <x v="1"/>
    <x v="846"/>
    <m/>
    <x v="417"/>
    <m/>
    <x v="11"/>
    <x v="0"/>
    <x v="535"/>
    <d v="2013-08-03T00:00:00"/>
    <x v="25"/>
    <x v="0"/>
    <m/>
    <s v="Focus Portugal: Manoel de Oliveira"/>
    <x v="0"/>
    <x v="0"/>
    <m/>
    <x v="0"/>
    <x v="5"/>
    <x v="761"/>
    <x v="11"/>
    <x v="0"/>
    <x v="0"/>
    <x v="535"/>
    <x v="6202"/>
  </r>
  <r>
    <x v="2"/>
    <n v="1106"/>
    <x v="758"/>
    <x v="0"/>
    <s v="LM"/>
    <s v="S"/>
    <x v="20"/>
    <x v="1"/>
    <x v="871"/>
    <m/>
    <x v="391"/>
    <m/>
    <x v="1"/>
    <x v="0"/>
    <x v="498"/>
    <d v="2013-11-19T00:00:00"/>
    <x v="13"/>
    <x v="0"/>
    <m/>
    <s v="País Invitado"/>
    <x v="0"/>
    <x v="1"/>
    <m/>
    <x v="0"/>
    <x v="5"/>
    <x v="761"/>
    <x v="1"/>
    <x v="0"/>
    <x v="0"/>
    <x v="498"/>
    <x v="6203"/>
  </r>
  <r>
    <x v="2"/>
    <n v="1661"/>
    <x v="2055"/>
    <x v="4"/>
    <s v="CM"/>
    <s v="N"/>
    <x v="1316"/>
    <x v="41"/>
    <x v="1055"/>
    <m/>
    <x v="24"/>
    <m/>
    <x v="3"/>
    <x v="0"/>
    <x v="714"/>
    <m/>
    <x v="1"/>
    <x v="1"/>
    <m/>
    <m/>
    <x v="0"/>
    <x v="1"/>
    <m/>
    <x v="0"/>
    <x v="8"/>
    <x v="2078"/>
    <x v="3"/>
    <x v="0"/>
    <x v="1"/>
    <x v="714"/>
    <x v="6204"/>
  </r>
  <r>
    <x v="2"/>
    <n v="1348"/>
    <x v="1517"/>
    <x v="0"/>
    <s v="CM"/>
    <s v="N"/>
    <x v="613"/>
    <x v="41"/>
    <x v="81"/>
    <m/>
    <x v="61"/>
    <m/>
    <x v="2"/>
    <x v="0"/>
    <x v="672"/>
    <d v="2013-02-09T00:00:00"/>
    <x v="1"/>
    <x v="1"/>
    <s v="Compétition Labo 4"/>
    <m/>
    <x v="582"/>
    <x v="0"/>
    <m/>
    <x v="1"/>
    <x v="0"/>
    <x v="1527"/>
    <x v="2"/>
    <x v="713"/>
    <x v="0"/>
    <x v="672"/>
    <x v="6205"/>
  </r>
  <r>
    <x v="2"/>
    <n v="1348"/>
    <x v="1517"/>
    <x v="0"/>
    <s v="CM"/>
    <s v="N"/>
    <x v="613"/>
    <x v="41"/>
    <x v="146"/>
    <m/>
    <x v="24"/>
    <m/>
    <x v="3"/>
    <x v="0"/>
    <x v="537"/>
    <d v="2013-04-28T00:00:00"/>
    <x v="5"/>
    <x v="1"/>
    <s v="Competição Nacional"/>
    <s v="Cinema Emergente Curtas"/>
    <x v="0"/>
    <x v="0"/>
    <m/>
    <x v="0"/>
    <x v="0"/>
    <x v="1527"/>
    <x v="3"/>
    <x v="0"/>
    <x v="1"/>
    <x v="537"/>
    <x v="6206"/>
  </r>
  <r>
    <x v="2"/>
    <n v="1348"/>
    <x v="1517"/>
    <x v="0"/>
    <s v="CM"/>
    <s v="N"/>
    <x v="613"/>
    <x v="41"/>
    <x v="1067"/>
    <m/>
    <x v="23"/>
    <m/>
    <x v="3"/>
    <x v="0"/>
    <x v="708"/>
    <m/>
    <x v="6"/>
    <x v="1"/>
    <m/>
    <m/>
    <x v="527"/>
    <x v="1"/>
    <m/>
    <x v="1"/>
    <x v="0"/>
    <x v="1527"/>
    <x v="3"/>
    <x v="642"/>
    <x v="1"/>
    <x v="708"/>
    <x v="6207"/>
  </r>
  <r>
    <x v="2"/>
    <n v="1348"/>
    <x v="1517"/>
    <x v="0"/>
    <s v="CM"/>
    <s v="N"/>
    <x v="613"/>
    <x v="41"/>
    <x v="1068"/>
    <m/>
    <x v="464"/>
    <m/>
    <x v="15"/>
    <x v="0"/>
    <x v="722"/>
    <m/>
    <x v="8"/>
    <x v="1"/>
    <s v="Cortometraggi"/>
    <m/>
    <x v="583"/>
    <x v="0"/>
    <m/>
    <x v="1"/>
    <x v="0"/>
    <x v="1527"/>
    <x v="15"/>
    <x v="714"/>
    <x v="0"/>
    <x v="722"/>
    <x v="6208"/>
  </r>
  <r>
    <x v="2"/>
    <n v="1348"/>
    <x v="1517"/>
    <x v="0"/>
    <s v="CM"/>
    <s v="N"/>
    <x v="613"/>
    <x v="41"/>
    <x v="857"/>
    <m/>
    <x v="419"/>
    <m/>
    <x v="34"/>
    <x v="0"/>
    <x v="554"/>
    <d v="2013-08-25T00:00:00"/>
    <x v="16"/>
    <x v="1"/>
    <s v="Courts métrages 2"/>
    <m/>
    <x v="0"/>
    <x v="0"/>
    <m/>
    <x v="0"/>
    <x v="0"/>
    <x v="1527"/>
    <x v="34"/>
    <x v="0"/>
    <x v="0"/>
    <x v="554"/>
    <x v="6209"/>
  </r>
  <r>
    <x v="2"/>
    <n v="1348"/>
    <x v="1517"/>
    <x v="0"/>
    <s v="CM"/>
    <s v="N"/>
    <x v="613"/>
    <x v="41"/>
    <x v="675"/>
    <m/>
    <x v="350"/>
    <m/>
    <x v="15"/>
    <x v="0"/>
    <x v="723"/>
    <d v="2013-08-31T00:00:00"/>
    <x v="16"/>
    <x v="1"/>
    <s v="Competition"/>
    <m/>
    <x v="0"/>
    <x v="0"/>
    <m/>
    <x v="0"/>
    <x v="0"/>
    <x v="1527"/>
    <x v="15"/>
    <x v="0"/>
    <x v="0"/>
    <x v="723"/>
    <x v="6210"/>
  </r>
  <r>
    <x v="2"/>
    <n v="1348"/>
    <x v="1517"/>
    <x v="0"/>
    <s v="CM"/>
    <s v="N"/>
    <x v="613"/>
    <x v="41"/>
    <x v="826"/>
    <m/>
    <x v="24"/>
    <m/>
    <x v="3"/>
    <x v="0"/>
    <x v="505"/>
    <d v="2013-09-29T00:00:00"/>
    <x v="9"/>
    <x v="1"/>
    <m/>
    <m/>
    <x v="0"/>
    <x v="0"/>
    <m/>
    <x v="0"/>
    <x v="0"/>
    <x v="1527"/>
    <x v="3"/>
    <x v="0"/>
    <x v="1"/>
    <x v="505"/>
    <x v="6211"/>
  </r>
  <r>
    <x v="2"/>
    <n v="1348"/>
    <x v="1517"/>
    <x v="0"/>
    <s v="CM"/>
    <s v="N"/>
    <x v="613"/>
    <x v="41"/>
    <x v="860"/>
    <m/>
    <x v="6"/>
    <m/>
    <x v="4"/>
    <x v="0"/>
    <x v="467"/>
    <d v="2013-11-24T00:00:00"/>
    <x v="13"/>
    <x v="0"/>
    <m/>
    <s v="Portugal Alterado: Las últimas películas"/>
    <x v="0"/>
    <x v="0"/>
    <m/>
    <x v="0"/>
    <x v="0"/>
    <x v="1527"/>
    <x v="4"/>
    <x v="0"/>
    <x v="0"/>
    <x v="467"/>
    <x v="6212"/>
  </r>
  <r>
    <x v="2"/>
    <n v="1618"/>
    <x v="2056"/>
    <x v="0"/>
    <s v="CM"/>
    <s v="N"/>
    <x v="1317"/>
    <x v="41"/>
    <x v="1001"/>
    <m/>
    <x v="24"/>
    <m/>
    <x v="3"/>
    <x v="0"/>
    <x v="686"/>
    <m/>
    <x v="15"/>
    <x v="1"/>
    <m/>
    <m/>
    <x v="0"/>
    <x v="1"/>
    <m/>
    <x v="0"/>
    <x v="0"/>
    <x v="2079"/>
    <x v="3"/>
    <x v="0"/>
    <x v="1"/>
    <x v="686"/>
    <x v="6213"/>
  </r>
  <r>
    <x v="2"/>
    <n v="1108"/>
    <x v="760"/>
    <x v="2"/>
    <s v="CM"/>
    <s v="N"/>
    <x v="527"/>
    <x v="1"/>
    <x v="854"/>
    <m/>
    <x v="24"/>
    <m/>
    <x v="3"/>
    <x v="0"/>
    <x v="550"/>
    <d v="2013-03-27T00:00:00"/>
    <x v="2"/>
    <x v="0"/>
    <m/>
    <m/>
    <x v="0"/>
    <x v="1"/>
    <m/>
    <x v="0"/>
    <x v="4"/>
    <x v="763"/>
    <x v="3"/>
    <x v="0"/>
    <x v="1"/>
    <x v="550"/>
    <x v="6214"/>
  </r>
  <r>
    <x v="2"/>
    <n v="1108"/>
    <x v="760"/>
    <x v="2"/>
    <s v="CM"/>
    <s v="N"/>
    <x v="527"/>
    <x v="1"/>
    <x v="920"/>
    <m/>
    <x v="429"/>
    <m/>
    <x v="63"/>
    <x v="0"/>
    <x v="509"/>
    <d v="2013-11-30T00:00:00"/>
    <x v="13"/>
    <x v="0"/>
    <m/>
    <m/>
    <x v="0"/>
    <x v="0"/>
    <m/>
    <x v="0"/>
    <x v="4"/>
    <x v="763"/>
    <x v="63"/>
    <x v="0"/>
    <x v="0"/>
    <x v="509"/>
    <x v="6215"/>
  </r>
  <r>
    <x v="2"/>
    <n v="1108"/>
    <x v="760"/>
    <x v="2"/>
    <s v="CM"/>
    <s v="N"/>
    <x v="527"/>
    <x v="1"/>
    <x v="1012"/>
    <m/>
    <x v="292"/>
    <m/>
    <x v="22"/>
    <x v="0"/>
    <x v="695"/>
    <d v="2013-12-08T00:00:00"/>
    <x v="12"/>
    <x v="0"/>
    <m/>
    <s v="Animation and Dance Retrospective V"/>
    <x v="0"/>
    <x v="0"/>
    <m/>
    <x v="0"/>
    <x v="4"/>
    <x v="763"/>
    <x v="22"/>
    <x v="0"/>
    <x v="0"/>
    <x v="695"/>
    <x v="6216"/>
  </r>
  <r>
    <x v="2"/>
    <n v="2007"/>
    <x v="2057"/>
    <x v="2"/>
    <s v="CM"/>
    <s v="S"/>
    <x v="1318"/>
    <x v="41"/>
    <x v="842"/>
    <m/>
    <x v="279"/>
    <m/>
    <x v="3"/>
    <x v="0"/>
    <x v="527"/>
    <d v="2013-09-29T00:00:00"/>
    <x v="9"/>
    <x v="1"/>
    <s v="1ª Manga Internacional/Nacional"/>
    <m/>
    <x v="0"/>
    <x v="0"/>
    <m/>
    <x v="0"/>
    <x v="4"/>
    <x v="2080"/>
    <x v="3"/>
    <x v="0"/>
    <x v="1"/>
    <x v="527"/>
    <x v="6217"/>
  </r>
  <r>
    <x v="2"/>
    <n v="1574"/>
    <x v="1518"/>
    <x v="0"/>
    <s v="CM"/>
    <s v="N"/>
    <x v="995"/>
    <x v="41"/>
    <x v="957"/>
    <m/>
    <x v="24"/>
    <m/>
    <x v="3"/>
    <x v="0"/>
    <x v="655"/>
    <m/>
    <x v="2"/>
    <x v="1"/>
    <m/>
    <m/>
    <x v="475"/>
    <x v="1"/>
    <m/>
    <x v="1"/>
    <x v="0"/>
    <x v="1528"/>
    <x v="3"/>
    <x v="581"/>
    <x v="1"/>
    <x v="655"/>
    <x v="6218"/>
  </r>
  <r>
    <x v="2"/>
    <n v="1574"/>
    <x v="1518"/>
    <x v="0"/>
    <s v="CM"/>
    <s v="N"/>
    <x v="995"/>
    <x v="41"/>
    <x v="112"/>
    <m/>
    <x v="23"/>
    <m/>
    <x v="3"/>
    <x v="0"/>
    <x v="674"/>
    <d v="2013-05-25T00:00:00"/>
    <x v="6"/>
    <x v="1"/>
    <s v="Competição Vídeo 3"/>
    <m/>
    <x v="0"/>
    <x v="0"/>
    <m/>
    <x v="0"/>
    <x v="0"/>
    <x v="1528"/>
    <x v="3"/>
    <x v="0"/>
    <x v="1"/>
    <x v="674"/>
    <x v="6219"/>
  </r>
  <r>
    <x v="2"/>
    <n v="2144"/>
    <x v="2058"/>
    <x v="1"/>
    <s v="CM"/>
    <s v="N"/>
    <x v="1319"/>
    <x v="52"/>
    <x v="1069"/>
    <m/>
    <x v="133"/>
    <m/>
    <x v="0"/>
    <x v="0"/>
    <x v="643"/>
    <m/>
    <x v="14"/>
    <x v="1"/>
    <m/>
    <m/>
    <x v="420"/>
    <x v="2"/>
    <m/>
    <x v="1"/>
    <x v="2"/>
    <x v="2081"/>
    <x v="0"/>
    <x v="715"/>
    <x v="0"/>
    <x v="643"/>
    <x v="6220"/>
  </r>
  <r>
    <x v="2"/>
    <n v="1401"/>
    <x v="1519"/>
    <x v="1"/>
    <s v="CM"/>
    <s v=""/>
    <x v="898"/>
    <x v="41"/>
    <x v="519"/>
    <m/>
    <x v="24"/>
    <m/>
    <x v="3"/>
    <x v="0"/>
    <x v="504"/>
    <d v="2013-05-11T00:00:00"/>
    <x v="6"/>
    <x v="0"/>
    <m/>
    <s v="Sessão Panorama DOCLISBOA"/>
    <x v="0"/>
    <x v="1"/>
    <m/>
    <x v="0"/>
    <x v="2"/>
    <x v="1529"/>
    <x v="3"/>
    <x v="0"/>
    <x v="1"/>
    <x v="504"/>
    <x v="6221"/>
  </r>
  <r>
    <x v="2"/>
    <n v="1401"/>
    <x v="1519"/>
    <x v="1"/>
    <s v="CM"/>
    <s v=""/>
    <x v="898"/>
    <x v="41"/>
    <x v="371"/>
    <m/>
    <x v="0"/>
    <m/>
    <x v="0"/>
    <x v="0"/>
    <x v="575"/>
    <d v="2013-07-28T00:00:00"/>
    <x v="8"/>
    <x v="0"/>
    <m/>
    <s v="Foco Portugal"/>
    <x v="0"/>
    <x v="0"/>
    <m/>
    <x v="0"/>
    <x v="2"/>
    <x v="1529"/>
    <x v="0"/>
    <x v="0"/>
    <x v="0"/>
    <x v="575"/>
    <x v="6222"/>
  </r>
  <r>
    <x v="2"/>
    <n v="1401"/>
    <x v="1519"/>
    <x v="1"/>
    <s v="CM"/>
    <s v=""/>
    <x v="898"/>
    <x v="41"/>
    <x v="860"/>
    <m/>
    <x v="6"/>
    <m/>
    <x v="4"/>
    <x v="0"/>
    <x v="467"/>
    <d v="2013-11-24T00:00:00"/>
    <x v="13"/>
    <x v="0"/>
    <m/>
    <s v="Portugal Alterado: Las últimas películas"/>
    <x v="0"/>
    <x v="0"/>
    <m/>
    <x v="0"/>
    <x v="2"/>
    <x v="1529"/>
    <x v="4"/>
    <x v="0"/>
    <x v="0"/>
    <x v="467"/>
    <x v="6223"/>
  </r>
  <r>
    <x v="2"/>
    <n v="2149"/>
    <x v="2059"/>
    <x v="0"/>
    <s v="LM"/>
    <s v="N"/>
    <x v="1320"/>
    <x v="62"/>
    <x v="993"/>
    <m/>
    <x v="340"/>
    <m/>
    <x v="3"/>
    <x v="0"/>
    <x v="639"/>
    <d v="2013-11-09T00:00:00"/>
    <x v="13"/>
    <x v="0"/>
    <m/>
    <m/>
    <x v="0"/>
    <x v="1"/>
    <m/>
    <x v="0"/>
    <x v="5"/>
    <x v="2082"/>
    <x v="3"/>
    <x v="0"/>
    <x v="1"/>
    <x v="639"/>
    <x v="6224"/>
  </r>
  <r>
    <x v="2"/>
    <n v="2104"/>
    <x v="2060"/>
    <x v="1"/>
    <s v="CM"/>
    <s v="N"/>
    <x v="1200"/>
    <x v="63"/>
    <x v="873"/>
    <m/>
    <x v="297"/>
    <m/>
    <x v="3"/>
    <x v="0"/>
    <x v="509"/>
    <d v="2013-11-27T00:00:00"/>
    <x v="13"/>
    <x v="0"/>
    <m/>
    <s v="Homenagem à Ria de Aveiro"/>
    <x v="0"/>
    <x v="0"/>
    <m/>
    <x v="0"/>
    <x v="2"/>
    <x v="2083"/>
    <x v="3"/>
    <x v="0"/>
    <x v="1"/>
    <x v="509"/>
    <x v="6225"/>
  </r>
  <r>
    <x v="2"/>
    <n v="1761"/>
    <x v="2061"/>
    <x v="0"/>
    <s v="CM"/>
    <s v="N"/>
    <x v="1321"/>
    <x v="41"/>
    <x v="63"/>
    <m/>
    <x v="24"/>
    <m/>
    <x v="3"/>
    <x v="0"/>
    <x v="556"/>
    <d v="2013-04-10T00:00:00"/>
    <x v="5"/>
    <x v="1"/>
    <s v="Competição Curta-metragem"/>
    <m/>
    <x v="0"/>
    <x v="0"/>
    <m/>
    <x v="0"/>
    <x v="0"/>
    <x v="2084"/>
    <x v="3"/>
    <x v="0"/>
    <x v="1"/>
    <x v="556"/>
    <x v="6226"/>
  </r>
  <r>
    <x v="2"/>
    <n v="1112"/>
    <x v="1520"/>
    <x v="0"/>
    <s v="CM"/>
    <s v="S"/>
    <x v="996"/>
    <x v="3"/>
    <x v="373"/>
    <m/>
    <x v="189"/>
    <m/>
    <x v="5"/>
    <x v="0"/>
    <x v="497"/>
    <d v="2013-04-21T00:00:00"/>
    <x v="5"/>
    <x v="0"/>
    <m/>
    <s v="Panorama 2"/>
    <x v="0"/>
    <x v="0"/>
    <m/>
    <x v="0"/>
    <x v="0"/>
    <x v="1530"/>
    <x v="5"/>
    <x v="0"/>
    <x v="0"/>
    <x v="497"/>
    <x v="6227"/>
  </r>
  <r>
    <x v="2"/>
    <n v="1112"/>
    <x v="1520"/>
    <x v="0"/>
    <s v="CM"/>
    <s v="S"/>
    <x v="996"/>
    <x v="3"/>
    <x v="34"/>
    <m/>
    <x v="32"/>
    <m/>
    <x v="3"/>
    <x v="0"/>
    <x v="525"/>
    <d v="2013-05-12T00:00:00"/>
    <x v="6"/>
    <x v="1"/>
    <s v="Ficção"/>
    <m/>
    <x v="0"/>
    <x v="0"/>
    <m/>
    <x v="0"/>
    <x v="0"/>
    <x v="1530"/>
    <x v="3"/>
    <x v="0"/>
    <x v="1"/>
    <x v="525"/>
    <x v="6228"/>
  </r>
  <r>
    <x v="2"/>
    <n v="1112"/>
    <x v="1520"/>
    <x v="0"/>
    <s v="CM"/>
    <s v="S"/>
    <x v="996"/>
    <x v="3"/>
    <x v="726"/>
    <m/>
    <x v="208"/>
    <m/>
    <x v="1"/>
    <x v="0"/>
    <x v="654"/>
    <d v="2013-06-16T00:00:00"/>
    <x v="7"/>
    <x v="1"/>
    <s v="Concurso Ibero-Americano - Programa V"/>
    <m/>
    <x v="0"/>
    <x v="0"/>
    <m/>
    <x v="0"/>
    <x v="0"/>
    <x v="1530"/>
    <x v="1"/>
    <x v="0"/>
    <x v="0"/>
    <x v="654"/>
    <x v="6229"/>
  </r>
  <r>
    <x v="2"/>
    <n v="1112"/>
    <x v="1520"/>
    <x v="0"/>
    <s v="CM"/>
    <s v="S"/>
    <x v="996"/>
    <x v="3"/>
    <x v="857"/>
    <m/>
    <x v="419"/>
    <m/>
    <x v="34"/>
    <x v="0"/>
    <x v="554"/>
    <d v="2013-08-25T00:00:00"/>
    <x v="16"/>
    <x v="1"/>
    <s v="Courts-Métrages 1"/>
    <m/>
    <x v="584"/>
    <x v="0"/>
    <m/>
    <x v="1"/>
    <x v="0"/>
    <x v="1530"/>
    <x v="34"/>
    <x v="716"/>
    <x v="0"/>
    <x v="554"/>
    <x v="6230"/>
  </r>
  <r>
    <x v="2"/>
    <n v="2100"/>
    <x v="2062"/>
    <x v="1"/>
    <s v="CM"/>
    <s v="N"/>
    <x v="1322"/>
    <x v="52"/>
    <x v="873"/>
    <m/>
    <x v="297"/>
    <m/>
    <x v="3"/>
    <x v="0"/>
    <x v="509"/>
    <d v="2013-11-27T00:00:00"/>
    <x v="13"/>
    <x v="1"/>
    <s v="Memórias, Gestos e Espaços"/>
    <m/>
    <x v="7"/>
    <x v="0"/>
    <m/>
    <x v="1"/>
    <x v="2"/>
    <x v="2085"/>
    <x v="3"/>
    <x v="543"/>
    <x v="1"/>
    <x v="509"/>
    <x v="6231"/>
  </r>
  <r>
    <x v="2"/>
    <n v="1669"/>
    <x v="2063"/>
    <x v="1"/>
    <s v="CM"/>
    <s v="N"/>
    <x v="461"/>
    <x v="64"/>
    <x v="109"/>
    <m/>
    <x v="23"/>
    <m/>
    <x v="3"/>
    <x v="0"/>
    <x v="640"/>
    <d v="2013-04-21T00:00:00"/>
    <x v="36"/>
    <x v="0"/>
    <m/>
    <s v="Momento XXIII"/>
    <x v="0"/>
    <x v="1"/>
    <m/>
    <x v="0"/>
    <x v="2"/>
    <x v="2086"/>
    <x v="3"/>
    <x v="0"/>
    <x v="1"/>
    <x v="640"/>
    <x v="6232"/>
  </r>
  <r>
    <x v="2"/>
    <n v="1669"/>
    <x v="2063"/>
    <x v="1"/>
    <s v="CM"/>
    <s v="N"/>
    <x v="461"/>
    <x v="64"/>
    <x v="870"/>
    <m/>
    <x v="59"/>
    <m/>
    <x v="3"/>
    <x v="0"/>
    <x v="568"/>
    <d v="2013-10-13T00:00:00"/>
    <x v="14"/>
    <x v="0"/>
    <m/>
    <s v="Sessão de Abertura - Mostra Retrospectiva de curtas-metragens de João César Monteiro"/>
    <x v="0"/>
    <x v="0"/>
    <m/>
    <x v="0"/>
    <x v="2"/>
    <x v="2086"/>
    <x v="3"/>
    <x v="0"/>
    <x v="1"/>
    <x v="568"/>
    <x v="6233"/>
  </r>
  <r>
    <x v="2"/>
    <n v="1782"/>
    <x v="2064"/>
    <x v="1"/>
    <s v="CM"/>
    <s v="N"/>
    <x v="1323"/>
    <x v="2"/>
    <x v="34"/>
    <m/>
    <x v="32"/>
    <m/>
    <x v="3"/>
    <x v="0"/>
    <x v="525"/>
    <d v="2013-05-12T00:00:00"/>
    <x v="6"/>
    <x v="1"/>
    <s v="Documentário Regional"/>
    <m/>
    <x v="0"/>
    <x v="0"/>
    <m/>
    <x v="0"/>
    <x v="2"/>
    <x v="2087"/>
    <x v="3"/>
    <x v="0"/>
    <x v="1"/>
    <x v="525"/>
    <x v="6234"/>
  </r>
  <r>
    <x v="2"/>
    <n v="1907"/>
    <x v="2065"/>
    <x v="0"/>
    <s v="CM"/>
    <s v="N"/>
    <x v="1026"/>
    <x v="52"/>
    <x v="146"/>
    <m/>
    <x v="24"/>
    <m/>
    <x v="3"/>
    <x v="0"/>
    <x v="537"/>
    <d v="2013-04-28T00:00:00"/>
    <x v="5"/>
    <x v="1"/>
    <s v="Novíssimos - Ficção"/>
    <m/>
    <x v="0"/>
    <x v="0"/>
    <m/>
    <x v="0"/>
    <x v="0"/>
    <x v="2088"/>
    <x v="3"/>
    <x v="0"/>
    <x v="1"/>
    <x v="537"/>
    <x v="6235"/>
  </r>
  <r>
    <x v="2"/>
    <n v="1907"/>
    <x v="2065"/>
    <x v="0"/>
    <s v="CM"/>
    <s v="N"/>
    <x v="1026"/>
    <x v="52"/>
    <x v="68"/>
    <m/>
    <x v="53"/>
    <m/>
    <x v="3"/>
    <x v="0"/>
    <x v="573"/>
    <d v="2013-07-14T00:00:00"/>
    <x v="8"/>
    <x v="0"/>
    <s v="Competição Take One!"/>
    <m/>
    <x v="0"/>
    <x v="0"/>
    <m/>
    <x v="0"/>
    <x v="0"/>
    <x v="2088"/>
    <x v="3"/>
    <x v="0"/>
    <x v="1"/>
    <x v="573"/>
    <x v="6236"/>
  </r>
  <r>
    <x v="2"/>
    <n v="2153"/>
    <x v="1525"/>
    <x v="3"/>
    <s v="CM"/>
    <s v="N"/>
    <x v="998"/>
    <x v="41"/>
    <x v="972"/>
    <m/>
    <x v="77"/>
    <m/>
    <x v="3"/>
    <x v="0"/>
    <x v="663"/>
    <m/>
    <x v="5"/>
    <x v="0"/>
    <m/>
    <m/>
    <x v="0"/>
    <x v="1"/>
    <m/>
    <x v="0"/>
    <x v="6"/>
    <x v="1535"/>
    <x v="3"/>
    <x v="0"/>
    <x v="1"/>
    <x v="663"/>
    <x v="6237"/>
  </r>
  <r>
    <x v="2"/>
    <n v="1122"/>
    <x v="769"/>
    <x v="1"/>
    <s v="CM"/>
    <s v="N"/>
    <x v="120"/>
    <x v="3"/>
    <x v="162"/>
    <m/>
    <x v="124"/>
    <m/>
    <x v="3"/>
    <x v="0"/>
    <x v="616"/>
    <m/>
    <x v="1"/>
    <x v="0"/>
    <m/>
    <m/>
    <x v="0"/>
    <x v="1"/>
    <s v="O Cinema de João Salaviza"/>
    <x v="0"/>
    <x v="2"/>
    <x v="772"/>
    <x v="3"/>
    <x v="0"/>
    <x v="1"/>
    <x v="616"/>
    <x v="6238"/>
  </r>
  <r>
    <x v="2"/>
    <n v="1122"/>
    <x v="769"/>
    <x v="1"/>
    <s v="CM"/>
    <s v="N"/>
    <x v="120"/>
    <x v="3"/>
    <x v="373"/>
    <m/>
    <x v="189"/>
    <m/>
    <x v="5"/>
    <x v="0"/>
    <x v="497"/>
    <d v="2013-04-21T00:00:00"/>
    <x v="5"/>
    <x v="0"/>
    <m/>
    <s v="Panorama 2"/>
    <x v="0"/>
    <x v="0"/>
    <m/>
    <x v="0"/>
    <x v="2"/>
    <x v="772"/>
    <x v="5"/>
    <x v="0"/>
    <x v="0"/>
    <x v="497"/>
    <x v="6239"/>
  </r>
  <r>
    <x v="2"/>
    <n v="1122"/>
    <x v="769"/>
    <x v="1"/>
    <s v="CM"/>
    <s v="N"/>
    <x v="120"/>
    <x v="3"/>
    <x v="848"/>
    <m/>
    <x v="165"/>
    <m/>
    <x v="4"/>
    <x v="0"/>
    <x v="540"/>
    <d v="2013-09-01T00:00:00"/>
    <x v="20"/>
    <x v="0"/>
    <m/>
    <m/>
    <x v="0"/>
    <x v="1"/>
    <m/>
    <x v="0"/>
    <x v="2"/>
    <x v="772"/>
    <x v="4"/>
    <x v="0"/>
    <x v="0"/>
    <x v="540"/>
    <x v="6240"/>
  </r>
  <r>
    <x v="2"/>
    <n v="1818"/>
    <x v="2066"/>
    <x v="0"/>
    <s v="CM"/>
    <s v="N"/>
    <x v="1324"/>
    <x v="41"/>
    <x v="1066"/>
    <m/>
    <x v="24"/>
    <m/>
    <x v="3"/>
    <x v="0"/>
    <x v="720"/>
    <m/>
    <x v="7"/>
    <x v="1"/>
    <m/>
    <m/>
    <x v="0"/>
    <x v="1"/>
    <m/>
    <x v="0"/>
    <x v="0"/>
    <x v="2089"/>
    <x v="3"/>
    <x v="0"/>
    <x v="1"/>
    <x v="720"/>
    <x v="6241"/>
  </r>
  <r>
    <x v="2"/>
    <n v="1818"/>
    <x v="2066"/>
    <x v="0"/>
    <s v="CM"/>
    <s v="N"/>
    <x v="1324"/>
    <x v="41"/>
    <x v="827"/>
    <m/>
    <x v="24"/>
    <m/>
    <x v="3"/>
    <x v="0"/>
    <x v="570"/>
    <m/>
    <x v="8"/>
    <x v="1"/>
    <m/>
    <m/>
    <x v="0"/>
    <x v="0"/>
    <m/>
    <x v="0"/>
    <x v="0"/>
    <x v="2089"/>
    <x v="3"/>
    <x v="0"/>
    <x v="1"/>
    <x v="570"/>
    <x v="6242"/>
  </r>
  <r>
    <x v="2"/>
    <n v="1818"/>
    <x v="2066"/>
    <x v="0"/>
    <s v="CM"/>
    <s v="N"/>
    <x v="1324"/>
    <x v="41"/>
    <x v="316"/>
    <m/>
    <x v="11"/>
    <m/>
    <x v="3"/>
    <x v="0"/>
    <x v="500"/>
    <d v="2013-08-31T00:00:00"/>
    <x v="16"/>
    <x v="1"/>
    <s v="Ficção"/>
    <m/>
    <x v="0"/>
    <x v="0"/>
    <m/>
    <x v="0"/>
    <x v="0"/>
    <x v="2089"/>
    <x v="3"/>
    <x v="0"/>
    <x v="1"/>
    <x v="500"/>
    <x v="6243"/>
  </r>
  <r>
    <x v="2"/>
    <n v="1818"/>
    <x v="2066"/>
    <x v="0"/>
    <s v="CM"/>
    <s v="N"/>
    <x v="1324"/>
    <x v="41"/>
    <x v="767"/>
    <m/>
    <x v="65"/>
    <m/>
    <x v="9"/>
    <x v="0"/>
    <x v="542"/>
    <d v="2013-09-08T00:00:00"/>
    <x v="9"/>
    <x v="0"/>
    <m/>
    <m/>
    <x v="0"/>
    <x v="0"/>
    <m/>
    <x v="0"/>
    <x v="0"/>
    <x v="2089"/>
    <x v="9"/>
    <x v="0"/>
    <x v="0"/>
    <x v="542"/>
    <x v="6244"/>
  </r>
  <r>
    <x v="2"/>
    <n v="1818"/>
    <x v="2066"/>
    <x v="0"/>
    <s v="CM"/>
    <s v="N"/>
    <x v="1324"/>
    <x v="41"/>
    <x v="70"/>
    <m/>
    <x v="38"/>
    <m/>
    <x v="3"/>
    <x v="0"/>
    <x v="510"/>
    <d v="2013-09-15T00:00:00"/>
    <x v="9"/>
    <x v="1"/>
    <s v="Sessão Competitiva 1"/>
    <m/>
    <x v="0"/>
    <x v="0"/>
    <m/>
    <x v="0"/>
    <x v="0"/>
    <x v="2089"/>
    <x v="3"/>
    <x v="0"/>
    <x v="1"/>
    <x v="510"/>
    <x v="6245"/>
  </r>
  <r>
    <x v="2"/>
    <n v="1818"/>
    <x v="2066"/>
    <x v="0"/>
    <s v="CM"/>
    <s v="N"/>
    <x v="1324"/>
    <x v="41"/>
    <x v="971"/>
    <m/>
    <x v="15"/>
    <m/>
    <x v="3"/>
    <x v="0"/>
    <x v="662"/>
    <m/>
    <x v="14"/>
    <x v="1"/>
    <m/>
    <m/>
    <x v="0"/>
    <x v="1"/>
    <m/>
    <x v="0"/>
    <x v="0"/>
    <x v="2089"/>
    <x v="3"/>
    <x v="0"/>
    <x v="1"/>
    <x v="662"/>
    <x v="6246"/>
  </r>
  <r>
    <x v="2"/>
    <n v="1130"/>
    <x v="774"/>
    <x v="0"/>
    <s v="CM"/>
    <s v="N"/>
    <x v="454"/>
    <x v="3"/>
    <x v="831"/>
    <m/>
    <x v="348"/>
    <m/>
    <x v="3"/>
    <x v="0"/>
    <x v="511"/>
    <m/>
    <x v="2"/>
    <x v="1"/>
    <s v="Curta-metragem de ficção"/>
    <m/>
    <x v="0"/>
    <x v="0"/>
    <m/>
    <x v="0"/>
    <x v="0"/>
    <x v="777"/>
    <x v="3"/>
    <x v="0"/>
    <x v="1"/>
    <x v="511"/>
    <x v="6247"/>
  </r>
  <r>
    <x v="2"/>
    <n v="1130"/>
    <x v="774"/>
    <x v="0"/>
    <s v="CM"/>
    <s v="N"/>
    <x v="454"/>
    <x v="3"/>
    <x v="915"/>
    <m/>
    <x v="15"/>
    <m/>
    <x v="3"/>
    <x v="0"/>
    <x v="604"/>
    <m/>
    <x v="9"/>
    <x v="0"/>
    <m/>
    <s v="Curta Convidada"/>
    <x v="0"/>
    <x v="1"/>
    <m/>
    <x v="0"/>
    <x v="0"/>
    <x v="777"/>
    <x v="3"/>
    <x v="0"/>
    <x v="1"/>
    <x v="604"/>
    <x v="6248"/>
  </r>
  <r>
    <x v="2"/>
    <n v="2165"/>
    <x v="2067"/>
    <x v="3"/>
    <s v="CM"/>
    <s v="N"/>
    <x v="1325"/>
    <x v="41"/>
    <x v="933"/>
    <m/>
    <x v="432"/>
    <m/>
    <x v="69"/>
    <x v="0"/>
    <x v="579"/>
    <d v="2013-10-07T00:00:00"/>
    <x v="10"/>
    <x v="0"/>
    <m/>
    <s v="Loop Videos - Exhibition1"/>
    <x v="0"/>
    <x v="0"/>
    <m/>
    <x v="0"/>
    <x v="6"/>
    <x v="2090"/>
    <x v="69"/>
    <x v="0"/>
    <x v="0"/>
    <x v="579"/>
    <x v="6249"/>
  </r>
  <r>
    <x v="2"/>
    <n v="1790"/>
    <x v="2068"/>
    <x v="3"/>
    <s v="CM"/>
    <s v="N"/>
    <x v="1326"/>
    <x v="3"/>
    <x v="825"/>
    <m/>
    <x v="409"/>
    <m/>
    <x v="3"/>
    <x v="0"/>
    <x v="499"/>
    <m/>
    <x v="7"/>
    <x v="1"/>
    <m/>
    <m/>
    <x v="0"/>
    <x v="0"/>
    <m/>
    <x v="0"/>
    <x v="6"/>
    <x v="2091"/>
    <x v="3"/>
    <x v="0"/>
    <x v="1"/>
    <x v="499"/>
    <x v="6250"/>
  </r>
  <r>
    <x v="2"/>
    <n v="2079"/>
    <x v="2069"/>
    <x v="3"/>
    <s v="CM"/>
    <s v="N"/>
    <x v="326"/>
    <x v="1"/>
    <x v="860"/>
    <m/>
    <x v="6"/>
    <m/>
    <x v="4"/>
    <x v="0"/>
    <x v="467"/>
    <d v="2013-11-24T00:00:00"/>
    <x v="13"/>
    <x v="0"/>
    <m/>
    <s v="Portugal Alterado: Las últimas películas"/>
    <x v="0"/>
    <x v="0"/>
    <m/>
    <x v="0"/>
    <x v="6"/>
    <x v="2092"/>
    <x v="4"/>
    <x v="0"/>
    <x v="0"/>
    <x v="467"/>
    <x v="6251"/>
  </r>
  <r>
    <x v="2"/>
    <n v="1609"/>
    <x v="2070"/>
    <x v="0"/>
    <s v="CM"/>
    <s v=""/>
    <x v="97"/>
    <x v="41"/>
    <x v="375"/>
    <m/>
    <x v="20"/>
    <m/>
    <x v="5"/>
    <x v="0"/>
    <x v="496"/>
    <d v="2013-02-17T00:00:00"/>
    <x v="1"/>
    <x v="1"/>
    <s v="Berlinale Shorts IV "/>
    <m/>
    <x v="585"/>
    <x v="0"/>
    <m/>
    <x v="1"/>
    <x v="0"/>
    <x v="2093"/>
    <x v="5"/>
    <x v="717"/>
    <x v="0"/>
    <x v="496"/>
    <x v="6252"/>
  </r>
  <r>
    <x v="2"/>
    <n v="1609"/>
    <x v="2070"/>
    <x v="0"/>
    <s v="CM"/>
    <s v=""/>
    <x v="97"/>
    <x v="41"/>
    <x v="68"/>
    <m/>
    <x v="53"/>
    <m/>
    <x v="3"/>
    <x v="0"/>
    <x v="573"/>
    <d v="2013-07-14T00:00:00"/>
    <x v="8"/>
    <x v="1"/>
    <s v="Competição Nacional"/>
    <m/>
    <x v="0"/>
    <x v="0"/>
    <m/>
    <x v="0"/>
    <x v="0"/>
    <x v="2093"/>
    <x v="3"/>
    <x v="0"/>
    <x v="1"/>
    <x v="573"/>
    <x v="6253"/>
  </r>
  <r>
    <x v="2"/>
    <n v="1609"/>
    <x v="2070"/>
    <x v="0"/>
    <s v="CM"/>
    <s v=""/>
    <x v="97"/>
    <x v="41"/>
    <x v="859"/>
    <m/>
    <x v="420"/>
    <m/>
    <x v="0"/>
    <x v="0"/>
    <x v="559"/>
    <d v="2013-09-29T00:00:00"/>
    <x v="9"/>
    <x v="1"/>
    <s v="Mostra Competitiva Internacional - Int.II"/>
    <m/>
    <x v="0"/>
    <x v="0"/>
    <m/>
    <x v="0"/>
    <x v="0"/>
    <x v="2093"/>
    <x v="0"/>
    <x v="0"/>
    <x v="0"/>
    <x v="559"/>
    <x v="6254"/>
  </r>
  <r>
    <x v="2"/>
    <n v="1609"/>
    <x v="2070"/>
    <x v="0"/>
    <s v="CM"/>
    <s v=""/>
    <x v="97"/>
    <x v="41"/>
    <x v="328"/>
    <m/>
    <x v="223"/>
    <m/>
    <x v="32"/>
    <x v="0"/>
    <x v="624"/>
    <d v="2013-10-12T00:00:00"/>
    <x v="14"/>
    <x v="1"/>
    <s v="Compétition"/>
    <m/>
    <x v="0"/>
    <x v="0"/>
    <m/>
    <x v="0"/>
    <x v="0"/>
    <x v="2093"/>
    <x v="32"/>
    <x v="0"/>
    <x v="0"/>
    <x v="624"/>
    <x v="6255"/>
  </r>
  <r>
    <x v="2"/>
    <n v="1609"/>
    <x v="2070"/>
    <x v="0"/>
    <s v="CM"/>
    <s v=""/>
    <x v="97"/>
    <x v="41"/>
    <x v="88"/>
    <m/>
    <x v="67"/>
    <m/>
    <x v="3"/>
    <x v="0"/>
    <x v="528"/>
    <d v="2013-10-26T00:00:00"/>
    <x v="14"/>
    <x v="1"/>
    <s v="Lusofonia: Curtas-Metragens"/>
    <m/>
    <x v="0"/>
    <x v="0"/>
    <m/>
    <x v="0"/>
    <x v="0"/>
    <x v="2093"/>
    <x v="3"/>
    <x v="0"/>
    <x v="1"/>
    <x v="528"/>
    <x v="6256"/>
  </r>
  <r>
    <x v="2"/>
    <n v="1609"/>
    <x v="2070"/>
    <x v="0"/>
    <s v="CM"/>
    <s v=""/>
    <x v="97"/>
    <x v="41"/>
    <x v="25"/>
    <m/>
    <x v="24"/>
    <m/>
    <x v="3"/>
    <x v="0"/>
    <x v="553"/>
    <d v="2013-11-03T00:00:00"/>
    <x v="0"/>
    <x v="1"/>
    <s v="Competição Portuguesa - Curtas"/>
    <m/>
    <x v="586"/>
    <x v="0"/>
    <m/>
    <x v="1"/>
    <x v="0"/>
    <x v="2093"/>
    <x v="3"/>
    <x v="718"/>
    <x v="1"/>
    <x v="553"/>
    <x v="6257"/>
  </r>
  <r>
    <x v="2"/>
    <n v="1609"/>
    <x v="2070"/>
    <x v="0"/>
    <s v="CM"/>
    <s v=""/>
    <x v="97"/>
    <x v="41"/>
    <x v="0"/>
    <m/>
    <x v="0"/>
    <m/>
    <x v="0"/>
    <x v="0"/>
    <x v="684"/>
    <d v="2013-11-07T00:00:00"/>
    <x v="0"/>
    <x v="1"/>
    <s v="Competição Internacional 5"/>
    <m/>
    <x v="0"/>
    <x v="0"/>
    <m/>
    <x v="0"/>
    <x v="0"/>
    <x v="2093"/>
    <x v="0"/>
    <x v="0"/>
    <x v="0"/>
    <x v="684"/>
    <x v="6258"/>
  </r>
  <r>
    <x v="2"/>
    <n v="1609"/>
    <x v="2070"/>
    <x v="0"/>
    <s v="CM"/>
    <s v=""/>
    <x v="97"/>
    <x v="41"/>
    <x v="860"/>
    <m/>
    <x v="6"/>
    <m/>
    <x v="4"/>
    <x v="0"/>
    <x v="467"/>
    <d v="2013-11-24T00:00:00"/>
    <x v="13"/>
    <x v="0"/>
    <m/>
    <s v="Portugal Alterado: Las últimas películas"/>
    <x v="0"/>
    <x v="0"/>
    <m/>
    <x v="0"/>
    <x v="0"/>
    <x v="2093"/>
    <x v="4"/>
    <x v="0"/>
    <x v="0"/>
    <x v="467"/>
    <x v="6259"/>
  </r>
  <r>
    <x v="2"/>
    <n v="1609"/>
    <x v="2070"/>
    <x v="0"/>
    <s v="CM"/>
    <s v=""/>
    <x v="97"/>
    <x v="41"/>
    <x v="910"/>
    <m/>
    <x v="427"/>
    <m/>
    <x v="48"/>
    <x v="0"/>
    <x v="520"/>
    <d v="2013-12-10T00:00:00"/>
    <x v="12"/>
    <x v="0"/>
    <m/>
    <s v="International Films: Short Films"/>
    <x v="0"/>
    <x v="0"/>
    <m/>
    <x v="0"/>
    <x v="0"/>
    <x v="2093"/>
    <x v="48"/>
    <x v="0"/>
    <x v="0"/>
    <x v="520"/>
    <x v="6260"/>
  </r>
  <r>
    <x v="2"/>
    <n v="1609"/>
    <x v="2070"/>
    <x v="0"/>
    <s v="CM"/>
    <s v=""/>
    <x v="97"/>
    <x v="41"/>
    <x v="1070"/>
    <m/>
    <x v="199"/>
    <m/>
    <x v="33"/>
    <x v="0"/>
    <x v="724"/>
    <d v="2013-12-14T00:00:00"/>
    <x v="12"/>
    <x v="0"/>
    <m/>
    <s v="Alternative Narrative"/>
    <x v="0"/>
    <x v="0"/>
    <m/>
    <x v="0"/>
    <x v="0"/>
    <x v="2093"/>
    <x v="33"/>
    <x v="0"/>
    <x v="0"/>
    <x v="724"/>
    <x v="6261"/>
  </r>
  <r>
    <x v="2"/>
    <n v="1133"/>
    <x v="1533"/>
    <x v="0"/>
    <s v="LM"/>
    <s v="S"/>
    <x v="0"/>
    <x v="3"/>
    <x v="1071"/>
    <m/>
    <x v="465"/>
    <m/>
    <x v="56"/>
    <x v="0"/>
    <x v="725"/>
    <d v="2013-01-20T00:00:00"/>
    <x v="15"/>
    <x v="1"/>
    <s v="Competition Program"/>
    <m/>
    <x v="0"/>
    <x v="0"/>
    <m/>
    <x v="0"/>
    <x v="5"/>
    <x v="1543"/>
    <x v="56"/>
    <x v="0"/>
    <x v="0"/>
    <x v="725"/>
    <x v="6262"/>
  </r>
  <r>
    <x v="2"/>
    <n v="1133"/>
    <x v="1533"/>
    <x v="0"/>
    <s v="LM"/>
    <s v="S"/>
    <x v="0"/>
    <x v="3"/>
    <x v="885"/>
    <m/>
    <x v="419"/>
    <m/>
    <x v="34"/>
    <x v="0"/>
    <x v="586"/>
    <d v="2013-01-27T00:00:00"/>
    <x v="15"/>
    <x v="0"/>
    <m/>
    <s v="Tous les garçons s'appellent João"/>
    <x v="0"/>
    <x v="0"/>
    <m/>
    <x v="0"/>
    <x v="5"/>
    <x v="1543"/>
    <x v="34"/>
    <x v="0"/>
    <x v="0"/>
    <x v="586"/>
    <x v="6263"/>
  </r>
  <r>
    <x v="2"/>
    <n v="1133"/>
    <x v="1533"/>
    <x v="0"/>
    <s v="LM"/>
    <s v="S"/>
    <x v="0"/>
    <x v="3"/>
    <x v="1072"/>
    <m/>
    <x v="91"/>
    <m/>
    <x v="9"/>
    <x v="0"/>
    <x v="726"/>
    <m/>
    <x v="1"/>
    <x v="1"/>
    <m/>
    <m/>
    <x v="587"/>
    <x v="2"/>
    <m/>
    <x v="1"/>
    <x v="5"/>
    <x v="1543"/>
    <x v="9"/>
    <x v="719"/>
    <x v="0"/>
    <x v="726"/>
    <x v="6264"/>
  </r>
  <r>
    <x v="2"/>
    <n v="1133"/>
    <x v="1533"/>
    <x v="0"/>
    <s v="LM"/>
    <s v="S"/>
    <x v="0"/>
    <x v="3"/>
    <x v="856"/>
    <m/>
    <x v="23"/>
    <m/>
    <x v="3"/>
    <x v="0"/>
    <x v="552"/>
    <d v="2013-03-06T00:00:00"/>
    <x v="19"/>
    <x v="0"/>
    <m/>
    <m/>
    <x v="0"/>
    <x v="1"/>
    <s v="Universidade Lusófona do Porto"/>
    <x v="0"/>
    <x v="5"/>
    <x v="1543"/>
    <x v="3"/>
    <x v="0"/>
    <x v="1"/>
    <x v="552"/>
    <x v="6265"/>
  </r>
  <r>
    <x v="2"/>
    <n v="1133"/>
    <x v="1533"/>
    <x v="0"/>
    <s v="LM"/>
    <s v="S"/>
    <x v="0"/>
    <x v="3"/>
    <x v="1073"/>
    <m/>
    <x v="103"/>
    <m/>
    <x v="31"/>
    <x v="0"/>
    <x v="660"/>
    <d v="2013-02-24T00:00:00"/>
    <x v="1"/>
    <x v="0"/>
    <m/>
    <s v="Galas"/>
    <x v="0"/>
    <x v="0"/>
    <m/>
    <x v="0"/>
    <x v="5"/>
    <x v="1543"/>
    <x v="31"/>
    <x v="0"/>
    <x v="0"/>
    <x v="660"/>
    <x v="6266"/>
  </r>
  <r>
    <x v="2"/>
    <n v="1133"/>
    <x v="1533"/>
    <x v="0"/>
    <s v="LM"/>
    <s v="S"/>
    <x v="0"/>
    <x v="3"/>
    <x v="1074"/>
    <m/>
    <x v="466"/>
    <m/>
    <x v="3"/>
    <x v="0"/>
    <x v="621"/>
    <m/>
    <x v="1"/>
    <x v="0"/>
    <m/>
    <m/>
    <x v="0"/>
    <x v="1"/>
    <s v="No TEMPO - Teatro Municipal de Portimão"/>
    <x v="0"/>
    <x v="5"/>
    <x v="1543"/>
    <x v="3"/>
    <x v="0"/>
    <x v="1"/>
    <x v="621"/>
    <x v="6267"/>
  </r>
  <r>
    <x v="2"/>
    <n v="1133"/>
    <x v="1533"/>
    <x v="0"/>
    <s v="LM"/>
    <s v="S"/>
    <x v="0"/>
    <x v="3"/>
    <x v="1044"/>
    <m/>
    <x v="459"/>
    <m/>
    <x v="37"/>
    <x v="0"/>
    <x v="587"/>
    <d v="2013-02-27T00:00:00"/>
    <x v="1"/>
    <x v="1"/>
    <s v="Competencia Oficial Ficción"/>
    <m/>
    <x v="588"/>
    <x v="0"/>
    <m/>
    <x v="1"/>
    <x v="5"/>
    <x v="1543"/>
    <x v="37"/>
    <x v="720"/>
    <x v="0"/>
    <x v="587"/>
    <x v="6268"/>
  </r>
  <r>
    <x v="2"/>
    <n v="1133"/>
    <x v="1533"/>
    <x v="0"/>
    <s v="LM"/>
    <s v="S"/>
    <x v="0"/>
    <x v="3"/>
    <x v="893"/>
    <m/>
    <x v="24"/>
    <m/>
    <x v="3"/>
    <x v="0"/>
    <x v="503"/>
    <m/>
    <x v="1"/>
    <x v="0"/>
    <m/>
    <m/>
    <x v="6"/>
    <x v="2"/>
    <m/>
    <x v="1"/>
    <x v="5"/>
    <x v="1543"/>
    <x v="3"/>
    <x v="130"/>
    <x v="1"/>
    <x v="503"/>
    <x v="6269"/>
  </r>
  <r>
    <x v="2"/>
    <n v="1133"/>
    <x v="1533"/>
    <x v="0"/>
    <s v="LM"/>
    <s v="S"/>
    <x v="0"/>
    <x v="3"/>
    <x v="153"/>
    <m/>
    <x v="98"/>
    <m/>
    <x v="29"/>
    <x v="0"/>
    <x v="571"/>
    <d v="2013-03-17T00:00:00"/>
    <x v="2"/>
    <x v="0"/>
    <m/>
    <s v="Lux Prixe of the European Parliament"/>
    <x v="0"/>
    <x v="0"/>
    <m/>
    <x v="0"/>
    <x v="5"/>
    <x v="1543"/>
    <x v="29"/>
    <x v="0"/>
    <x v="0"/>
    <x v="571"/>
    <x v="6270"/>
  </r>
  <r>
    <x v="2"/>
    <n v="1133"/>
    <x v="1533"/>
    <x v="0"/>
    <s v="LM"/>
    <s v="S"/>
    <x v="0"/>
    <x v="3"/>
    <x v="1058"/>
    <m/>
    <x v="24"/>
    <m/>
    <x v="3"/>
    <x v="0"/>
    <x v="557"/>
    <m/>
    <x v="2"/>
    <x v="1"/>
    <m/>
    <m/>
    <x v="110"/>
    <x v="2"/>
    <m/>
    <x v="1"/>
    <x v="5"/>
    <x v="1543"/>
    <x v="3"/>
    <x v="152"/>
    <x v="1"/>
    <x v="557"/>
    <x v="6271"/>
  </r>
  <r>
    <x v="2"/>
    <n v="1133"/>
    <x v="1533"/>
    <x v="0"/>
    <s v="LM"/>
    <s v="S"/>
    <x v="0"/>
    <x v="3"/>
    <x v="432"/>
    <m/>
    <x v="39"/>
    <m/>
    <x v="3"/>
    <x v="0"/>
    <x v="582"/>
    <d v="2013-04-20T00:00:00"/>
    <x v="5"/>
    <x v="0"/>
    <m/>
    <s v="Prémio Lux"/>
    <x v="0"/>
    <x v="0"/>
    <m/>
    <x v="0"/>
    <x v="5"/>
    <x v="1543"/>
    <x v="3"/>
    <x v="0"/>
    <x v="1"/>
    <x v="582"/>
    <x v="6272"/>
  </r>
  <r>
    <x v="2"/>
    <n v="1133"/>
    <x v="1533"/>
    <x v="0"/>
    <s v="LM"/>
    <s v="S"/>
    <x v="0"/>
    <x v="3"/>
    <x v="1075"/>
    <m/>
    <x v="467"/>
    <m/>
    <x v="77"/>
    <x v="0"/>
    <x v="582"/>
    <d v="2013-04-17T00:00:00"/>
    <x v="5"/>
    <x v="0"/>
    <m/>
    <s v="Panorama Iberoamericano"/>
    <x v="0"/>
    <x v="0"/>
    <m/>
    <x v="0"/>
    <x v="5"/>
    <x v="1543"/>
    <x v="77"/>
    <x v="0"/>
    <x v="0"/>
    <x v="582"/>
    <x v="6273"/>
  </r>
  <r>
    <x v="2"/>
    <n v="1133"/>
    <x v="1533"/>
    <x v="0"/>
    <s v="LM"/>
    <s v="S"/>
    <x v="0"/>
    <x v="3"/>
    <x v="539"/>
    <m/>
    <x v="76"/>
    <m/>
    <x v="3"/>
    <x v="0"/>
    <x v="678"/>
    <d v="2013-04-21T00:00:00"/>
    <x v="5"/>
    <x v="0"/>
    <m/>
    <s v="Longas"/>
    <x v="0"/>
    <x v="0"/>
    <m/>
    <x v="0"/>
    <x v="5"/>
    <x v="1543"/>
    <x v="3"/>
    <x v="0"/>
    <x v="1"/>
    <x v="678"/>
    <x v="6274"/>
  </r>
  <r>
    <x v="2"/>
    <n v="1133"/>
    <x v="1533"/>
    <x v="0"/>
    <s v="LM"/>
    <s v="S"/>
    <x v="0"/>
    <x v="3"/>
    <x v="987"/>
    <m/>
    <x v="13"/>
    <m/>
    <x v="3"/>
    <x v="0"/>
    <x v="675"/>
    <d v="2013-07-22T00:00:00"/>
    <x v="8"/>
    <x v="0"/>
    <m/>
    <m/>
    <x v="0"/>
    <x v="1"/>
    <m/>
    <x v="0"/>
    <x v="5"/>
    <x v="1543"/>
    <x v="3"/>
    <x v="0"/>
    <x v="1"/>
    <x v="675"/>
    <x v="6275"/>
  </r>
  <r>
    <x v="2"/>
    <n v="1133"/>
    <x v="1533"/>
    <x v="0"/>
    <s v="LM"/>
    <s v="S"/>
    <x v="0"/>
    <x v="3"/>
    <x v="846"/>
    <m/>
    <x v="417"/>
    <m/>
    <x v="11"/>
    <x v="0"/>
    <x v="535"/>
    <d v="2013-08-03T00:00:00"/>
    <x v="25"/>
    <x v="0"/>
    <m/>
    <s v="Focus Portugal: Contemporary Cinema"/>
    <x v="0"/>
    <x v="0"/>
    <m/>
    <x v="0"/>
    <x v="5"/>
    <x v="1543"/>
    <x v="11"/>
    <x v="0"/>
    <x v="0"/>
    <x v="535"/>
    <x v="6276"/>
  </r>
  <r>
    <x v="2"/>
    <n v="1133"/>
    <x v="1533"/>
    <x v="0"/>
    <s v="LM"/>
    <s v="S"/>
    <x v="0"/>
    <x v="3"/>
    <x v="58"/>
    <m/>
    <x v="47"/>
    <m/>
    <x v="3"/>
    <x v="0"/>
    <x v="542"/>
    <d v="2013-09-08T00:00:00"/>
    <x v="9"/>
    <x v="0"/>
    <m/>
    <m/>
    <x v="0"/>
    <x v="1"/>
    <m/>
    <x v="0"/>
    <x v="5"/>
    <x v="1543"/>
    <x v="3"/>
    <x v="0"/>
    <x v="1"/>
    <x v="542"/>
    <x v="6277"/>
  </r>
  <r>
    <x v="2"/>
    <n v="1133"/>
    <x v="1533"/>
    <x v="0"/>
    <s v="LM"/>
    <s v="S"/>
    <x v="0"/>
    <x v="3"/>
    <x v="895"/>
    <m/>
    <x v="425"/>
    <m/>
    <x v="0"/>
    <x v="0"/>
    <x v="597"/>
    <d v="2013-09-14T00:00:00"/>
    <x v="9"/>
    <x v="0"/>
    <m/>
    <s v="Mostra Portugal Contemporânei"/>
    <x v="0"/>
    <x v="0"/>
    <m/>
    <x v="0"/>
    <x v="5"/>
    <x v="1543"/>
    <x v="0"/>
    <x v="0"/>
    <x v="0"/>
    <x v="597"/>
    <x v="6278"/>
  </r>
  <r>
    <x v="2"/>
    <n v="1133"/>
    <x v="1533"/>
    <x v="0"/>
    <s v="LM"/>
    <s v="S"/>
    <x v="0"/>
    <x v="3"/>
    <x v="627"/>
    <m/>
    <x v="24"/>
    <m/>
    <x v="3"/>
    <x v="0"/>
    <x v="651"/>
    <m/>
    <x v="14"/>
    <x v="0"/>
    <m/>
    <m/>
    <x v="589"/>
    <x v="2"/>
    <m/>
    <x v="1"/>
    <x v="5"/>
    <x v="1543"/>
    <x v="3"/>
    <x v="721"/>
    <x v="1"/>
    <x v="651"/>
    <x v="6279"/>
  </r>
  <r>
    <x v="2"/>
    <n v="1133"/>
    <x v="1533"/>
    <x v="0"/>
    <s v="LM"/>
    <s v="S"/>
    <x v="0"/>
    <x v="3"/>
    <x v="492"/>
    <m/>
    <x v="128"/>
    <m/>
    <x v="1"/>
    <x v="0"/>
    <x v="519"/>
    <d v="2013-11-16T00:00:00"/>
    <x v="13"/>
    <x v="0"/>
    <m/>
    <s v="Focus Europa: Portugal"/>
    <x v="0"/>
    <x v="0"/>
    <m/>
    <x v="0"/>
    <x v="5"/>
    <x v="1543"/>
    <x v="1"/>
    <x v="0"/>
    <x v="0"/>
    <x v="519"/>
    <x v="6280"/>
  </r>
  <r>
    <x v="2"/>
    <n v="1133"/>
    <x v="1533"/>
    <x v="0"/>
    <s v="LM"/>
    <s v="S"/>
    <x v="0"/>
    <x v="3"/>
    <x v="824"/>
    <m/>
    <x v="408"/>
    <m/>
    <x v="9"/>
    <x v="0"/>
    <x v="498"/>
    <d v="2013-11-17T00:00:00"/>
    <x v="13"/>
    <x v="0"/>
    <m/>
    <m/>
    <x v="0"/>
    <x v="1"/>
    <s v="No BAM/PFA"/>
    <x v="0"/>
    <x v="5"/>
    <x v="1543"/>
    <x v="9"/>
    <x v="0"/>
    <x v="0"/>
    <x v="498"/>
    <x v="6281"/>
  </r>
  <r>
    <x v="2"/>
    <n v="1133"/>
    <x v="1533"/>
    <x v="0"/>
    <s v="LM"/>
    <s v="S"/>
    <x v="0"/>
    <x v="3"/>
    <x v="1076"/>
    <m/>
    <x v="468"/>
    <m/>
    <x v="53"/>
    <x v="0"/>
    <x v="699"/>
    <d v="2013-11-22T00:00:00"/>
    <x v="13"/>
    <x v="1"/>
    <s v="Largometraje Internacional"/>
    <m/>
    <x v="590"/>
    <x v="0"/>
    <m/>
    <x v="1"/>
    <x v="5"/>
    <x v="1543"/>
    <x v="53"/>
    <x v="722"/>
    <x v="0"/>
    <x v="699"/>
    <x v="6282"/>
  </r>
  <r>
    <x v="2"/>
    <n v="1652"/>
    <x v="2071"/>
    <x v="0"/>
    <s v="CM"/>
    <s v="N"/>
    <x v="783"/>
    <x v="41"/>
    <x v="450"/>
    <m/>
    <x v="24"/>
    <m/>
    <x v="3"/>
    <x v="0"/>
    <x v="625"/>
    <m/>
    <x v="1"/>
    <x v="0"/>
    <m/>
    <m/>
    <x v="0"/>
    <x v="1"/>
    <m/>
    <x v="0"/>
    <x v="0"/>
    <x v="2094"/>
    <x v="3"/>
    <x v="0"/>
    <x v="1"/>
    <x v="625"/>
    <x v="6283"/>
  </r>
  <r>
    <x v="2"/>
    <n v="1652"/>
    <x v="2071"/>
    <x v="0"/>
    <s v="CM"/>
    <s v="N"/>
    <x v="783"/>
    <x v="41"/>
    <x v="1062"/>
    <m/>
    <x v="15"/>
    <m/>
    <x v="3"/>
    <x v="0"/>
    <x v="719"/>
    <m/>
    <x v="16"/>
    <x v="0"/>
    <m/>
    <s v="Curta Convidada"/>
    <x v="0"/>
    <x v="1"/>
    <m/>
    <x v="0"/>
    <x v="0"/>
    <x v="2094"/>
    <x v="3"/>
    <x v="0"/>
    <x v="1"/>
    <x v="719"/>
    <x v="6284"/>
  </r>
  <r>
    <x v="2"/>
    <n v="1572"/>
    <x v="1536"/>
    <x v="3"/>
    <s v="CM"/>
    <s v="N"/>
    <x v="1005"/>
    <x v="41"/>
    <x v="1077"/>
    <m/>
    <x v="469"/>
    <m/>
    <x v="50"/>
    <x v="0"/>
    <x v="506"/>
    <d v="2013-06-15T00:00:00"/>
    <x v="7"/>
    <x v="0"/>
    <m/>
    <m/>
    <x v="0"/>
    <x v="0"/>
    <m/>
    <x v="0"/>
    <x v="6"/>
    <x v="1546"/>
    <x v="50"/>
    <x v="0"/>
    <x v="0"/>
    <x v="506"/>
    <x v="6285"/>
  </r>
  <r>
    <x v="2"/>
    <n v="1572"/>
    <x v="1536"/>
    <x v="3"/>
    <s v="CM"/>
    <s v="N"/>
    <x v="1005"/>
    <x v="41"/>
    <x v="316"/>
    <m/>
    <x v="11"/>
    <m/>
    <x v="3"/>
    <x v="0"/>
    <x v="500"/>
    <d v="2013-08-31T00:00:00"/>
    <x v="16"/>
    <x v="1"/>
    <s v="Animação"/>
    <m/>
    <x v="0"/>
    <x v="0"/>
    <m/>
    <x v="0"/>
    <x v="6"/>
    <x v="1546"/>
    <x v="3"/>
    <x v="0"/>
    <x v="1"/>
    <x v="500"/>
    <x v="6286"/>
  </r>
  <r>
    <x v="2"/>
    <n v="1572"/>
    <x v="1536"/>
    <x v="3"/>
    <s v="CM"/>
    <s v="N"/>
    <x v="1005"/>
    <x v="41"/>
    <x v="908"/>
    <m/>
    <x v="294"/>
    <m/>
    <x v="10"/>
    <x v="0"/>
    <x v="607"/>
    <d v="2013-09-10T00:00:00"/>
    <x v="9"/>
    <x v="1"/>
    <s v="Video Art Competition"/>
    <m/>
    <x v="0"/>
    <x v="0"/>
    <m/>
    <x v="0"/>
    <x v="6"/>
    <x v="1546"/>
    <x v="10"/>
    <x v="0"/>
    <x v="0"/>
    <x v="607"/>
    <x v="6287"/>
  </r>
  <r>
    <x v="2"/>
    <n v="1572"/>
    <x v="1536"/>
    <x v="3"/>
    <s v="CM"/>
    <s v="N"/>
    <x v="1005"/>
    <x v="41"/>
    <x v="767"/>
    <m/>
    <x v="65"/>
    <m/>
    <x v="9"/>
    <x v="0"/>
    <x v="542"/>
    <d v="2013-09-08T00:00:00"/>
    <x v="9"/>
    <x v="0"/>
    <m/>
    <m/>
    <x v="0"/>
    <x v="0"/>
    <m/>
    <x v="0"/>
    <x v="6"/>
    <x v="1546"/>
    <x v="9"/>
    <x v="0"/>
    <x v="0"/>
    <x v="542"/>
    <x v="6288"/>
  </r>
  <r>
    <x v="2"/>
    <n v="1572"/>
    <x v="1536"/>
    <x v="3"/>
    <s v="CM"/>
    <s v="N"/>
    <x v="1005"/>
    <x v="41"/>
    <x v="878"/>
    <m/>
    <x v="288"/>
    <m/>
    <x v="10"/>
    <x v="0"/>
    <x v="579"/>
    <d v="2013-09-29T00:00:00"/>
    <x v="9"/>
    <x v="1"/>
    <s v="Experimental"/>
    <m/>
    <x v="0"/>
    <x v="0"/>
    <m/>
    <x v="0"/>
    <x v="6"/>
    <x v="1546"/>
    <x v="10"/>
    <x v="0"/>
    <x v="0"/>
    <x v="579"/>
    <x v="6289"/>
  </r>
  <r>
    <x v="2"/>
    <n v="1572"/>
    <x v="1536"/>
    <x v="3"/>
    <s v="CM"/>
    <s v="N"/>
    <x v="1005"/>
    <x v="41"/>
    <x v="933"/>
    <m/>
    <x v="432"/>
    <m/>
    <x v="69"/>
    <x v="0"/>
    <x v="579"/>
    <d v="2013-10-07T00:00:00"/>
    <x v="10"/>
    <x v="0"/>
    <m/>
    <s v="Loop Videos - Exhibition1"/>
    <x v="0"/>
    <x v="0"/>
    <m/>
    <x v="0"/>
    <x v="6"/>
    <x v="1546"/>
    <x v="69"/>
    <x v="0"/>
    <x v="0"/>
    <x v="579"/>
    <x v="6290"/>
  </r>
  <r>
    <x v="2"/>
    <n v="1572"/>
    <x v="1536"/>
    <x v="3"/>
    <s v="CM"/>
    <s v="N"/>
    <x v="1005"/>
    <x v="41"/>
    <x v="934"/>
    <m/>
    <x v="433"/>
    <m/>
    <x v="17"/>
    <x v="0"/>
    <x v="631"/>
    <d v="2013-10-20T00:00:00"/>
    <x v="14"/>
    <x v="0"/>
    <m/>
    <s v="Visuals"/>
    <x v="0"/>
    <x v="0"/>
    <m/>
    <x v="0"/>
    <x v="6"/>
    <x v="1546"/>
    <x v="17"/>
    <x v="0"/>
    <x v="0"/>
    <x v="631"/>
    <x v="6291"/>
  </r>
  <r>
    <x v="2"/>
    <n v="1572"/>
    <x v="1536"/>
    <x v="3"/>
    <s v="CM"/>
    <s v="N"/>
    <x v="1005"/>
    <x v="41"/>
    <x v="1078"/>
    <m/>
    <x v="470"/>
    <m/>
    <x v="78"/>
    <x v="0"/>
    <x v="637"/>
    <d v="2013-11-24T00:00:00"/>
    <x v="13"/>
    <x v="0"/>
    <m/>
    <s v="KLEX Open Programme II: INCUBATE"/>
    <x v="0"/>
    <x v="0"/>
    <m/>
    <x v="0"/>
    <x v="6"/>
    <x v="1546"/>
    <x v="78"/>
    <x v="0"/>
    <x v="0"/>
    <x v="637"/>
    <x v="6292"/>
  </r>
  <r>
    <x v="2"/>
    <n v="1572"/>
    <x v="1536"/>
    <x v="3"/>
    <s v="CM"/>
    <s v="N"/>
    <x v="1005"/>
    <x v="41"/>
    <x v="1079"/>
    <m/>
    <x v="471"/>
    <m/>
    <x v="35"/>
    <x v="0"/>
    <x v="727"/>
    <d v="2013-11-30T00:00:00"/>
    <x v="13"/>
    <x v="1"/>
    <s v="Kurzfilmblock 3"/>
    <m/>
    <x v="0"/>
    <x v="0"/>
    <m/>
    <x v="0"/>
    <x v="6"/>
    <x v="1546"/>
    <x v="35"/>
    <x v="0"/>
    <x v="0"/>
    <x v="727"/>
    <x v="6293"/>
  </r>
  <r>
    <x v="2"/>
    <n v="1572"/>
    <x v="1536"/>
    <x v="3"/>
    <s v="CM"/>
    <s v="N"/>
    <x v="1005"/>
    <x v="41"/>
    <x v="1080"/>
    <m/>
    <x v="26"/>
    <m/>
    <x v="6"/>
    <x v="0"/>
    <x v="577"/>
    <d v="2013-12-29T00:00:00"/>
    <x v="12"/>
    <x v="1"/>
    <s v="Media Arts Programme 2013"/>
    <m/>
    <x v="0"/>
    <x v="0"/>
    <m/>
    <x v="0"/>
    <x v="6"/>
    <x v="1546"/>
    <x v="6"/>
    <x v="0"/>
    <x v="0"/>
    <x v="577"/>
    <x v="6294"/>
  </r>
  <r>
    <x v="2"/>
    <n v="2138"/>
    <x v="2072"/>
    <x v="0"/>
    <s v="CM"/>
    <s v="N"/>
    <x v="1327"/>
    <x v="52"/>
    <x v="454"/>
    <m/>
    <x v="15"/>
    <m/>
    <x v="3"/>
    <x v="0"/>
    <x v="334"/>
    <m/>
    <x v="8"/>
    <x v="1"/>
    <s v="Filme Escolar"/>
    <m/>
    <x v="0"/>
    <x v="0"/>
    <m/>
    <x v="0"/>
    <x v="0"/>
    <x v="2095"/>
    <x v="3"/>
    <x v="0"/>
    <x v="1"/>
    <x v="334"/>
    <x v="6295"/>
  </r>
  <r>
    <x v="2"/>
    <n v="1854"/>
    <x v="2073"/>
    <x v="0"/>
    <s v="LM"/>
    <s v=""/>
    <x v="282"/>
    <x v="18"/>
    <x v="854"/>
    <m/>
    <x v="24"/>
    <m/>
    <x v="3"/>
    <x v="0"/>
    <x v="550"/>
    <d v="2013-03-27T00:00:00"/>
    <x v="2"/>
    <x v="0"/>
    <m/>
    <m/>
    <x v="0"/>
    <x v="1"/>
    <m/>
    <x v="0"/>
    <x v="5"/>
    <x v="2096"/>
    <x v="3"/>
    <x v="0"/>
    <x v="1"/>
    <x v="550"/>
    <x v="6296"/>
  </r>
  <r>
    <x v="2"/>
    <n v="1142"/>
    <x v="783"/>
    <x v="0"/>
    <s v="CM"/>
    <s v="N"/>
    <x v="541"/>
    <x v="2"/>
    <x v="868"/>
    <m/>
    <x v="24"/>
    <m/>
    <x v="3"/>
    <x v="0"/>
    <x v="565"/>
    <m/>
    <x v="1"/>
    <x v="0"/>
    <m/>
    <m/>
    <x v="591"/>
    <x v="2"/>
    <m/>
    <x v="1"/>
    <x v="0"/>
    <x v="786"/>
    <x v="3"/>
    <x v="723"/>
    <x v="1"/>
    <x v="565"/>
    <x v="6297"/>
  </r>
  <r>
    <x v="2"/>
    <n v="1142"/>
    <x v="783"/>
    <x v="0"/>
    <s v="CM"/>
    <s v="N"/>
    <x v="541"/>
    <x v="2"/>
    <x v="861"/>
    <m/>
    <x v="24"/>
    <m/>
    <x v="3"/>
    <x v="0"/>
    <x v="499"/>
    <d v="2013-06-30T00:00:00"/>
    <x v="7"/>
    <x v="0"/>
    <m/>
    <m/>
    <x v="0"/>
    <x v="1"/>
    <s v="Sessão  Shortcutz Lisboa"/>
    <x v="0"/>
    <x v="0"/>
    <x v="786"/>
    <x v="3"/>
    <x v="0"/>
    <x v="1"/>
    <x v="499"/>
    <x v="6298"/>
  </r>
  <r>
    <x v="2"/>
    <n v="1427"/>
    <x v="1537"/>
    <x v="1"/>
    <s v="CM"/>
    <s v="N"/>
    <x v="1006"/>
    <x v="41"/>
    <x v="68"/>
    <m/>
    <x v="53"/>
    <m/>
    <x v="3"/>
    <x v="0"/>
    <x v="573"/>
    <d v="2013-07-14T00:00:00"/>
    <x v="8"/>
    <x v="1"/>
    <s v="Competição Take One!"/>
    <m/>
    <x v="0"/>
    <x v="0"/>
    <m/>
    <x v="0"/>
    <x v="2"/>
    <x v="1547"/>
    <x v="3"/>
    <x v="0"/>
    <x v="1"/>
    <x v="573"/>
    <x v="6299"/>
  </r>
  <r>
    <x v="2"/>
    <n v="1427"/>
    <x v="1537"/>
    <x v="1"/>
    <s v="CM"/>
    <s v="N"/>
    <x v="1006"/>
    <x v="41"/>
    <x v="870"/>
    <m/>
    <x v="59"/>
    <m/>
    <x v="3"/>
    <x v="0"/>
    <x v="568"/>
    <d v="2013-10-13T00:00:00"/>
    <x v="14"/>
    <x v="1"/>
    <s v="Competição Nacional"/>
    <m/>
    <x v="0"/>
    <x v="0"/>
    <m/>
    <x v="0"/>
    <x v="2"/>
    <x v="1547"/>
    <x v="3"/>
    <x v="0"/>
    <x v="1"/>
    <x v="568"/>
    <x v="6300"/>
  </r>
  <r>
    <x v="2"/>
    <n v="1877"/>
    <x v="2074"/>
    <x v="1"/>
    <s v="CM"/>
    <s v="N"/>
    <x v="604"/>
    <x v="41"/>
    <x v="519"/>
    <m/>
    <x v="24"/>
    <m/>
    <x v="3"/>
    <x v="0"/>
    <x v="504"/>
    <d v="2013-05-11T00:00:00"/>
    <x v="6"/>
    <x v="0"/>
    <m/>
    <m/>
    <x v="0"/>
    <x v="1"/>
    <m/>
    <x v="0"/>
    <x v="2"/>
    <x v="2097"/>
    <x v="3"/>
    <x v="0"/>
    <x v="1"/>
    <x v="504"/>
    <x v="6301"/>
  </r>
  <r>
    <x v="2"/>
    <n v="1868"/>
    <x v="2075"/>
    <x v="2"/>
    <s v="CM"/>
    <s v="N"/>
    <x v="82"/>
    <x v="52"/>
    <x v="146"/>
    <m/>
    <x v="24"/>
    <m/>
    <x v="3"/>
    <x v="0"/>
    <x v="537"/>
    <d v="2013-04-28T00:00:00"/>
    <x v="5"/>
    <x v="1"/>
    <s v="Competição Nacional - Animaçãp"/>
    <s v="Cinema Emergente Curtas"/>
    <x v="0"/>
    <x v="0"/>
    <m/>
    <x v="0"/>
    <x v="4"/>
    <x v="2098"/>
    <x v="3"/>
    <x v="0"/>
    <x v="1"/>
    <x v="537"/>
    <x v="6302"/>
  </r>
  <r>
    <x v="2"/>
    <n v="1868"/>
    <x v="2075"/>
    <x v="2"/>
    <s v="CM"/>
    <s v="N"/>
    <x v="82"/>
    <x v="52"/>
    <x v="519"/>
    <m/>
    <x v="24"/>
    <m/>
    <x v="3"/>
    <x v="0"/>
    <x v="504"/>
    <d v="2013-05-11T00:00:00"/>
    <x v="6"/>
    <x v="0"/>
    <m/>
    <m/>
    <x v="0"/>
    <x v="1"/>
    <m/>
    <x v="0"/>
    <x v="4"/>
    <x v="2098"/>
    <x v="3"/>
    <x v="0"/>
    <x v="1"/>
    <x v="504"/>
    <x v="6303"/>
  </r>
  <r>
    <x v="2"/>
    <n v="1868"/>
    <x v="2075"/>
    <x v="2"/>
    <s v="CM"/>
    <s v="N"/>
    <x v="82"/>
    <x v="52"/>
    <x v="241"/>
    <m/>
    <x v="58"/>
    <m/>
    <x v="17"/>
    <x v="0"/>
    <x v="615"/>
    <d v="2013-10-20T00:00:00"/>
    <x v="14"/>
    <x v="0"/>
    <m/>
    <s v="Experimenta: An Eternal Return"/>
    <x v="0"/>
    <x v="0"/>
    <m/>
    <x v="0"/>
    <x v="4"/>
    <x v="2098"/>
    <x v="17"/>
    <x v="0"/>
    <x v="0"/>
    <x v="615"/>
    <x v="6304"/>
  </r>
  <r>
    <x v="2"/>
    <n v="1868"/>
    <x v="2075"/>
    <x v="2"/>
    <s v="CM"/>
    <s v="N"/>
    <x v="82"/>
    <x v="52"/>
    <x v="0"/>
    <m/>
    <x v="0"/>
    <m/>
    <x v="0"/>
    <x v="0"/>
    <x v="684"/>
    <d v="2013-11-07T00:00:00"/>
    <x v="0"/>
    <x v="0"/>
    <m/>
    <s v="Panorama Internacional 2"/>
    <x v="0"/>
    <x v="0"/>
    <m/>
    <x v="0"/>
    <x v="4"/>
    <x v="2098"/>
    <x v="0"/>
    <x v="0"/>
    <x v="0"/>
    <x v="684"/>
    <x v="6305"/>
  </r>
  <r>
    <x v="2"/>
    <n v="2114"/>
    <x v="2075"/>
    <x v="2"/>
    <s v="CM"/>
    <s v="N"/>
    <x v="82"/>
    <x v="52"/>
    <x v="1081"/>
    <m/>
    <x v="24"/>
    <m/>
    <x v="3"/>
    <x v="0"/>
    <x v="548"/>
    <m/>
    <x v="12"/>
    <x v="0"/>
    <m/>
    <s v="Curta convidada"/>
    <x v="0"/>
    <x v="1"/>
    <m/>
    <x v="0"/>
    <x v="4"/>
    <x v="2098"/>
    <x v="3"/>
    <x v="0"/>
    <x v="1"/>
    <x v="548"/>
    <x v="6306"/>
  </r>
  <r>
    <x v="2"/>
    <n v="1404"/>
    <x v="1539"/>
    <x v="1"/>
    <s v="LM"/>
    <s v="N"/>
    <x v="313"/>
    <x v="41"/>
    <x v="375"/>
    <m/>
    <x v="20"/>
    <m/>
    <x v="5"/>
    <x v="0"/>
    <x v="496"/>
    <d v="2013-02-17T00:00:00"/>
    <x v="1"/>
    <x v="0"/>
    <m/>
    <s v="Forum"/>
    <x v="0"/>
    <x v="0"/>
    <m/>
    <x v="0"/>
    <x v="1"/>
    <x v="1549"/>
    <x v="5"/>
    <x v="0"/>
    <x v="0"/>
    <x v="496"/>
    <x v="6307"/>
  </r>
  <r>
    <x v="2"/>
    <n v="1404"/>
    <x v="1539"/>
    <x v="1"/>
    <s v="LM"/>
    <s v="N"/>
    <x v="313"/>
    <x v="41"/>
    <x v="1082"/>
    <m/>
    <x v="65"/>
    <m/>
    <x v="9"/>
    <x v="0"/>
    <x v="621"/>
    <d v="2013-03-04T00:00:00"/>
    <x v="19"/>
    <x v="0"/>
    <m/>
    <m/>
    <x v="0"/>
    <x v="1"/>
    <m/>
    <x v="0"/>
    <x v="1"/>
    <x v="1549"/>
    <x v="9"/>
    <x v="0"/>
    <x v="0"/>
    <x v="621"/>
    <x v="6308"/>
  </r>
  <r>
    <x v="2"/>
    <n v="1404"/>
    <x v="1539"/>
    <x v="1"/>
    <s v="LM"/>
    <s v="N"/>
    <x v="313"/>
    <x v="41"/>
    <x v="854"/>
    <m/>
    <x v="24"/>
    <m/>
    <x v="3"/>
    <x v="0"/>
    <x v="550"/>
    <d v="2013-03-27T00:00:00"/>
    <x v="2"/>
    <x v="0"/>
    <m/>
    <m/>
    <x v="0"/>
    <x v="1"/>
    <m/>
    <x v="0"/>
    <x v="1"/>
    <x v="1549"/>
    <x v="3"/>
    <x v="0"/>
    <x v="1"/>
    <x v="550"/>
    <x v="6309"/>
  </r>
  <r>
    <x v="2"/>
    <n v="1404"/>
    <x v="1539"/>
    <x v="1"/>
    <s v="LM"/>
    <s v="N"/>
    <x v="313"/>
    <x v="41"/>
    <x v="182"/>
    <m/>
    <x v="17"/>
    <m/>
    <x v="2"/>
    <x v="0"/>
    <x v="649"/>
    <d v="2013-03-31T00:00:00"/>
    <x v="2"/>
    <x v="1"/>
    <s v="Compétition Internationale Premiers Films"/>
    <m/>
    <x v="0"/>
    <x v="0"/>
    <m/>
    <x v="0"/>
    <x v="1"/>
    <x v="1549"/>
    <x v="2"/>
    <x v="0"/>
    <x v="0"/>
    <x v="649"/>
    <x v="6310"/>
  </r>
  <r>
    <x v="2"/>
    <n v="1404"/>
    <x v="1539"/>
    <x v="1"/>
    <s v="LM"/>
    <s v="N"/>
    <x v="313"/>
    <x v="41"/>
    <x v="914"/>
    <m/>
    <x v="231"/>
    <m/>
    <x v="58"/>
    <x v="0"/>
    <x v="610"/>
    <d v="2013-04-21T00:00:00"/>
    <x v="5"/>
    <x v="0"/>
    <s v="Selection 8"/>
    <m/>
    <x v="0"/>
    <x v="0"/>
    <m/>
    <x v="0"/>
    <x v="1"/>
    <x v="1549"/>
    <x v="58"/>
    <x v="0"/>
    <x v="0"/>
    <x v="610"/>
    <x v="6311"/>
  </r>
  <r>
    <x v="2"/>
    <n v="1404"/>
    <x v="1539"/>
    <x v="1"/>
    <s v="LM"/>
    <s v="N"/>
    <x v="313"/>
    <x v="41"/>
    <x v="377"/>
    <m/>
    <x v="16"/>
    <m/>
    <x v="1"/>
    <x v="0"/>
    <x v="728"/>
    <d v="2013-05-12T00:00:00"/>
    <x v="6"/>
    <x v="1"/>
    <s v="Sección Oficial Largometrajes"/>
    <m/>
    <x v="148"/>
    <x v="0"/>
    <m/>
    <x v="1"/>
    <x v="1"/>
    <x v="1549"/>
    <x v="1"/>
    <x v="724"/>
    <x v="0"/>
    <x v="728"/>
    <x v="6312"/>
  </r>
  <r>
    <x v="2"/>
    <n v="1404"/>
    <x v="1539"/>
    <x v="1"/>
    <s v="LM"/>
    <s v="N"/>
    <x v="313"/>
    <x v="41"/>
    <x v="669"/>
    <m/>
    <x v="190"/>
    <m/>
    <x v="0"/>
    <x v="0"/>
    <x v="538"/>
    <d v="2013-06-14T00:00:00"/>
    <x v="7"/>
    <x v="0"/>
    <m/>
    <s v="Outros Olhares"/>
    <x v="0"/>
    <x v="0"/>
    <m/>
    <x v="0"/>
    <x v="1"/>
    <x v="1549"/>
    <x v="0"/>
    <x v="0"/>
    <x v="0"/>
    <x v="538"/>
    <x v="6313"/>
  </r>
  <r>
    <x v="2"/>
    <n v="1404"/>
    <x v="1539"/>
    <x v="1"/>
    <s v="LM"/>
    <s v="N"/>
    <x v="313"/>
    <x v="41"/>
    <x v="1083"/>
    <m/>
    <x v="472"/>
    <m/>
    <x v="46"/>
    <x v="0"/>
    <x v="656"/>
    <d v="2013-06-23T00:00:00"/>
    <x v="7"/>
    <x v="0"/>
    <m/>
    <s v="Secciones Paralelas: Fronteras Destruidas"/>
    <x v="0"/>
    <x v="0"/>
    <m/>
    <x v="0"/>
    <x v="1"/>
    <x v="1549"/>
    <x v="46"/>
    <x v="0"/>
    <x v="0"/>
    <x v="656"/>
    <x v="6314"/>
  </r>
  <r>
    <x v="2"/>
    <n v="1404"/>
    <x v="1539"/>
    <x v="1"/>
    <s v="LM"/>
    <s v="N"/>
    <x v="313"/>
    <x v="41"/>
    <x v="1084"/>
    <m/>
    <x v="58"/>
    <m/>
    <x v="17"/>
    <x v="0"/>
    <x v="515"/>
    <d v="2013-06-23T00:00:00"/>
    <x v="7"/>
    <x v="1"/>
    <s v="Theatre of the Opressor"/>
    <m/>
    <x v="0"/>
    <x v="0"/>
    <m/>
    <x v="0"/>
    <x v="1"/>
    <x v="1549"/>
    <x v="17"/>
    <x v="0"/>
    <x v="0"/>
    <x v="515"/>
    <x v="6315"/>
  </r>
  <r>
    <x v="2"/>
    <n v="1404"/>
    <x v="1539"/>
    <x v="1"/>
    <s v="LM"/>
    <s v="N"/>
    <x v="313"/>
    <x v="41"/>
    <x v="129"/>
    <m/>
    <x v="12"/>
    <m/>
    <x v="2"/>
    <x v="0"/>
    <x v="539"/>
    <d v="2013-07-08T00:00:00"/>
    <x v="8"/>
    <x v="0"/>
    <m/>
    <s v="Écrans Paralléles: Inferno"/>
    <x v="0"/>
    <x v="0"/>
    <m/>
    <x v="0"/>
    <x v="1"/>
    <x v="1549"/>
    <x v="2"/>
    <x v="0"/>
    <x v="0"/>
    <x v="539"/>
    <x v="6316"/>
  </r>
  <r>
    <x v="2"/>
    <n v="1404"/>
    <x v="1539"/>
    <x v="1"/>
    <s v="LM"/>
    <s v="N"/>
    <x v="313"/>
    <x v="41"/>
    <x v="371"/>
    <m/>
    <x v="0"/>
    <m/>
    <x v="0"/>
    <x v="0"/>
    <x v="575"/>
    <d v="2013-07-28T00:00:00"/>
    <x v="8"/>
    <x v="0"/>
    <m/>
    <s v="Foco Portugal"/>
    <x v="0"/>
    <x v="0"/>
    <m/>
    <x v="0"/>
    <x v="1"/>
    <x v="1549"/>
    <x v="0"/>
    <x v="0"/>
    <x v="0"/>
    <x v="575"/>
    <x v="6317"/>
  </r>
  <r>
    <x v="2"/>
    <n v="1404"/>
    <x v="1539"/>
    <x v="1"/>
    <s v="LM"/>
    <s v="N"/>
    <x v="313"/>
    <x v="41"/>
    <x v="157"/>
    <m/>
    <x v="120"/>
    <m/>
    <x v="1"/>
    <x v="0"/>
    <x v="647"/>
    <d v="2013-10-25T00:00:00"/>
    <x v="14"/>
    <x v="1"/>
    <s v="Documentales Transfronterizos"/>
    <m/>
    <x v="0"/>
    <x v="0"/>
    <m/>
    <x v="0"/>
    <x v="1"/>
    <x v="1549"/>
    <x v="1"/>
    <x v="0"/>
    <x v="0"/>
    <x v="647"/>
    <x v="6318"/>
  </r>
  <r>
    <x v="2"/>
    <n v="1404"/>
    <x v="1539"/>
    <x v="1"/>
    <s v="LM"/>
    <s v="N"/>
    <x v="313"/>
    <x v="41"/>
    <x v="149"/>
    <m/>
    <x v="114"/>
    <m/>
    <x v="35"/>
    <x v="0"/>
    <x v="553"/>
    <d v="2013-11-06T00:00:00"/>
    <x v="0"/>
    <x v="0"/>
    <m/>
    <s v="Dokumentarfilme"/>
    <x v="0"/>
    <x v="0"/>
    <m/>
    <x v="0"/>
    <x v="1"/>
    <x v="1549"/>
    <x v="35"/>
    <x v="0"/>
    <x v="0"/>
    <x v="553"/>
    <x v="6319"/>
  </r>
  <r>
    <x v="2"/>
    <n v="1404"/>
    <x v="1539"/>
    <x v="1"/>
    <s v="LM"/>
    <s v="N"/>
    <x v="313"/>
    <x v="41"/>
    <x v="492"/>
    <m/>
    <x v="128"/>
    <m/>
    <x v="1"/>
    <x v="0"/>
    <x v="519"/>
    <d v="2013-11-16T00:00:00"/>
    <x v="13"/>
    <x v="0"/>
    <m/>
    <s v="Focus Europa: Portugal"/>
    <x v="0"/>
    <x v="0"/>
    <m/>
    <x v="0"/>
    <x v="1"/>
    <x v="1549"/>
    <x v="1"/>
    <x v="0"/>
    <x v="0"/>
    <x v="519"/>
    <x v="6320"/>
  </r>
  <r>
    <x v="2"/>
    <n v="1404"/>
    <x v="1539"/>
    <x v="1"/>
    <s v="LM"/>
    <s v="N"/>
    <x v="313"/>
    <x v="41"/>
    <x v="824"/>
    <m/>
    <x v="408"/>
    <m/>
    <x v="9"/>
    <x v="0"/>
    <x v="498"/>
    <d v="2013-11-17T00:00:00"/>
    <x v="13"/>
    <x v="0"/>
    <m/>
    <m/>
    <x v="0"/>
    <x v="1"/>
    <s v="No BAM/PFA"/>
    <x v="0"/>
    <x v="1"/>
    <x v="1549"/>
    <x v="9"/>
    <x v="0"/>
    <x v="0"/>
    <x v="498"/>
    <x v="6321"/>
  </r>
  <r>
    <x v="2"/>
    <n v="1404"/>
    <x v="1539"/>
    <x v="1"/>
    <s v="LM"/>
    <s v="N"/>
    <x v="313"/>
    <x v="41"/>
    <x v="909"/>
    <m/>
    <x v="246"/>
    <m/>
    <x v="24"/>
    <x v="0"/>
    <x v="498"/>
    <d v="2013-11-18T00:00:00"/>
    <x v="13"/>
    <x v="1"/>
    <s v="Extra Muros, in competition"/>
    <m/>
    <x v="0"/>
    <x v="0"/>
    <m/>
    <x v="0"/>
    <x v="1"/>
    <x v="1549"/>
    <x v="24"/>
    <x v="0"/>
    <x v="0"/>
    <x v="498"/>
    <x v="6322"/>
  </r>
  <r>
    <x v="2"/>
    <n v="1404"/>
    <x v="1539"/>
    <x v="1"/>
    <s v="LM"/>
    <s v="N"/>
    <x v="313"/>
    <x v="41"/>
    <x v="352"/>
    <m/>
    <x v="147"/>
    <m/>
    <x v="1"/>
    <x v="0"/>
    <x v="699"/>
    <d v="2013-11-22T00:00:00"/>
    <x v="13"/>
    <x v="0"/>
    <m/>
    <s v="Homenaje al Jurado"/>
    <x v="0"/>
    <x v="0"/>
    <m/>
    <x v="0"/>
    <x v="1"/>
    <x v="1549"/>
    <x v="1"/>
    <x v="0"/>
    <x v="0"/>
    <x v="699"/>
    <x v="6323"/>
  </r>
  <r>
    <x v="2"/>
    <n v="1404"/>
    <x v="1539"/>
    <x v="1"/>
    <s v="LM"/>
    <s v="N"/>
    <x v="313"/>
    <x v="41"/>
    <x v="890"/>
    <m/>
    <x v="319"/>
    <m/>
    <x v="1"/>
    <x v="0"/>
    <x v="594"/>
    <d v="2013-12-13T00:00:00"/>
    <x v="11"/>
    <x v="0"/>
    <m/>
    <m/>
    <x v="0"/>
    <x v="1"/>
    <s v="No CGAI"/>
    <x v="0"/>
    <x v="1"/>
    <x v="1549"/>
    <x v="1"/>
    <x v="0"/>
    <x v="0"/>
    <x v="594"/>
    <x v="6324"/>
  </r>
  <r>
    <x v="2"/>
    <n v="1404"/>
    <x v="1539"/>
    <x v="1"/>
    <s v="LM"/>
    <s v="N"/>
    <x v="313"/>
    <x v="41"/>
    <x v="1061"/>
    <m/>
    <x v="65"/>
    <m/>
    <x v="9"/>
    <x v="0"/>
    <x v="718"/>
    <d v="2013-11-24T00:00:00"/>
    <x v="13"/>
    <x v="0"/>
    <m/>
    <m/>
    <x v="0"/>
    <x v="1"/>
    <s v="Museum of the Moving Image"/>
    <x v="0"/>
    <x v="1"/>
    <x v="1549"/>
    <x v="9"/>
    <x v="0"/>
    <x v="0"/>
    <x v="718"/>
    <x v="6325"/>
  </r>
  <r>
    <x v="2"/>
    <n v="1404"/>
    <x v="1539"/>
    <x v="1"/>
    <s v="LM"/>
    <s v="N"/>
    <x v="313"/>
    <x v="41"/>
    <x v="920"/>
    <m/>
    <x v="429"/>
    <m/>
    <x v="63"/>
    <x v="0"/>
    <x v="509"/>
    <d v="2013-11-30T00:00:00"/>
    <x v="13"/>
    <x v="0"/>
    <m/>
    <m/>
    <x v="0"/>
    <x v="0"/>
    <m/>
    <x v="0"/>
    <x v="1"/>
    <x v="1549"/>
    <x v="63"/>
    <x v="0"/>
    <x v="0"/>
    <x v="509"/>
    <x v="6326"/>
  </r>
  <r>
    <x v="2"/>
    <n v="1404"/>
    <x v="1539"/>
    <x v="1"/>
    <s v="LM"/>
    <s v="N"/>
    <x v="313"/>
    <x v="41"/>
    <x v="851"/>
    <m/>
    <x v="58"/>
    <m/>
    <x v="17"/>
    <x v="0"/>
    <x v="546"/>
    <d v="2013-12-05T00:00:00"/>
    <x v="11"/>
    <x v="0"/>
    <m/>
    <m/>
    <x v="0"/>
    <x v="0"/>
    <m/>
    <x v="0"/>
    <x v="1"/>
    <x v="1549"/>
    <x v="17"/>
    <x v="0"/>
    <x v="0"/>
    <x v="546"/>
    <x v="6327"/>
  </r>
  <r>
    <x v="2"/>
    <n v="1390"/>
    <x v="1541"/>
    <x v="1"/>
    <s v="CM"/>
    <s v="N"/>
    <x v="1007"/>
    <x v="41"/>
    <x v="539"/>
    <m/>
    <x v="76"/>
    <m/>
    <x v="3"/>
    <x v="0"/>
    <x v="678"/>
    <d v="2013-04-21T00:00:00"/>
    <x v="5"/>
    <x v="0"/>
    <m/>
    <s v="Spectrum Português"/>
    <x v="0"/>
    <x v="0"/>
    <m/>
    <x v="0"/>
    <x v="2"/>
    <x v="1551"/>
    <x v="3"/>
    <x v="0"/>
    <x v="1"/>
    <x v="678"/>
    <x v="6328"/>
  </r>
  <r>
    <x v="2"/>
    <n v="1390"/>
    <x v="1541"/>
    <x v="1"/>
    <s v="CM"/>
    <s v="N"/>
    <x v="1007"/>
    <x v="41"/>
    <x v="906"/>
    <m/>
    <x v="348"/>
    <m/>
    <x v="3"/>
    <x v="0"/>
    <x v="592"/>
    <d v="2013-06-23T00:00:00"/>
    <x v="7"/>
    <x v="0"/>
    <m/>
    <m/>
    <x v="0"/>
    <x v="0"/>
    <m/>
    <x v="0"/>
    <x v="2"/>
    <x v="1551"/>
    <x v="3"/>
    <x v="0"/>
    <x v="1"/>
    <x v="592"/>
    <x v="6329"/>
  </r>
  <r>
    <x v="2"/>
    <n v="1390"/>
    <x v="1541"/>
    <x v="1"/>
    <s v="CM"/>
    <s v="N"/>
    <x v="1007"/>
    <x v="41"/>
    <x v="1033"/>
    <m/>
    <x v="15"/>
    <m/>
    <x v="3"/>
    <x v="0"/>
    <x v="699"/>
    <m/>
    <x v="13"/>
    <x v="0"/>
    <m/>
    <s v="Doc Xpress Viseu"/>
    <x v="0"/>
    <x v="1"/>
    <m/>
    <x v="0"/>
    <x v="2"/>
    <x v="1551"/>
    <x v="3"/>
    <x v="0"/>
    <x v="1"/>
    <x v="699"/>
    <x v="6330"/>
  </r>
  <r>
    <x v="2"/>
    <n v="1149"/>
    <x v="788"/>
    <x v="1"/>
    <s v="LM"/>
    <s v="S"/>
    <x v="545"/>
    <x v="10"/>
    <x v="839"/>
    <m/>
    <x v="82"/>
    <m/>
    <x v="21"/>
    <x v="0"/>
    <x v="521"/>
    <d v="2013-07-07T00:00:00"/>
    <x v="17"/>
    <x v="0"/>
    <m/>
    <s v="Nós"/>
    <x v="0"/>
    <x v="1"/>
    <m/>
    <x v="0"/>
    <x v="1"/>
    <x v="791"/>
    <x v="21"/>
    <x v="0"/>
    <x v="0"/>
    <x v="521"/>
    <x v="6331"/>
  </r>
  <r>
    <x v="2"/>
    <n v="1151"/>
    <x v="789"/>
    <x v="0"/>
    <s v="LM"/>
    <s v="S"/>
    <x v="546"/>
    <x v="15"/>
    <x v="1029"/>
    <m/>
    <x v="456"/>
    <m/>
    <x v="3"/>
    <x v="0"/>
    <x v="570"/>
    <d v="2013-07-13T00:00:00"/>
    <x v="8"/>
    <x v="0"/>
    <m/>
    <m/>
    <x v="0"/>
    <x v="0"/>
    <m/>
    <x v="0"/>
    <x v="5"/>
    <x v="792"/>
    <x v="3"/>
    <x v="0"/>
    <x v="1"/>
    <x v="570"/>
    <x v="6332"/>
  </r>
  <r>
    <x v="2"/>
    <n v="1279"/>
    <x v="1543"/>
    <x v="3"/>
    <s v="CM"/>
    <s v=""/>
    <x v="1009"/>
    <x v="41"/>
    <x v="828"/>
    <m/>
    <x v="410"/>
    <m/>
    <x v="48"/>
    <x v="0"/>
    <x v="507"/>
    <d v="2013-02-06T00:00:00"/>
    <x v="18"/>
    <x v="0"/>
    <m/>
    <s v="Digital Art Section"/>
    <x v="0"/>
    <x v="0"/>
    <m/>
    <x v="0"/>
    <x v="6"/>
    <x v="1553"/>
    <x v="48"/>
    <x v="0"/>
    <x v="0"/>
    <x v="507"/>
    <x v="6333"/>
  </r>
  <r>
    <x v="2"/>
    <n v="1279"/>
    <x v="1543"/>
    <x v="3"/>
    <s v="CM"/>
    <s v=""/>
    <x v="1009"/>
    <x v="41"/>
    <x v="62"/>
    <m/>
    <x v="23"/>
    <m/>
    <x v="3"/>
    <x v="0"/>
    <x v="503"/>
    <d v="2013-03-10T00:00:00"/>
    <x v="19"/>
    <x v="0"/>
    <m/>
    <s v="FANTAS em curtas: Cineclube de Avanca"/>
    <x v="0"/>
    <x v="0"/>
    <m/>
    <x v="0"/>
    <x v="6"/>
    <x v="1553"/>
    <x v="3"/>
    <x v="0"/>
    <x v="1"/>
    <x v="503"/>
    <x v="6334"/>
  </r>
  <r>
    <x v="2"/>
    <n v="1279"/>
    <x v="1543"/>
    <x v="3"/>
    <s v="CM"/>
    <s v=""/>
    <x v="1009"/>
    <x v="41"/>
    <x v="829"/>
    <m/>
    <x v="411"/>
    <m/>
    <x v="0"/>
    <x v="0"/>
    <x v="508"/>
    <d v="2013-06-08T00:00:00"/>
    <x v="7"/>
    <x v="1"/>
    <s v="Competição Mostra Estrangeira"/>
    <m/>
    <x v="0"/>
    <x v="0"/>
    <m/>
    <x v="0"/>
    <x v="6"/>
    <x v="1553"/>
    <x v="0"/>
    <x v="0"/>
    <x v="0"/>
    <x v="508"/>
    <x v="6335"/>
  </r>
  <r>
    <x v="2"/>
    <n v="1279"/>
    <x v="1543"/>
    <x v="3"/>
    <s v="CM"/>
    <s v=""/>
    <x v="1009"/>
    <x v="41"/>
    <x v="878"/>
    <m/>
    <x v="288"/>
    <m/>
    <x v="10"/>
    <x v="0"/>
    <x v="579"/>
    <d v="2013-09-29T00:00:00"/>
    <x v="9"/>
    <x v="1"/>
    <s v="Experimental"/>
    <m/>
    <x v="0"/>
    <x v="0"/>
    <m/>
    <x v="0"/>
    <x v="6"/>
    <x v="1553"/>
    <x v="10"/>
    <x v="0"/>
    <x v="0"/>
    <x v="579"/>
    <x v="6336"/>
  </r>
  <r>
    <x v="2"/>
    <n v="1279"/>
    <x v="1543"/>
    <x v="3"/>
    <s v="CM"/>
    <s v=""/>
    <x v="1009"/>
    <x v="41"/>
    <x v="873"/>
    <m/>
    <x v="297"/>
    <m/>
    <x v="3"/>
    <x v="0"/>
    <x v="509"/>
    <d v="2013-11-27T00:00:00"/>
    <x v="13"/>
    <x v="0"/>
    <m/>
    <s v="Homenagem à Ria de Aveiro"/>
    <x v="0"/>
    <x v="0"/>
    <m/>
    <x v="0"/>
    <x v="6"/>
    <x v="1553"/>
    <x v="3"/>
    <x v="0"/>
    <x v="1"/>
    <x v="509"/>
    <x v="6337"/>
  </r>
  <r>
    <x v="2"/>
    <n v="1789"/>
    <x v="2076"/>
    <x v="1"/>
    <s v="CM"/>
    <s v="N"/>
    <x v="294"/>
    <x v="2"/>
    <x v="1085"/>
    <m/>
    <x v="32"/>
    <m/>
    <x v="3"/>
    <x v="0"/>
    <x v="524"/>
    <m/>
    <x v="5"/>
    <x v="0"/>
    <m/>
    <m/>
    <x v="0"/>
    <x v="1"/>
    <s v="Org. Escola Superior de Educação do Instituto Politécnico de Setúbal"/>
    <x v="0"/>
    <x v="2"/>
    <x v="2099"/>
    <x v="3"/>
    <x v="0"/>
    <x v="1"/>
    <x v="524"/>
    <x v="6338"/>
  </r>
  <r>
    <x v="2"/>
    <n v="1789"/>
    <x v="2076"/>
    <x v="1"/>
    <s v="CM"/>
    <s v="N"/>
    <x v="294"/>
    <x v="2"/>
    <x v="34"/>
    <m/>
    <x v="32"/>
    <m/>
    <x v="3"/>
    <x v="0"/>
    <x v="525"/>
    <d v="2013-05-12T00:00:00"/>
    <x v="6"/>
    <x v="1"/>
    <s v="Documentário Regional"/>
    <m/>
    <x v="0"/>
    <x v="0"/>
    <m/>
    <x v="0"/>
    <x v="2"/>
    <x v="2099"/>
    <x v="3"/>
    <x v="0"/>
    <x v="1"/>
    <x v="525"/>
    <x v="6339"/>
  </r>
  <r>
    <x v="2"/>
    <n v="1795"/>
    <x v="2077"/>
    <x v="0"/>
    <s v="CM"/>
    <s v="N"/>
    <x v="1328"/>
    <x v="41"/>
    <x v="975"/>
    <m/>
    <x v="441"/>
    <m/>
    <x v="75"/>
    <x v="0"/>
    <x v="666"/>
    <d v="2013-06-21T00:00:00"/>
    <x v="22"/>
    <x v="1"/>
    <m/>
    <m/>
    <x v="0"/>
    <x v="0"/>
    <m/>
    <x v="0"/>
    <x v="0"/>
    <x v="2100"/>
    <x v="75"/>
    <x v="0"/>
    <x v="0"/>
    <x v="666"/>
    <x v="6340"/>
  </r>
  <r>
    <x v="2"/>
    <n v="1744"/>
    <x v="2078"/>
    <x v="5"/>
    <s v="CM"/>
    <s v="N"/>
    <x v="459"/>
    <x v="41"/>
    <x v="831"/>
    <m/>
    <x v="348"/>
    <m/>
    <x v="3"/>
    <x v="0"/>
    <x v="511"/>
    <m/>
    <x v="2"/>
    <x v="1"/>
    <s v="Videoclip"/>
    <m/>
    <x v="0"/>
    <x v="0"/>
    <m/>
    <x v="0"/>
    <x v="15"/>
    <x v="2101"/>
    <x v="28"/>
    <x v="0"/>
    <x v="1"/>
    <x v="511"/>
    <x v="6341"/>
  </r>
  <r>
    <x v="2"/>
    <n v="1666"/>
    <x v="2079"/>
    <x v="2"/>
    <s v="CM"/>
    <s v="N"/>
    <x v="1329"/>
    <x v="52"/>
    <x v="891"/>
    <m/>
    <x v="24"/>
    <m/>
    <x v="3"/>
    <x v="0"/>
    <x v="595"/>
    <m/>
    <x v="1"/>
    <x v="0"/>
    <m/>
    <s v="Curta Convidada, Cultura Visual, Animação Digital, Universidade Lusófona"/>
    <x v="0"/>
    <x v="1"/>
    <m/>
    <x v="0"/>
    <x v="4"/>
    <x v="2102"/>
    <x v="3"/>
    <x v="0"/>
    <x v="1"/>
    <x v="595"/>
    <x v="6342"/>
  </r>
  <r>
    <x v="2"/>
    <n v="1956"/>
    <x v="2079"/>
    <x v="0"/>
    <s v="CM"/>
    <s v="N"/>
    <x v="234"/>
    <x v="2"/>
    <x v="316"/>
    <m/>
    <x v="11"/>
    <m/>
    <x v="3"/>
    <x v="0"/>
    <x v="500"/>
    <d v="2013-08-31T00:00:00"/>
    <x v="16"/>
    <x v="1"/>
    <s v="Ficção"/>
    <m/>
    <x v="0"/>
    <x v="0"/>
    <m/>
    <x v="0"/>
    <x v="0"/>
    <x v="2103"/>
    <x v="3"/>
    <x v="0"/>
    <x v="1"/>
    <x v="500"/>
    <x v="6343"/>
  </r>
  <r>
    <x v="2"/>
    <n v="1160"/>
    <x v="1545"/>
    <x v="0"/>
    <s v="CM"/>
    <s v="N"/>
    <x v="1011"/>
    <x v="41"/>
    <x v="1045"/>
    <m/>
    <x v="15"/>
    <m/>
    <x v="3"/>
    <x v="0"/>
    <x v="566"/>
    <m/>
    <x v="16"/>
    <x v="1"/>
    <m/>
    <m/>
    <x v="592"/>
    <x v="1"/>
    <m/>
    <x v="1"/>
    <x v="0"/>
    <x v="1555"/>
    <x v="3"/>
    <x v="725"/>
    <x v="1"/>
    <x v="566"/>
    <x v="6344"/>
  </r>
  <r>
    <x v="2"/>
    <n v="1160"/>
    <x v="1545"/>
    <x v="0"/>
    <s v="CM"/>
    <s v="N"/>
    <x v="1011"/>
    <x v="41"/>
    <x v="316"/>
    <m/>
    <x v="11"/>
    <m/>
    <x v="3"/>
    <x v="0"/>
    <x v="500"/>
    <d v="2013-08-31T00:00:00"/>
    <x v="16"/>
    <x v="1"/>
    <s v="Ficção"/>
    <m/>
    <x v="0"/>
    <x v="0"/>
    <m/>
    <x v="0"/>
    <x v="0"/>
    <x v="1555"/>
    <x v="3"/>
    <x v="0"/>
    <x v="1"/>
    <x v="500"/>
    <x v="6345"/>
  </r>
  <r>
    <x v="2"/>
    <n v="1162"/>
    <x v="797"/>
    <x v="0"/>
    <s v="LM"/>
    <s v="N"/>
    <x v="14"/>
    <x v="18"/>
    <x v="826"/>
    <m/>
    <x v="24"/>
    <m/>
    <x v="3"/>
    <x v="0"/>
    <x v="505"/>
    <d v="2013-09-29T00:00:00"/>
    <x v="9"/>
    <x v="1"/>
    <m/>
    <m/>
    <x v="0"/>
    <x v="0"/>
    <m/>
    <x v="0"/>
    <x v="5"/>
    <x v="800"/>
    <x v="3"/>
    <x v="0"/>
    <x v="1"/>
    <x v="505"/>
    <x v="6346"/>
  </r>
  <r>
    <x v="2"/>
    <n v="1750"/>
    <x v="2080"/>
    <x v="5"/>
    <s v="CM"/>
    <s v="N"/>
    <x v="1330"/>
    <x v="3"/>
    <x v="831"/>
    <m/>
    <x v="348"/>
    <m/>
    <x v="3"/>
    <x v="0"/>
    <x v="511"/>
    <m/>
    <x v="2"/>
    <x v="1"/>
    <s v="Videoclip"/>
    <m/>
    <x v="0"/>
    <x v="0"/>
    <m/>
    <x v="0"/>
    <x v="15"/>
    <x v="2104"/>
    <x v="3"/>
    <x v="0"/>
    <x v="1"/>
    <x v="511"/>
    <x v="6347"/>
  </r>
  <r>
    <x v="2"/>
    <n v="1358"/>
    <x v="1548"/>
    <x v="2"/>
    <s v="CM"/>
    <s v="N"/>
    <x v="1014"/>
    <x v="27"/>
    <x v="900"/>
    <m/>
    <x v="15"/>
    <m/>
    <x v="3"/>
    <x v="0"/>
    <x v="601"/>
    <m/>
    <x v="8"/>
    <x v="0"/>
    <m/>
    <s v="Curta Convidada"/>
    <x v="0"/>
    <x v="1"/>
    <m/>
    <x v="0"/>
    <x v="4"/>
    <x v="1558"/>
    <x v="3"/>
    <x v="0"/>
    <x v="1"/>
    <x v="601"/>
    <x v="6348"/>
  </r>
  <r>
    <x v="2"/>
    <n v="2180"/>
    <x v="2081"/>
    <x v="3"/>
    <s v="CM"/>
    <s v="N"/>
    <x v="313"/>
    <x v="52"/>
    <x v="25"/>
    <m/>
    <x v="24"/>
    <m/>
    <x v="3"/>
    <x v="0"/>
    <x v="553"/>
    <d v="2013-11-03T00:00:00"/>
    <x v="0"/>
    <x v="1"/>
    <s v="Competição Portuguesa - Curtas"/>
    <m/>
    <x v="0"/>
    <x v="0"/>
    <m/>
    <x v="0"/>
    <x v="6"/>
    <x v="2105"/>
    <x v="3"/>
    <x v="0"/>
    <x v="1"/>
    <x v="553"/>
    <x v="6349"/>
  </r>
  <r>
    <x v="2"/>
    <n v="1604"/>
    <x v="1550"/>
    <x v="0"/>
    <s v="CM"/>
    <s v="N"/>
    <x v="1016"/>
    <x v="41"/>
    <x v="62"/>
    <m/>
    <x v="23"/>
    <m/>
    <x v="3"/>
    <x v="0"/>
    <x v="503"/>
    <d v="2013-03-10T00:00:00"/>
    <x v="19"/>
    <x v="1"/>
    <s v="Prémio de Cinema Português - Escolas de Cinema"/>
    <m/>
    <x v="0"/>
    <x v="0"/>
    <s v="EPI/ETIC"/>
    <x v="0"/>
    <x v="0"/>
    <x v="1560"/>
    <x v="3"/>
    <x v="0"/>
    <x v="1"/>
    <x v="503"/>
    <x v="6350"/>
  </r>
  <r>
    <x v="2"/>
    <n v="1858"/>
    <x v="2082"/>
    <x v="0"/>
    <s v="CM"/>
    <s v="N"/>
    <x v="146"/>
    <x v="1"/>
    <x v="854"/>
    <m/>
    <x v="24"/>
    <m/>
    <x v="3"/>
    <x v="0"/>
    <x v="550"/>
    <d v="2013-03-27T00:00:00"/>
    <x v="2"/>
    <x v="0"/>
    <m/>
    <m/>
    <x v="0"/>
    <x v="1"/>
    <m/>
    <x v="0"/>
    <x v="0"/>
    <x v="2106"/>
    <x v="3"/>
    <x v="0"/>
    <x v="1"/>
    <x v="550"/>
    <x v="6351"/>
  </r>
  <r>
    <x v="2"/>
    <n v="1891"/>
    <x v="2083"/>
    <x v="0"/>
    <s v="CM"/>
    <s v="N"/>
    <x v="486"/>
    <x v="52"/>
    <x v="68"/>
    <m/>
    <x v="53"/>
    <m/>
    <x v="3"/>
    <x v="0"/>
    <x v="573"/>
    <d v="2013-07-14T00:00:00"/>
    <x v="8"/>
    <x v="1"/>
    <s v="Competição Nacional"/>
    <m/>
    <x v="0"/>
    <x v="0"/>
    <m/>
    <x v="0"/>
    <x v="0"/>
    <x v="2107"/>
    <x v="3"/>
    <x v="0"/>
    <x v="1"/>
    <x v="573"/>
    <x v="6352"/>
  </r>
  <r>
    <x v="2"/>
    <n v="1891"/>
    <x v="2083"/>
    <x v="0"/>
    <s v="CM"/>
    <s v="N"/>
    <x v="486"/>
    <x v="52"/>
    <x v="39"/>
    <m/>
    <x v="23"/>
    <m/>
    <x v="3"/>
    <x v="0"/>
    <x v="629"/>
    <m/>
    <x v="8"/>
    <x v="0"/>
    <m/>
    <m/>
    <x v="0"/>
    <x v="1"/>
    <s v="Cineclube do Porto"/>
    <x v="0"/>
    <x v="0"/>
    <x v="2107"/>
    <x v="3"/>
    <x v="0"/>
    <x v="1"/>
    <x v="629"/>
    <x v="6353"/>
  </r>
  <r>
    <x v="2"/>
    <n v="1891"/>
    <x v="2083"/>
    <x v="0"/>
    <s v="CM"/>
    <s v="N"/>
    <x v="486"/>
    <x v="52"/>
    <x v="859"/>
    <m/>
    <x v="420"/>
    <m/>
    <x v="0"/>
    <x v="0"/>
    <x v="559"/>
    <d v="2013-09-29T00:00:00"/>
    <x v="9"/>
    <x v="0"/>
    <m/>
    <s v="Mostra Juventude - Juv V"/>
    <x v="0"/>
    <x v="0"/>
    <m/>
    <x v="0"/>
    <x v="0"/>
    <x v="2107"/>
    <x v="0"/>
    <x v="0"/>
    <x v="0"/>
    <x v="559"/>
    <x v="6354"/>
  </r>
  <r>
    <x v="2"/>
    <n v="1891"/>
    <x v="2083"/>
    <x v="0"/>
    <s v="CM"/>
    <s v="N"/>
    <x v="486"/>
    <x v="52"/>
    <x v="870"/>
    <m/>
    <x v="59"/>
    <m/>
    <x v="3"/>
    <x v="0"/>
    <x v="568"/>
    <d v="2013-10-13T00:00:00"/>
    <x v="14"/>
    <x v="1"/>
    <s v="Competição Nacional"/>
    <m/>
    <x v="0"/>
    <x v="0"/>
    <m/>
    <x v="0"/>
    <x v="0"/>
    <x v="2107"/>
    <x v="3"/>
    <x v="0"/>
    <x v="1"/>
    <x v="568"/>
    <x v="6355"/>
  </r>
  <r>
    <x v="2"/>
    <n v="1891"/>
    <x v="2083"/>
    <x v="0"/>
    <s v="CM"/>
    <s v="N"/>
    <x v="486"/>
    <x v="52"/>
    <x v="876"/>
    <m/>
    <x v="23"/>
    <m/>
    <x v="3"/>
    <x v="0"/>
    <x v="576"/>
    <m/>
    <x v="12"/>
    <x v="1"/>
    <m/>
    <m/>
    <x v="0"/>
    <x v="1"/>
    <m/>
    <x v="0"/>
    <x v="0"/>
    <x v="2107"/>
    <x v="3"/>
    <x v="0"/>
    <x v="1"/>
    <x v="576"/>
    <x v="6356"/>
  </r>
  <r>
    <x v="2"/>
    <n v="1620"/>
    <x v="2084"/>
    <x v="1"/>
    <s v="LM"/>
    <s v="N"/>
    <x v="259"/>
    <x v="41"/>
    <x v="90"/>
    <m/>
    <x v="69"/>
    <m/>
    <x v="8"/>
    <x v="0"/>
    <x v="602"/>
    <d v="2013-02-03T00:00:00"/>
    <x v="18"/>
    <x v="0"/>
    <m/>
    <s v="Spectrum"/>
    <x v="0"/>
    <x v="0"/>
    <m/>
    <x v="0"/>
    <x v="1"/>
    <x v="2108"/>
    <x v="8"/>
    <x v="0"/>
    <x v="0"/>
    <x v="602"/>
    <x v="6357"/>
  </r>
  <r>
    <x v="2"/>
    <n v="1620"/>
    <x v="2084"/>
    <x v="1"/>
    <s v="LM"/>
    <s v="N"/>
    <x v="259"/>
    <x v="41"/>
    <x v="146"/>
    <m/>
    <x v="24"/>
    <m/>
    <x v="3"/>
    <x v="0"/>
    <x v="537"/>
    <d v="2013-04-28T00:00:00"/>
    <x v="5"/>
    <x v="0"/>
    <m/>
    <s v="Sessões Especiais - Documentário"/>
    <x v="593"/>
    <x v="0"/>
    <m/>
    <x v="1"/>
    <x v="1"/>
    <x v="2108"/>
    <x v="3"/>
    <x v="726"/>
    <x v="1"/>
    <x v="537"/>
    <x v="6358"/>
  </r>
  <r>
    <x v="2"/>
    <n v="1620"/>
    <x v="2084"/>
    <x v="1"/>
    <s v="LM"/>
    <s v="N"/>
    <x v="259"/>
    <x v="41"/>
    <x v="146"/>
    <m/>
    <x v="24"/>
    <m/>
    <x v="3"/>
    <x v="0"/>
    <x v="537"/>
    <d v="2013-04-28T00:00:00"/>
    <x v="5"/>
    <x v="0"/>
    <m/>
    <s v="Sessões Especiais - Documentário"/>
    <x v="0"/>
    <x v="0"/>
    <m/>
    <x v="0"/>
    <x v="1"/>
    <x v="2108"/>
    <x v="3"/>
    <x v="0"/>
    <x v="1"/>
    <x v="537"/>
    <x v="6359"/>
  </r>
  <r>
    <x v="2"/>
    <n v="1620"/>
    <x v="2084"/>
    <x v="1"/>
    <s v="LM"/>
    <s v="N"/>
    <x v="259"/>
    <x v="41"/>
    <x v="848"/>
    <m/>
    <x v="165"/>
    <m/>
    <x v="4"/>
    <x v="0"/>
    <x v="540"/>
    <d v="2013-09-01T00:00:00"/>
    <x v="20"/>
    <x v="0"/>
    <m/>
    <m/>
    <x v="0"/>
    <x v="1"/>
    <m/>
    <x v="0"/>
    <x v="1"/>
    <x v="2108"/>
    <x v="4"/>
    <x v="0"/>
    <x v="0"/>
    <x v="540"/>
    <x v="6360"/>
  </r>
  <r>
    <x v="2"/>
    <n v="1620"/>
    <x v="2084"/>
    <x v="1"/>
    <s v="LM"/>
    <s v="N"/>
    <x v="259"/>
    <x v="41"/>
    <x v="492"/>
    <m/>
    <x v="128"/>
    <m/>
    <x v="1"/>
    <x v="0"/>
    <x v="519"/>
    <d v="2013-11-16T00:00:00"/>
    <x v="13"/>
    <x v="0"/>
    <m/>
    <s v="Focus Europa: Portugal"/>
    <x v="0"/>
    <x v="0"/>
    <m/>
    <x v="0"/>
    <x v="1"/>
    <x v="2108"/>
    <x v="1"/>
    <x v="0"/>
    <x v="0"/>
    <x v="519"/>
    <x v="6361"/>
  </r>
  <r>
    <x v="2"/>
    <n v="1620"/>
    <x v="2084"/>
    <x v="1"/>
    <s v="LM"/>
    <s v="N"/>
    <x v="259"/>
    <x v="41"/>
    <x v="890"/>
    <m/>
    <x v="319"/>
    <m/>
    <x v="1"/>
    <x v="0"/>
    <x v="594"/>
    <d v="2013-12-13T00:00:00"/>
    <x v="11"/>
    <x v="0"/>
    <m/>
    <m/>
    <x v="0"/>
    <x v="1"/>
    <s v="No CGAI"/>
    <x v="0"/>
    <x v="1"/>
    <x v="2108"/>
    <x v="1"/>
    <x v="0"/>
    <x v="0"/>
    <x v="594"/>
    <x v="6362"/>
  </r>
  <r>
    <x v="2"/>
    <n v="1179"/>
    <x v="1555"/>
    <x v="0"/>
    <s v="LM"/>
    <s v="S"/>
    <x v="29"/>
    <x v="37"/>
    <x v="924"/>
    <m/>
    <x v="24"/>
    <m/>
    <x v="3"/>
    <x v="0"/>
    <x v="529"/>
    <d v="2013-06-24T00:00:00"/>
    <x v="35"/>
    <x v="0"/>
    <m/>
    <m/>
    <x v="0"/>
    <x v="1"/>
    <s v="Casa da Achada (Centro Mário Dionísio)"/>
    <x v="0"/>
    <x v="5"/>
    <x v="1565"/>
    <x v="3"/>
    <x v="0"/>
    <x v="1"/>
    <x v="529"/>
    <x v="6363"/>
  </r>
  <r>
    <x v="2"/>
    <n v="1179"/>
    <x v="1555"/>
    <x v="0"/>
    <s v="LM"/>
    <s v="S"/>
    <x v="29"/>
    <x v="37"/>
    <x v="976"/>
    <m/>
    <x v="442"/>
    <m/>
    <x v="3"/>
    <x v="0"/>
    <x v="667"/>
    <d v="2013-09-21T00:00:00"/>
    <x v="9"/>
    <x v="0"/>
    <m/>
    <s v="Filme de Encerramento"/>
    <x v="0"/>
    <x v="0"/>
    <m/>
    <x v="0"/>
    <x v="5"/>
    <x v="1565"/>
    <x v="3"/>
    <x v="0"/>
    <x v="1"/>
    <x v="667"/>
    <x v="6364"/>
  </r>
  <r>
    <x v="2"/>
    <n v="1180"/>
    <x v="811"/>
    <x v="0"/>
    <s v="LM"/>
    <s v="S"/>
    <x v="40"/>
    <x v="15"/>
    <x v="158"/>
    <m/>
    <x v="121"/>
    <m/>
    <x v="3"/>
    <x v="0"/>
    <x v="568"/>
    <d v="2013-10-13T00:00:00"/>
    <x v="14"/>
    <x v="0"/>
    <m/>
    <s v="Focus: Teresa Villaverde"/>
    <x v="0"/>
    <x v="0"/>
    <m/>
    <x v="0"/>
    <x v="5"/>
    <x v="814"/>
    <x v="3"/>
    <x v="0"/>
    <x v="1"/>
    <x v="568"/>
    <x v="6365"/>
  </r>
  <r>
    <x v="2"/>
    <n v="1680"/>
    <x v="2085"/>
    <x v="0"/>
    <s v="CM"/>
    <s v="N"/>
    <x v="1331"/>
    <x v="2"/>
    <x v="62"/>
    <m/>
    <x v="23"/>
    <m/>
    <x v="3"/>
    <x v="0"/>
    <x v="503"/>
    <d v="2013-03-10T00:00:00"/>
    <x v="19"/>
    <x v="1"/>
    <s v="Prémio de Cinema Português - Melhor Filme"/>
    <m/>
    <x v="0"/>
    <x v="0"/>
    <m/>
    <x v="0"/>
    <x v="0"/>
    <x v="2109"/>
    <x v="3"/>
    <x v="0"/>
    <x v="1"/>
    <x v="503"/>
    <x v="6366"/>
  </r>
  <r>
    <x v="2"/>
    <n v="1812"/>
    <x v="2086"/>
    <x v="3"/>
    <s v="CM"/>
    <s v="N"/>
    <x v="1332"/>
    <x v="3"/>
    <x v="233"/>
    <m/>
    <x v="163"/>
    <m/>
    <x v="5"/>
    <x v="0"/>
    <x v="720"/>
    <d v="2013-06-10T00:00:00"/>
    <x v="7"/>
    <x v="0"/>
    <m/>
    <s v="Labor - Klang der Randgebiete"/>
    <x v="0"/>
    <x v="0"/>
    <m/>
    <x v="0"/>
    <x v="6"/>
    <x v="2110"/>
    <x v="5"/>
    <x v="0"/>
    <x v="0"/>
    <x v="720"/>
    <x v="6367"/>
  </r>
  <r>
    <x v="2"/>
    <n v="2069"/>
    <x v="2087"/>
    <x v="1"/>
    <s v="CM"/>
    <s v="N"/>
    <x v="1333"/>
    <x v="52"/>
    <x v="88"/>
    <m/>
    <x v="67"/>
    <m/>
    <x v="3"/>
    <x v="0"/>
    <x v="528"/>
    <d v="2013-10-26T00:00:00"/>
    <x v="14"/>
    <x v="1"/>
    <s v="Lusofonia: Panorama Regional"/>
    <m/>
    <x v="594"/>
    <x v="0"/>
    <m/>
    <x v="1"/>
    <x v="2"/>
    <x v="2111"/>
    <x v="3"/>
    <x v="727"/>
    <x v="1"/>
    <x v="528"/>
    <x v="6368"/>
  </r>
  <r>
    <x v="2"/>
    <n v="1182"/>
    <x v="813"/>
    <x v="1"/>
    <s v="LM"/>
    <s v="N"/>
    <x v="111"/>
    <x v="22"/>
    <x v="914"/>
    <m/>
    <x v="231"/>
    <m/>
    <x v="58"/>
    <x v="0"/>
    <x v="610"/>
    <d v="2013-04-21T00:00:00"/>
    <x v="5"/>
    <x v="0"/>
    <m/>
    <s v="Once was Fire"/>
    <x v="0"/>
    <x v="0"/>
    <m/>
    <x v="0"/>
    <x v="1"/>
    <x v="816"/>
    <x v="58"/>
    <x v="0"/>
    <x v="0"/>
    <x v="610"/>
    <x v="6369"/>
  </r>
  <r>
    <x v="2"/>
    <n v="1182"/>
    <x v="813"/>
    <x v="1"/>
    <s v="LM"/>
    <s v="N"/>
    <x v="111"/>
    <x v="22"/>
    <x v="1025"/>
    <m/>
    <x v="24"/>
    <m/>
    <x v="3"/>
    <x v="0"/>
    <x v="637"/>
    <d v="2013-11-24T00:00:00"/>
    <x v="13"/>
    <x v="0"/>
    <m/>
    <s v="I - Entropia e Utopia"/>
    <x v="0"/>
    <x v="1"/>
    <s v="Cineastas Portugueses: António Reis e Margarida Cordeiro Cineastas Convidados: Béla Tarr e Ben Rivers "/>
    <x v="0"/>
    <x v="1"/>
    <x v="816"/>
    <x v="3"/>
    <x v="0"/>
    <x v="1"/>
    <x v="637"/>
    <x v="6370"/>
  </r>
  <r>
    <x v="2"/>
    <n v="2030"/>
    <x v="2088"/>
    <x v="1"/>
    <s v="CM"/>
    <s v="N"/>
    <x v="1334"/>
    <x v="5"/>
    <x v="826"/>
    <m/>
    <x v="24"/>
    <m/>
    <x v="3"/>
    <x v="0"/>
    <x v="505"/>
    <d v="2013-09-29T00:00:00"/>
    <x v="9"/>
    <x v="1"/>
    <m/>
    <m/>
    <x v="0"/>
    <x v="0"/>
    <m/>
    <x v="0"/>
    <x v="2"/>
    <x v="2112"/>
    <x v="3"/>
    <x v="0"/>
    <x v="1"/>
    <x v="505"/>
    <x v="6371"/>
  </r>
  <r>
    <x v="2"/>
    <n v="1183"/>
    <x v="814"/>
    <x v="0"/>
    <s v="LM"/>
    <s v="S"/>
    <x v="40"/>
    <x v="39"/>
    <x v="158"/>
    <m/>
    <x v="121"/>
    <m/>
    <x v="3"/>
    <x v="0"/>
    <x v="568"/>
    <d v="2013-10-13T00:00:00"/>
    <x v="14"/>
    <x v="0"/>
    <m/>
    <s v="Focus: Teresa Villaverde"/>
    <x v="0"/>
    <x v="0"/>
    <m/>
    <x v="0"/>
    <x v="5"/>
    <x v="817"/>
    <x v="3"/>
    <x v="0"/>
    <x v="1"/>
    <x v="568"/>
    <x v="6372"/>
  </r>
  <r>
    <x v="2"/>
    <n v="2022"/>
    <x v="2089"/>
    <x v="3"/>
    <s v="CM"/>
    <s v="N"/>
    <x v="1316"/>
    <x v="52"/>
    <x v="826"/>
    <m/>
    <x v="24"/>
    <m/>
    <x v="3"/>
    <x v="0"/>
    <x v="505"/>
    <d v="2013-09-29T00:00:00"/>
    <x v="9"/>
    <x v="1"/>
    <m/>
    <m/>
    <x v="0"/>
    <x v="0"/>
    <m/>
    <x v="0"/>
    <x v="6"/>
    <x v="2113"/>
    <x v="3"/>
    <x v="0"/>
    <x v="1"/>
    <x v="505"/>
    <x v="6373"/>
  </r>
  <r>
    <x v="2"/>
    <n v="1768"/>
    <x v="2090"/>
    <x v="3"/>
    <s v="CM"/>
    <s v="N"/>
    <x v="1335"/>
    <x v="41"/>
    <x v="487"/>
    <m/>
    <x v="295"/>
    <m/>
    <x v="10"/>
    <x v="0"/>
    <x v="641"/>
    <d v="2013-04-07T00:00:00"/>
    <x v="5"/>
    <x v="1"/>
    <s v="Graduation Competition: Graduation Films C"/>
    <m/>
    <x v="0"/>
    <x v="0"/>
    <m/>
    <x v="0"/>
    <x v="6"/>
    <x v="2114"/>
    <x v="10"/>
    <x v="0"/>
    <x v="0"/>
    <x v="641"/>
    <x v="6374"/>
  </r>
  <r>
    <x v="2"/>
    <n v="1768"/>
    <x v="2090"/>
    <x v="3"/>
    <s v="CM"/>
    <s v="N"/>
    <x v="1335"/>
    <x v="41"/>
    <x v="27"/>
    <m/>
    <x v="25"/>
    <m/>
    <x v="3"/>
    <x v="0"/>
    <x v="611"/>
    <d v="2013-11-17T00:00:00"/>
    <x v="13"/>
    <x v="1"/>
    <s v="Competição Nacional: Prémio Jovem Cineasta Porrtuguês (+18 anos)"/>
    <m/>
    <x v="50"/>
    <x v="0"/>
    <m/>
    <x v="1"/>
    <x v="6"/>
    <x v="2114"/>
    <x v="3"/>
    <x v="728"/>
    <x v="1"/>
    <x v="611"/>
    <x v="6375"/>
  </r>
  <r>
    <x v="2"/>
    <n v="1977"/>
    <x v="2091"/>
    <x v="0"/>
    <s v="CM"/>
    <s v="N"/>
    <x v="1336"/>
    <x v="52"/>
    <x v="827"/>
    <m/>
    <x v="24"/>
    <m/>
    <x v="3"/>
    <x v="0"/>
    <x v="555"/>
    <m/>
    <x v="16"/>
    <x v="1"/>
    <m/>
    <m/>
    <x v="0"/>
    <x v="0"/>
    <m/>
    <x v="0"/>
    <x v="0"/>
    <x v="2115"/>
    <x v="3"/>
    <x v="0"/>
    <x v="1"/>
    <x v="555"/>
    <x v="6376"/>
  </r>
  <r>
    <x v="2"/>
    <n v="1977"/>
    <x v="2091"/>
    <x v="0"/>
    <s v="CM"/>
    <s v="N"/>
    <x v="1336"/>
    <x v="52"/>
    <x v="1033"/>
    <m/>
    <x v="15"/>
    <m/>
    <x v="3"/>
    <x v="0"/>
    <x v="699"/>
    <m/>
    <x v="13"/>
    <x v="1"/>
    <m/>
    <m/>
    <x v="0"/>
    <x v="1"/>
    <m/>
    <x v="0"/>
    <x v="0"/>
    <x v="2115"/>
    <x v="3"/>
    <x v="0"/>
    <x v="1"/>
    <x v="699"/>
    <x v="6377"/>
  </r>
  <r>
    <x v="2"/>
    <n v="2076"/>
    <x v="2092"/>
    <x v="1"/>
    <s v="LM"/>
    <s v="N"/>
    <x v="103"/>
    <x v="52"/>
    <x v="1086"/>
    <m/>
    <x v="17"/>
    <m/>
    <x v="2"/>
    <x v="0"/>
    <x v="729"/>
    <m/>
    <x v="6"/>
    <x v="0"/>
    <m/>
    <m/>
    <x v="0"/>
    <x v="1"/>
    <s v="No âmbito da exposição &quot;Année 1, le paradis sur terre&quot;, de Pistoletto"/>
    <x v="0"/>
    <x v="1"/>
    <x v="2116"/>
    <x v="2"/>
    <x v="0"/>
    <x v="0"/>
    <x v="729"/>
    <x v="6378"/>
  </r>
  <r>
    <x v="2"/>
    <n v="2076"/>
    <x v="2092"/>
    <x v="1"/>
    <s v="LM"/>
    <s v="N"/>
    <x v="103"/>
    <x v="52"/>
    <x v="1087"/>
    <m/>
    <x v="13"/>
    <m/>
    <x v="3"/>
    <x v="0"/>
    <x v="645"/>
    <m/>
    <x v="16"/>
    <x v="0"/>
    <m/>
    <m/>
    <x v="0"/>
    <x v="1"/>
    <m/>
    <x v="0"/>
    <x v="1"/>
    <x v="2116"/>
    <x v="3"/>
    <x v="0"/>
    <x v="1"/>
    <x v="645"/>
    <x v="6379"/>
  </r>
  <r>
    <x v="2"/>
    <n v="2076"/>
    <x v="2092"/>
    <x v="1"/>
    <s v="LM"/>
    <s v="N"/>
    <x v="103"/>
    <x v="52"/>
    <x v="25"/>
    <m/>
    <x v="24"/>
    <m/>
    <x v="3"/>
    <x v="0"/>
    <x v="553"/>
    <d v="2013-11-03T00:00:00"/>
    <x v="0"/>
    <x v="1"/>
    <s v="Competição Portuguesa - Longas"/>
    <m/>
    <x v="595"/>
    <x v="0"/>
    <m/>
    <x v="1"/>
    <x v="1"/>
    <x v="2116"/>
    <x v="3"/>
    <x v="729"/>
    <x v="1"/>
    <x v="553"/>
    <x v="6380"/>
  </r>
  <r>
    <x v="2"/>
    <n v="2076"/>
    <x v="2092"/>
    <x v="1"/>
    <s v="LM"/>
    <s v="N"/>
    <x v="103"/>
    <x v="52"/>
    <x v="471"/>
    <m/>
    <x v="75"/>
    <m/>
    <x v="15"/>
    <x v="0"/>
    <x v="519"/>
    <d v="2013-11-17T00:00:00"/>
    <x v="13"/>
    <x v="0"/>
    <m/>
    <s v="Cinema XXI - Fuori Concorso, in collaborazione com MAXXI"/>
    <x v="0"/>
    <x v="0"/>
    <m/>
    <x v="0"/>
    <x v="1"/>
    <x v="2116"/>
    <x v="15"/>
    <x v="0"/>
    <x v="0"/>
    <x v="519"/>
    <x v="6381"/>
  </r>
  <r>
    <x v="2"/>
    <n v="1822"/>
    <x v="2093"/>
    <x v="1"/>
    <s v="CM"/>
    <s v="N"/>
    <x v="1337"/>
    <x v="52"/>
    <x v="1041"/>
    <m/>
    <x v="23"/>
    <m/>
    <x v="3"/>
    <x v="0"/>
    <x v="664"/>
    <m/>
    <x v="7"/>
    <x v="0"/>
    <m/>
    <m/>
    <x v="0"/>
    <x v="1"/>
    <m/>
    <x v="0"/>
    <x v="2"/>
    <x v="2117"/>
    <x v="3"/>
    <x v="0"/>
    <x v="1"/>
    <x v="664"/>
    <x v="6382"/>
  </r>
  <r>
    <x v="2"/>
    <n v="1190"/>
    <x v="818"/>
    <x v="0"/>
    <s v="LM"/>
    <s v="S"/>
    <x v="29"/>
    <x v="2"/>
    <x v="1048"/>
    <m/>
    <x v="22"/>
    <m/>
    <x v="3"/>
    <x v="0"/>
    <x v="567"/>
    <m/>
    <x v="6"/>
    <x v="0"/>
    <m/>
    <m/>
    <x v="0"/>
    <x v="1"/>
    <s v="Centro de Documentação 25 de Abril e TAGV"/>
    <x v="0"/>
    <x v="5"/>
    <x v="821"/>
    <x v="3"/>
    <x v="0"/>
    <x v="1"/>
    <x v="567"/>
    <x v="6383"/>
  </r>
  <r>
    <x v="2"/>
    <n v="2123"/>
    <x v="2094"/>
    <x v="0"/>
    <s v="CM"/>
    <s v="N"/>
    <x v="1165"/>
    <x v="2"/>
    <x v="907"/>
    <m/>
    <x v="24"/>
    <m/>
    <x v="3"/>
    <x v="0"/>
    <x v="606"/>
    <d v="2013-12-15T00:00:00"/>
    <x v="12"/>
    <x v="1"/>
    <s v="Categoria Fundação INATEL"/>
    <m/>
    <x v="7"/>
    <x v="2"/>
    <m/>
    <x v="1"/>
    <x v="0"/>
    <x v="2118"/>
    <x v="3"/>
    <x v="645"/>
    <x v="1"/>
    <x v="606"/>
    <x v="6384"/>
  </r>
  <r>
    <x v="2"/>
    <n v="2123"/>
    <x v="2094"/>
    <x v="0"/>
    <s v="CM"/>
    <s v="N"/>
    <x v="1165"/>
    <x v="2"/>
    <x v="969"/>
    <m/>
    <x v="40"/>
    <m/>
    <x v="3"/>
    <x v="0"/>
    <x v="659"/>
    <m/>
    <x v="12"/>
    <x v="0"/>
    <m/>
    <m/>
    <x v="0"/>
    <x v="1"/>
    <m/>
    <x v="0"/>
    <x v="0"/>
    <x v="2118"/>
    <x v="3"/>
    <x v="0"/>
    <x v="1"/>
    <x v="659"/>
    <x v="6385"/>
  </r>
  <r>
    <x v="2"/>
    <n v="1911"/>
    <x v="2095"/>
    <x v="0"/>
    <s v="CM"/>
    <s v="N"/>
    <x v="1338"/>
    <x v="52"/>
    <x v="68"/>
    <m/>
    <x v="53"/>
    <m/>
    <x v="3"/>
    <x v="0"/>
    <x v="573"/>
    <d v="2013-07-14T00:00:00"/>
    <x v="8"/>
    <x v="1"/>
    <s v="Competição Take One!"/>
    <m/>
    <x v="0"/>
    <x v="0"/>
    <m/>
    <x v="0"/>
    <x v="0"/>
    <x v="2119"/>
    <x v="3"/>
    <x v="0"/>
    <x v="1"/>
    <x v="573"/>
    <x v="6386"/>
  </r>
  <r>
    <x v="2"/>
    <n v="1195"/>
    <x v="824"/>
    <x v="0"/>
    <s v="CM"/>
    <s v="N"/>
    <x v="132"/>
    <x v="2"/>
    <x v="960"/>
    <m/>
    <x v="15"/>
    <m/>
    <x v="3"/>
    <x v="0"/>
    <x v="534"/>
    <m/>
    <x v="16"/>
    <x v="0"/>
    <m/>
    <m/>
    <x v="0"/>
    <x v="1"/>
    <s v="Sessão Especial integrada nos PALCOS LIVRES"/>
    <x v="0"/>
    <x v="0"/>
    <x v="827"/>
    <x v="3"/>
    <x v="0"/>
    <x v="1"/>
    <x v="534"/>
    <x v="6387"/>
  </r>
  <r>
    <x v="2"/>
    <n v="1396"/>
    <x v="1568"/>
    <x v="1"/>
    <s v="CM"/>
    <s v="N"/>
    <x v="1029"/>
    <x v="41"/>
    <x v="911"/>
    <m/>
    <x v="46"/>
    <m/>
    <x v="3"/>
    <x v="0"/>
    <x v="408"/>
    <d v="2013-01-28T00:00:00"/>
    <x v="33"/>
    <x v="0"/>
    <m/>
    <m/>
    <x v="0"/>
    <x v="1"/>
    <m/>
    <x v="0"/>
    <x v="2"/>
    <x v="1580"/>
    <x v="3"/>
    <x v="0"/>
    <x v="1"/>
    <x v="408"/>
    <x v="6388"/>
  </r>
  <r>
    <x v="2"/>
    <n v="1396"/>
    <x v="1568"/>
    <x v="1"/>
    <s v="CM"/>
    <s v="N"/>
    <x v="1029"/>
    <x v="41"/>
    <x v="618"/>
    <m/>
    <x v="23"/>
    <m/>
    <x v="3"/>
    <x v="0"/>
    <x v="599"/>
    <m/>
    <x v="15"/>
    <x v="0"/>
    <m/>
    <m/>
    <x v="0"/>
    <x v="1"/>
    <m/>
    <x v="0"/>
    <x v="2"/>
    <x v="1580"/>
    <x v="3"/>
    <x v="0"/>
    <x v="1"/>
    <x v="599"/>
    <x v="6389"/>
  </r>
  <r>
    <x v="2"/>
    <n v="1396"/>
    <x v="1568"/>
    <x v="1"/>
    <s v="CM"/>
    <s v="N"/>
    <x v="1029"/>
    <x v="41"/>
    <x v="476"/>
    <m/>
    <x v="53"/>
    <m/>
    <x v="3"/>
    <x v="0"/>
    <x v="713"/>
    <m/>
    <x v="1"/>
    <x v="0"/>
    <m/>
    <m/>
    <x v="0"/>
    <x v="1"/>
    <m/>
    <x v="0"/>
    <x v="2"/>
    <x v="1580"/>
    <x v="3"/>
    <x v="0"/>
    <x v="1"/>
    <x v="713"/>
    <x v="6390"/>
  </r>
  <r>
    <x v="2"/>
    <n v="1610"/>
    <x v="2096"/>
    <x v="0"/>
    <s v="LM"/>
    <s v=""/>
    <x v="1339"/>
    <x v="41"/>
    <x v="375"/>
    <m/>
    <x v="20"/>
    <m/>
    <x v="5"/>
    <x v="0"/>
    <x v="496"/>
    <d v="2013-02-17T00:00:00"/>
    <x v="1"/>
    <x v="1"/>
    <s v="Generation 14plus"/>
    <m/>
    <x v="0"/>
    <x v="0"/>
    <m/>
    <x v="0"/>
    <x v="5"/>
    <x v="2120"/>
    <x v="5"/>
    <x v="0"/>
    <x v="0"/>
    <x v="496"/>
    <x v="6391"/>
  </r>
  <r>
    <x v="2"/>
    <n v="1610"/>
    <x v="2096"/>
    <x v="0"/>
    <s v="LM"/>
    <s v=""/>
    <x v="1339"/>
    <x v="41"/>
    <x v="146"/>
    <m/>
    <x v="24"/>
    <m/>
    <x v="3"/>
    <x v="0"/>
    <x v="537"/>
    <d v="2013-04-28T00:00:00"/>
    <x v="5"/>
    <x v="1"/>
    <s v="Competição Nacional - Ficção"/>
    <s v="Cinema Emergente Curtas"/>
    <x v="0"/>
    <x v="0"/>
    <m/>
    <x v="0"/>
    <x v="5"/>
    <x v="2120"/>
    <x v="3"/>
    <x v="0"/>
    <x v="1"/>
    <x v="537"/>
    <x v="6392"/>
  </r>
  <r>
    <x v="2"/>
    <n v="1610"/>
    <x v="2096"/>
    <x v="0"/>
    <s v="LM"/>
    <s v=""/>
    <x v="1339"/>
    <x v="41"/>
    <x v="669"/>
    <m/>
    <x v="190"/>
    <m/>
    <x v="0"/>
    <x v="0"/>
    <x v="538"/>
    <d v="2013-06-14T00:00:00"/>
    <x v="7"/>
    <x v="0"/>
    <m/>
    <s v="Outros Olhares"/>
    <x v="0"/>
    <x v="0"/>
    <m/>
    <x v="0"/>
    <x v="5"/>
    <x v="2120"/>
    <x v="0"/>
    <x v="0"/>
    <x v="0"/>
    <x v="538"/>
    <x v="6393"/>
  </r>
  <r>
    <x v="2"/>
    <n v="1610"/>
    <x v="2096"/>
    <x v="0"/>
    <s v="LM"/>
    <s v=""/>
    <x v="1339"/>
    <x v="41"/>
    <x v="864"/>
    <m/>
    <x v="32"/>
    <m/>
    <x v="3"/>
    <x v="0"/>
    <x v="562"/>
    <d v="2013-06-16T00:00:00"/>
    <x v="7"/>
    <x v="0"/>
    <m/>
    <s v="Mostra do Cinema Português"/>
    <x v="0"/>
    <x v="0"/>
    <m/>
    <x v="0"/>
    <x v="5"/>
    <x v="2120"/>
    <x v="3"/>
    <x v="0"/>
    <x v="1"/>
    <x v="562"/>
    <x v="6394"/>
  </r>
  <r>
    <x v="2"/>
    <n v="1610"/>
    <x v="2096"/>
    <x v="0"/>
    <s v="LM"/>
    <s v=""/>
    <x v="1339"/>
    <x v="41"/>
    <x v="835"/>
    <m/>
    <x v="243"/>
    <m/>
    <x v="64"/>
    <x v="0"/>
    <x v="515"/>
    <d v="2013-06-29T00:00:00"/>
    <x v="7"/>
    <x v="0"/>
    <m/>
    <s v="Portugal Euphoria"/>
    <x v="0"/>
    <x v="0"/>
    <m/>
    <x v="0"/>
    <x v="5"/>
    <x v="2120"/>
    <x v="64"/>
    <x v="0"/>
    <x v="0"/>
    <x v="515"/>
    <x v="6395"/>
  </r>
  <r>
    <x v="2"/>
    <n v="1610"/>
    <x v="2096"/>
    <x v="0"/>
    <s v="LM"/>
    <s v=""/>
    <x v="1339"/>
    <x v="41"/>
    <x v="848"/>
    <m/>
    <x v="165"/>
    <m/>
    <x v="4"/>
    <x v="0"/>
    <x v="540"/>
    <d v="2013-09-01T00:00:00"/>
    <x v="20"/>
    <x v="0"/>
    <m/>
    <m/>
    <x v="0"/>
    <x v="1"/>
    <m/>
    <x v="0"/>
    <x v="5"/>
    <x v="2120"/>
    <x v="4"/>
    <x v="0"/>
    <x v="0"/>
    <x v="540"/>
    <x v="6396"/>
  </r>
  <r>
    <x v="2"/>
    <n v="1610"/>
    <x v="2096"/>
    <x v="0"/>
    <s v="LM"/>
    <s v=""/>
    <x v="1339"/>
    <x v="41"/>
    <x v="188"/>
    <m/>
    <x v="0"/>
    <m/>
    <x v="0"/>
    <x v="0"/>
    <x v="505"/>
    <d v="2013-10-10T00:00:00"/>
    <x v="10"/>
    <x v="0"/>
    <m/>
    <s v="Expectativa 2013"/>
    <x v="0"/>
    <x v="0"/>
    <m/>
    <x v="0"/>
    <x v="5"/>
    <x v="2120"/>
    <x v="0"/>
    <x v="0"/>
    <x v="0"/>
    <x v="505"/>
    <x v="6397"/>
  </r>
  <r>
    <x v="2"/>
    <n v="1200"/>
    <x v="829"/>
    <x v="2"/>
    <s v="CM"/>
    <s v="S"/>
    <x v="568"/>
    <x v="1"/>
    <x v="316"/>
    <m/>
    <x v="11"/>
    <m/>
    <x v="3"/>
    <x v="0"/>
    <x v="500"/>
    <d v="2013-08-31T00:00:00"/>
    <x v="16"/>
    <x v="1"/>
    <s v="Animação"/>
    <m/>
    <x v="0"/>
    <x v="0"/>
    <m/>
    <x v="0"/>
    <x v="4"/>
    <x v="832"/>
    <x v="3"/>
    <x v="0"/>
    <x v="1"/>
    <x v="500"/>
    <x v="6398"/>
  </r>
  <r>
    <x v="2"/>
    <n v="2110"/>
    <x v="2097"/>
    <x v="1"/>
    <s v="CM"/>
    <s v="N"/>
    <x v="1305"/>
    <x v="65"/>
    <x v="873"/>
    <m/>
    <x v="297"/>
    <m/>
    <x v="3"/>
    <x v="0"/>
    <x v="509"/>
    <d v="2013-11-27T00:00:00"/>
    <x v="13"/>
    <x v="0"/>
    <m/>
    <s v="Homenagem à Ria de Aveiro"/>
    <x v="0"/>
    <x v="0"/>
    <m/>
    <x v="0"/>
    <x v="2"/>
    <x v="2121"/>
    <x v="3"/>
    <x v="0"/>
    <x v="1"/>
    <x v="509"/>
    <x v="6399"/>
  </r>
  <r>
    <x v="2"/>
    <n v="1406"/>
    <x v="1571"/>
    <x v="1"/>
    <s v="CM"/>
    <s v=""/>
    <x v="370"/>
    <x v="41"/>
    <x v="519"/>
    <m/>
    <x v="24"/>
    <m/>
    <x v="3"/>
    <x v="0"/>
    <x v="504"/>
    <d v="2013-05-11T00:00:00"/>
    <x v="6"/>
    <x v="0"/>
    <m/>
    <m/>
    <x v="0"/>
    <x v="1"/>
    <m/>
    <x v="0"/>
    <x v="2"/>
    <x v="1583"/>
    <x v="3"/>
    <x v="0"/>
    <x v="1"/>
    <x v="504"/>
    <x v="6400"/>
  </r>
  <r>
    <x v="2"/>
    <n v="1406"/>
    <x v="1571"/>
    <x v="1"/>
    <s v="CM"/>
    <s v=""/>
    <x v="370"/>
    <x v="41"/>
    <x v="870"/>
    <m/>
    <x v="59"/>
    <m/>
    <x v="3"/>
    <x v="0"/>
    <x v="568"/>
    <d v="2013-10-13T00:00:00"/>
    <x v="14"/>
    <x v="1"/>
    <s v="Competição Nacional"/>
    <m/>
    <x v="0"/>
    <x v="0"/>
    <m/>
    <x v="0"/>
    <x v="2"/>
    <x v="1583"/>
    <x v="3"/>
    <x v="0"/>
    <x v="1"/>
    <x v="568"/>
    <x v="6401"/>
  </r>
  <r>
    <x v="2"/>
    <n v="1205"/>
    <x v="833"/>
    <x v="0"/>
    <s v="CM"/>
    <s v="S"/>
    <x v="316"/>
    <x v="1"/>
    <x v="955"/>
    <m/>
    <x v="438"/>
    <m/>
    <x v="58"/>
    <x v="0"/>
    <x v="653"/>
    <d v="2013-12-07T00:00:00"/>
    <x v="11"/>
    <x v="0"/>
    <m/>
    <s v="All About Sex: Programme 2"/>
    <x v="0"/>
    <x v="0"/>
    <m/>
    <x v="0"/>
    <x v="0"/>
    <x v="836"/>
    <x v="58"/>
    <x v="0"/>
    <x v="0"/>
    <x v="653"/>
    <x v="6402"/>
  </r>
  <r>
    <x v="2"/>
    <n v="1210"/>
    <x v="836"/>
    <x v="0"/>
    <s v="LM"/>
    <s v="N"/>
    <x v="158"/>
    <x v="35"/>
    <x v="843"/>
    <m/>
    <x v="253"/>
    <m/>
    <x v="0"/>
    <x v="0"/>
    <x v="532"/>
    <d v="2013-05-26T00:00:00"/>
    <x v="6"/>
    <x v="0"/>
    <m/>
    <m/>
    <x v="0"/>
    <x v="1"/>
    <m/>
    <x v="0"/>
    <x v="5"/>
    <x v="839"/>
    <x v="0"/>
    <x v="0"/>
    <x v="0"/>
    <x v="532"/>
    <x v="6403"/>
  </r>
  <r>
    <x v="2"/>
    <n v="1210"/>
    <x v="836"/>
    <x v="0"/>
    <s v="LM"/>
    <s v="N"/>
    <x v="158"/>
    <x v="35"/>
    <x v="844"/>
    <m/>
    <x v="0"/>
    <m/>
    <x v="0"/>
    <x v="0"/>
    <x v="533"/>
    <d v="2013-06-06T00:00:00"/>
    <x v="22"/>
    <x v="0"/>
    <m/>
    <m/>
    <x v="0"/>
    <x v="1"/>
    <m/>
    <x v="0"/>
    <x v="5"/>
    <x v="839"/>
    <x v="0"/>
    <x v="0"/>
    <x v="0"/>
    <x v="533"/>
    <x v="6404"/>
  </r>
  <r>
    <x v="2"/>
    <n v="2099"/>
    <x v="2098"/>
    <x v="1"/>
    <s v="CM"/>
    <s v="N"/>
    <x v="1340"/>
    <x v="2"/>
    <x v="873"/>
    <m/>
    <x v="297"/>
    <m/>
    <x v="3"/>
    <x v="0"/>
    <x v="509"/>
    <d v="2013-11-27T00:00:00"/>
    <x v="13"/>
    <x v="1"/>
    <s v="Documental Universitário"/>
    <m/>
    <x v="596"/>
    <x v="0"/>
    <m/>
    <x v="1"/>
    <x v="2"/>
    <x v="2122"/>
    <x v="3"/>
    <x v="730"/>
    <x v="1"/>
    <x v="509"/>
    <x v="6405"/>
  </r>
  <r>
    <x v="2"/>
    <n v="2111"/>
    <x v="2099"/>
    <x v="1"/>
    <s v="CM"/>
    <s v="N"/>
    <x v="1122"/>
    <x v="22"/>
    <x v="873"/>
    <m/>
    <x v="297"/>
    <m/>
    <x v="3"/>
    <x v="0"/>
    <x v="509"/>
    <d v="2013-11-27T00:00:00"/>
    <x v="13"/>
    <x v="0"/>
    <m/>
    <s v="Homenagem à Ria de Aveiro"/>
    <x v="0"/>
    <x v="0"/>
    <m/>
    <x v="0"/>
    <x v="2"/>
    <x v="2123"/>
    <x v="3"/>
    <x v="0"/>
    <x v="1"/>
    <x v="509"/>
    <x v="6406"/>
  </r>
  <r>
    <x v="2"/>
    <n v="1375"/>
    <x v="1575"/>
    <x v="0"/>
    <s v="CM"/>
    <s v="N"/>
    <x v="1033"/>
    <x v="2"/>
    <x v="1088"/>
    <m/>
    <x v="23"/>
    <m/>
    <x v="3"/>
    <x v="0"/>
    <x v="703"/>
    <m/>
    <x v="12"/>
    <x v="1"/>
    <m/>
    <m/>
    <x v="239"/>
    <x v="1"/>
    <m/>
    <x v="1"/>
    <x v="0"/>
    <x v="1587"/>
    <x v="3"/>
    <x v="277"/>
    <x v="1"/>
    <x v="703"/>
    <x v="6407"/>
  </r>
  <r>
    <x v="2"/>
    <n v="2172"/>
    <x v="2100"/>
    <x v="0"/>
    <s v="CM"/>
    <s v="N"/>
    <x v="1341"/>
    <x v="52"/>
    <x v="70"/>
    <m/>
    <x v="38"/>
    <m/>
    <x v="3"/>
    <x v="0"/>
    <x v="510"/>
    <d v="2013-09-15T00:00:00"/>
    <x v="9"/>
    <x v="1"/>
    <s v="Sessão Competitiva 3"/>
    <m/>
    <x v="0"/>
    <x v="0"/>
    <m/>
    <x v="0"/>
    <x v="0"/>
    <x v="2124"/>
    <x v="3"/>
    <x v="0"/>
    <x v="1"/>
    <x v="510"/>
    <x v="6408"/>
  </r>
  <r>
    <x v="2"/>
    <n v="1215"/>
    <x v="1578"/>
    <x v="0"/>
    <s v="CM"/>
    <s v="N"/>
    <x v="887"/>
    <x v="3"/>
    <x v="827"/>
    <m/>
    <x v="24"/>
    <m/>
    <x v="3"/>
    <x v="0"/>
    <x v="506"/>
    <m/>
    <x v="7"/>
    <x v="1"/>
    <m/>
    <m/>
    <x v="0"/>
    <x v="0"/>
    <m/>
    <x v="0"/>
    <x v="0"/>
    <x v="1590"/>
    <x v="3"/>
    <x v="0"/>
    <x v="1"/>
    <x v="506"/>
    <x v="6409"/>
  </r>
  <r>
    <x v="2"/>
    <n v="1219"/>
    <x v="1582"/>
    <x v="0"/>
    <s v="CM"/>
    <s v="N"/>
    <x v="1039"/>
    <x v="2"/>
    <x v="34"/>
    <m/>
    <x v="32"/>
    <m/>
    <x v="3"/>
    <x v="0"/>
    <x v="525"/>
    <d v="2013-05-12T00:00:00"/>
    <x v="6"/>
    <x v="1"/>
    <s v="Ficção"/>
    <m/>
    <x v="0"/>
    <x v="0"/>
    <m/>
    <x v="0"/>
    <x v="0"/>
    <x v="1594"/>
    <x v="3"/>
    <x v="0"/>
    <x v="1"/>
    <x v="525"/>
    <x v="6410"/>
  </r>
  <r>
    <x v="2"/>
    <n v="2078"/>
    <x v="2101"/>
    <x v="1"/>
    <s v="CM"/>
    <s v="N"/>
    <x v="1342"/>
    <x v="52"/>
    <x v="25"/>
    <m/>
    <x v="24"/>
    <m/>
    <x v="3"/>
    <x v="0"/>
    <x v="553"/>
    <d v="2013-11-03T00:00:00"/>
    <x v="0"/>
    <x v="1"/>
    <s v="Competição Portuguesa - Curtas"/>
    <m/>
    <x v="0"/>
    <x v="0"/>
    <m/>
    <x v="0"/>
    <x v="2"/>
    <x v="2125"/>
    <x v="3"/>
    <x v="0"/>
    <x v="1"/>
    <x v="553"/>
    <x v="6411"/>
  </r>
  <r>
    <x v="2"/>
    <n v="2078"/>
    <x v="2101"/>
    <x v="1"/>
    <s v="CM"/>
    <s v="N"/>
    <x v="1342"/>
    <x v="52"/>
    <x v="1036"/>
    <m/>
    <x v="457"/>
    <m/>
    <x v="3"/>
    <x v="0"/>
    <x v="519"/>
    <d v="2013-11-18T00:00:00"/>
    <x v="13"/>
    <x v="1"/>
    <s v="Competição Curtas Metragens MEO"/>
    <m/>
    <x v="597"/>
    <x v="0"/>
    <m/>
    <x v="1"/>
    <x v="2"/>
    <x v="2125"/>
    <x v="3"/>
    <x v="731"/>
    <x v="1"/>
    <x v="519"/>
    <x v="6412"/>
  </r>
  <r>
    <x v="2"/>
    <n v="1682"/>
    <x v="1583"/>
    <x v="0"/>
    <s v="CM"/>
    <s v="N"/>
    <x v="1040"/>
    <x v="41"/>
    <x v="62"/>
    <m/>
    <x v="23"/>
    <m/>
    <x v="3"/>
    <x v="0"/>
    <x v="503"/>
    <d v="2013-03-10T00:00:00"/>
    <x v="19"/>
    <x v="1"/>
    <s v="Prémio de Cinema Português - Escolas de Cinema"/>
    <m/>
    <x v="0"/>
    <x v="0"/>
    <s v="Universidade Lusófona - Lisboa"/>
    <x v="0"/>
    <x v="0"/>
    <x v="1595"/>
    <x v="3"/>
    <x v="0"/>
    <x v="1"/>
    <x v="503"/>
    <x v="6413"/>
  </r>
  <r>
    <x v="2"/>
    <n v="1222"/>
    <x v="842"/>
    <x v="0"/>
    <s v="LM"/>
    <s v="S"/>
    <x v="461"/>
    <x v="10"/>
    <x v="871"/>
    <m/>
    <x v="391"/>
    <m/>
    <x v="1"/>
    <x v="0"/>
    <x v="498"/>
    <d v="2013-11-19T00:00:00"/>
    <x v="13"/>
    <x v="0"/>
    <m/>
    <s v="País Invitado"/>
    <x v="0"/>
    <x v="1"/>
    <m/>
    <x v="0"/>
    <x v="5"/>
    <x v="845"/>
    <x v="1"/>
    <x v="0"/>
    <x v="0"/>
    <x v="498"/>
    <x v="6414"/>
  </r>
  <r>
    <x v="2"/>
    <n v="1953"/>
    <x v="2102"/>
    <x v="5"/>
    <s v="CM"/>
    <s v="N"/>
    <x v="1343"/>
    <x v="2"/>
    <x v="316"/>
    <m/>
    <x v="11"/>
    <m/>
    <x v="3"/>
    <x v="0"/>
    <x v="500"/>
    <d v="2013-08-31T00:00:00"/>
    <x v="16"/>
    <x v="1"/>
    <s v="Videoclip"/>
    <m/>
    <x v="512"/>
    <x v="0"/>
    <m/>
    <x v="1"/>
    <x v="15"/>
    <x v="2126"/>
    <x v="3"/>
    <x v="622"/>
    <x v="1"/>
    <x v="500"/>
    <x v="6415"/>
  </r>
  <r>
    <x v="2"/>
    <n v="1227"/>
    <x v="1586"/>
    <x v="1"/>
    <s v="CM"/>
    <s v="N"/>
    <x v="525"/>
    <x v="41"/>
    <x v="890"/>
    <m/>
    <x v="319"/>
    <m/>
    <x v="1"/>
    <x v="0"/>
    <x v="594"/>
    <d v="2013-12-13T00:00:00"/>
    <x v="11"/>
    <x v="0"/>
    <m/>
    <m/>
    <x v="0"/>
    <x v="1"/>
    <s v="No CGAI"/>
    <x v="0"/>
    <x v="2"/>
    <x v="1598"/>
    <x v="1"/>
    <x v="0"/>
    <x v="0"/>
    <x v="594"/>
    <x v="6416"/>
  </r>
  <r>
    <x v="2"/>
    <n v="1863"/>
    <x v="2103"/>
    <x v="2"/>
    <s v="CM"/>
    <s v="N"/>
    <x v="727"/>
    <x v="52"/>
    <x v="854"/>
    <m/>
    <x v="24"/>
    <m/>
    <x v="3"/>
    <x v="0"/>
    <x v="550"/>
    <d v="2013-03-27T00:00:00"/>
    <x v="2"/>
    <x v="0"/>
    <m/>
    <m/>
    <x v="0"/>
    <x v="1"/>
    <m/>
    <x v="0"/>
    <x v="4"/>
    <x v="2127"/>
    <x v="3"/>
    <x v="0"/>
    <x v="1"/>
    <x v="550"/>
    <x v="6417"/>
  </r>
  <r>
    <x v="2"/>
    <n v="1821"/>
    <x v="2104"/>
    <x v="1"/>
    <s v="CM"/>
    <s v="N"/>
    <x v="1344"/>
    <x v="52"/>
    <x v="1051"/>
    <m/>
    <x v="23"/>
    <m/>
    <x v="3"/>
    <x v="0"/>
    <x v="693"/>
    <m/>
    <x v="6"/>
    <x v="0"/>
    <m/>
    <m/>
    <x v="0"/>
    <x v="1"/>
    <m/>
    <x v="0"/>
    <x v="2"/>
    <x v="2128"/>
    <x v="3"/>
    <x v="0"/>
    <x v="1"/>
    <x v="693"/>
    <x v="6418"/>
  </r>
  <r>
    <x v="2"/>
    <n v="2152"/>
    <x v="1589"/>
    <x v="1"/>
    <s v="CM"/>
    <s v="N"/>
    <x v="1043"/>
    <x v="41"/>
    <x v="972"/>
    <m/>
    <x v="77"/>
    <m/>
    <x v="3"/>
    <x v="0"/>
    <x v="663"/>
    <m/>
    <x v="5"/>
    <x v="0"/>
    <m/>
    <m/>
    <x v="0"/>
    <x v="1"/>
    <m/>
    <x v="0"/>
    <x v="2"/>
    <x v="1601"/>
    <x v="3"/>
    <x v="0"/>
    <x v="1"/>
    <x v="663"/>
    <x v="6419"/>
  </r>
  <r>
    <x v="2"/>
    <n v="1842"/>
    <x v="2105"/>
    <x v="0"/>
    <s v="CM"/>
    <s v="N"/>
    <x v="1345"/>
    <x v="52"/>
    <x v="454"/>
    <m/>
    <x v="15"/>
    <m/>
    <x v="3"/>
    <x v="0"/>
    <x v="334"/>
    <m/>
    <x v="8"/>
    <x v="1"/>
    <s v="Ficção"/>
    <m/>
    <x v="598"/>
    <x v="0"/>
    <m/>
    <x v="1"/>
    <x v="0"/>
    <x v="2129"/>
    <x v="3"/>
    <x v="732"/>
    <x v="1"/>
    <x v="334"/>
    <x v="6420"/>
  </r>
  <r>
    <x v="2"/>
    <n v="2056"/>
    <x v="2106"/>
    <x v="0"/>
    <s v="CM"/>
    <s v="N"/>
    <x v="1104"/>
    <x v="52"/>
    <x v="1089"/>
    <m/>
    <x v="23"/>
    <m/>
    <x v="3"/>
    <x v="0"/>
    <x v="691"/>
    <d v="2013-04-06T00:00:00"/>
    <x v="5"/>
    <x v="1"/>
    <m/>
    <m/>
    <x v="47"/>
    <x v="0"/>
    <m/>
    <x v="1"/>
    <x v="0"/>
    <x v="2130"/>
    <x v="3"/>
    <x v="62"/>
    <x v="1"/>
    <x v="691"/>
    <x v="6421"/>
  </r>
  <r>
    <x v="2"/>
    <n v="2056"/>
    <x v="2106"/>
    <x v="0"/>
    <s v="CM"/>
    <s v="N"/>
    <x v="1104"/>
    <x v="52"/>
    <x v="1062"/>
    <m/>
    <x v="15"/>
    <m/>
    <x v="3"/>
    <x v="0"/>
    <x v="719"/>
    <m/>
    <x v="16"/>
    <x v="0"/>
    <m/>
    <m/>
    <x v="0"/>
    <x v="1"/>
    <m/>
    <x v="0"/>
    <x v="0"/>
    <x v="2130"/>
    <x v="3"/>
    <x v="0"/>
    <x v="1"/>
    <x v="719"/>
    <x v="6422"/>
  </r>
  <r>
    <x v="2"/>
    <n v="1896"/>
    <x v="2107"/>
    <x v="0"/>
    <s v="CM"/>
    <s v="N"/>
    <x v="178"/>
    <x v="52"/>
    <x v="68"/>
    <m/>
    <x v="53"/>
    <m/>
    <x v="3"/>
    <x v="0"/>
    <x v="573"/>
    <d v="2013-07-14T00:00:00"/>
    <x v="8"/>
    <x v="1"/>
    <s v="Competição Nacional"/>
    <m/>
    <x v="0"/>
    <x v="0"/>
    <m/>
    <x v="0"/>
    <x v="0"/>
    <x v="2131"/>
    <x v="3"/>
    <x v="0"/>
    <x v="1"/>
    <x v="573"/>
    <x v="6423"/>
  </r>
  <r>
    <x v="2"/>
    <n v="1896"/>
    <x v="2107"/>
    <x v="0"/>
    <s v="CM"/>
    <s v="N"/>
    <x v="178"/>
    <x v="52"/>
    <x v="147"/>
    <m/>
    <x v="112"/>
    <m/>
    <x v="34"/>
    <x v="0"/>
    <x v="626"/>
    <d v="2013-08-17T00:00:00"/>
    <x v="16"/>
    <x v="1"/>
    <s v="Pardo di Domani: Concorso Internazionale"/>
    <m/>
    <x v="0"/>
    <x v="0"/>
    <m/>
    <x v="0"/>
    <x v="0"/>
    <x v="2131"/>
    <x v="34"/>
    <x v="0"/>
    <x v="0"/>
    <x v="626"/>
    <x v="6424"/>
  </r>
  <r>
    <x v="2"/>
    <n v="1896"/>
    <x v="2107"/>
    <x v="0"/>
    <s v="CM"/>
    <s v="N"/>
    <x v="178"/>
    <x v="52"/>
    <x v="860"/>
    <m/>
    <x v="6"/>
    <m/>
    <x v="4"/>
    <x v="0"/>
    <x v="467"/>
    <d v="2013-11-24T00:00:00"/>
    <x v="13"/>
    <x v="0"/>
    <m/>
    <s v="Portugal Alterado: Las últimas películas"/>
    <x v="0"/>
    <x v="0"/>
    <m/>
    <x v="0"/>
    <x v="0"/>
    <x v="2131"/>
    <x v="4"/>
    <x v="0"/>
    <x v="0"/>
    <x v="467"/>
    <x v="6425"/>
  </r>
  <r>
    <x v="2"/>
    <n v="1896"/>
    <x v="2107"/>
    <x v="0"/>
    <s v="CM"/>
    <s v="N"/>
    <x v="178"/>
    <x v="52"/>
    <x v="133"/>
    <m/>
    <x v="101"/>
    <m/>
    <x v="3"/>
    <x v="0"/>
    <x v="502"/>
    <d v="2013-12-08T00:00:00"/>
    <x v="12"/>
    <x v="1"/>
    <s v="Sessão Competitiva de Curtas-Metragens 2"/>
    <m/>
    <x v="599"/>
    <x v="0"/>
    <m/>
    <x v="1"/>
    <x v="0"/>
    <x v="2131"/>
    <x v="3"/>
    <x v="733"/>
    <x v="1"/>
    <x v="502"/>
    <x v="6426"/>
  </r>
  <r>
    <x v="2"/>
    <n v="1420"/>
    <x v="1590"/>
    <x v="1"/>
    <s v="CM"/>
    <s v="N"/>
    <x v="313"/>
    <x v="5"/>
    <x v="854"/>
    <m/>
    <x v="24"/>
    <m/>
    <x v="3"/>
    <x v="0"/>
    <x v="550"/>
    <d v="2013-03-27T00:00:00"/>
    <x v="2"/>
    <x v="0"/>
    <m/>
    <m/>
    <x v="0"/>
    <x v="1"/>
    <m/>
    <x v="0"/>
    <x v="2"/>
    <x v="1602"/>
    <x v="3"/>
    <x v="0"/>
    <x v="1"/>
    <x v="550"/>
    <x v="6427"/>
  </r>
  <r>
    <x v="2"/>
    <n v="1420"/>
    <x v="1590"/>
    <x v="1"/>
    <s v="CM"/>
    <s v="N"/>
    <x v="313"/>
    <x v="5"/>
    <x v="860"/>
    <m/>
    <x v="6"/>
    <m/>
    <x v="4"/>
    <x v="0"/>
    <x v="467"/>
    <d v="2013-11-24T00:00:00"/>
    <x v="13"/>
    <x v="0"/>
    <m/>
    <s v="Portugal Alterado: Las últimas películas"/>
    <x v="0"/>
    <x v="0"/>
    <m/>
    <x v="0"/>
    <x v="2"/>
    <x v="1602"/>
    <x v="4"/>
    <x v="0"/>
    <x v="0"/>
    <x v="467"/>
    <x v="6428"/>
  </r>
  <r>
    <x v="2"/>
    <n v="1235"/>
    <x v="851"/>
    <x v="2"/>
    <s v="CM"/>
    <s v="S"/>
    <x v="73"/>
    <x v="5"/>
    <x v="885"/>
    <m/>
    <x v="419"/>
    <m/>
    <x v="34"/>
    <x v="0"/>
    <x v="586"/>
    <d v="2013-01-27T00:00:00"/>
    <x v="15"/>
    <x v="0"/>
    <m/>
    <s v="Petit Black Movie: Aigre-doux à la portugaise"/>
    <x v="0"/>
    <x v="0"/>
    <m/>
    <x v="0"/>
    <x v="4"/>
    <x v="854"/>
    <x v="34"/>
    <x v="0"/>
    <x v="0"/>
    <x v="586"/>
    <x v="6429"/>
  </r>
  <r>
    <x v="2"/>
    <n v="1235"/>
    <x v="851"/>
    <x v="2"/>
    <s v="CM"/>
    <s v="S"/>
    <x v="73"/>
    <x v="5"/>
    <x v="58"/>
    <m/>
    <x v="47"/>
    <m/>
    <x v="3"/>
    <x v="0"/>
    <x v="542"/>
    <d v="2013-09-08T00:00:00"/>
    <x v="9"/>
    <x v="0"/>
    <m/>
    <s v="Casa da Animação"/>
    <x v="0"/>
    <x v="1"/>
    <m/>
    <x v="0"/>
    <x v="4"/>
    <x v="854"/>
    <x v="3"/>
    <x v="0"/>
    <x v="1"/>
    <x v="542"/>
    <x v="6430"/>
  </r>
  <r>
    <x v="2"/>
    <n v="1235"/>
    <x v="851"/>
    <x v="2"/>
    <s v="CM"/>
    <s v="S"/>
    <x v="73"/>
    <x v="5"/>
    <x v="895"/>
    <m/>
    <x v="425"/>
    <m/>
    <x v="0"/>
    <x v="0"/>
    <x v="597"/>
    <d v="2013-09-14T00:00:00"/>
    <x v="9"/>
    <x v="0"/>
    <m/>
    <s v="Mostra Portugal Contemporânei"/>
    <x v="0"/>
    <x v="0"/>
    <m/>
    <x v="0"/>
    <x v="4"/>
    <x v="854"/>
    <x v="0"/>
    <x v="0"/>
    <x v="0"/>
    <x v="597"/>
    <x v="6431"/>
  </r>
  <r>
    <x v="2"/>
    <n v="1235"/>
    <x v="851"/>
    <x v="2"/>
    <s v="CM"/>
    <s v="S"/>
    <x v="73"/>
    <x v="5"/>
    <x v="920"/>
    <m/>
    <x v="429"/>
    <m/>
    <x v="63"/>
    <x v="0"/>
    <x v="509"/>
    <d v="2013-11-30T00:00:00"/>
    <x v="13"/>
    <x v="0"/>
    <m/>
    <m/>
    <x v="0"/>
    <x v="0"/>
    <m/>
    <x v="0"/>
    <x v="4"/>
    <x v="854"/>
    <x v="63"/>
    <x v="0"/>
    <x v="0"/>
    <x v="509"/>
    <x v="6432"/>
  </r>
  <r>
    <x v="2"/>
    <n v="1235"/>
    <x v="851"/>
    <x v="2"/>
    <s v="CM"/>
    <s v="S"/>
    <x v="73"/>
    <x v="5"/>
    <x v="905"/>
    <m/>
    <x v="61"/>
    <m/>
    <x v="2"/>
    <x v="0"/>
    <x v="509"/>
    <d v="2013-12-01T00:00:00"/>
    <x v="11"/>
    <x v="0"/>
    <m/>
    <s v="Ida e Volta: Hommage au Portugal"/>
    <x v="0"/>
    <x v="0"/>
    <m/>
    <x v="0"/>
    <x v="4"/>
    <x v="854"/>
    <x v="2"/>
    <x v="0"/>
    <x v="0"/>
    <x v="509"/>
    <x v="6433"/>
  </r>
  <r>
    <x v="2"/>
    <n v="1236"/>
    <x v="1592"/>
    <x v="0"/>
    <s v="LM"/>
    <s v=""/>
    <x v="1044"/>
    <x v="39"/>
    <x v="1090"/>
    <m/>
    <x v="32"/>
    <m/>
    <x v="3"/>
    <x v="0"/>
    <x v="730"/>
    <d v="2013-11-28T00:00:00"/>
    <x v="13"/>
    <x v="0"/>
    <m/>
    <m/>
    <x v="0"/>
    <x v="1"/>
    <s v="Clube de Cinema de Setúbal"/>
    <x v="0"/>
    <x v="5"/>
    <x v="1604"/>
    <x v="3"/>
    <x v="0"/>
    <x v="1"/>
    <x v="730"/>
    <x v="6434"/>
  </r>
  <r>
    <x v="2"/>
    <n v="1237"/>
    <x v="852"/>
    <x v="0"/>
    <s v="LM"/>
    <s v="S"/>
    <x v="25"/>
    <x v="3"/>
    <x v="895"/>
    <m/>
    <x v="425"/>
    <m/>
    <x v="0"/>
    <x v="0"/>
    <x v="597"/>
    <d v="2013-09-14T00:00:00"/>
    <x v="9"/>
    <x v="0"/>
    <m/>
    <s v="Mostra Homenagem a Maria de Medeiros"/>
    <x v="0"/>
    <x v="0"/>
    <m/>
    <x v="0"/>
    <x v="5"/>
    <x v="855"/>
    <x v="0"/>
    <x v="0"/>
    <x v="0"/>
    <x v="597"/>
    <x v="6435"/>
  </r>
  <r>
    <x v="2"/>
    <n v="1244"/>
    <x v="857"/>
    <x v="0"/>
    <s v="CM"/>
    <s v="N"/>
    <x v="9"/>
    <x v="5"/>
    <x v="987"/>
    <m/>
    <x v="13"/>
    <m/>
    <x v="3"/>
    <x v="0"/>
    <x v="675"/>
    <d v="2013-07-22T00:00:00"/>
    <x v="8"/>
    <x v="0"/>
    <m/>
    <m/>
    <x v="0"/>
    <x v="1"/>
    <m/>
    <x v="0"/>
    <x v="0"/>
    <x v="860"/>
    <x v="3"/>
    <x v="0"/>
    <x v="1"/>
    <x v="675"/>
    <x v="6436"/>
  </r>
  <r>
    <x v="2"/>
    <n v="1244"/>
    <x v="857"/>
    <x v="0"/>
    <s v="CM"/>
    <s v="N"/>
    <x v="9"/>
    <x v="5"/>
    <x v="960"/>
    <m/>
    <x v="15"/>
    <m/>
    <x v="3"/>
    <x v="0"/>
    <x v="534"/>
    <m/>
    <x v="16"/>
    <x v="0"/>
    <m/>
    <m/>
    <x v="0"/>
    <x v="1"/>
    <s v="Sessão Especial integrada nos PALCOS LIVRES"/>
    <x v="0"/>
    <x v="0"/>
    <x v="860"/>
    <x v="3"/>
    <x v="0"/>
    <x v="1"/>
    <x v="534"/>
    <x v="6437"/>
  </r>
  <r>
    <x v="2"/>
    <n v="2141"/>
    <x v="2108"/>
    <x v="2"/>
    <s v="CM"/>
    <s v="N"/>
    <x v="1346"/>
    <x v="41"/>
    <x v="454"/>
    <m/>
    <x v="15"/>
    <m/>
    <x v="3"/>
    <x v="0"/>
    <x v="334"/>
    <m/>
    <x v="8"/>
    <x v="1"/>
    <s v="Filme Escolar"/>
    <m/>
    <x v="0"/>
    <x v="0"/>
    <m/>
    <x v="0"/>
    <x v="4"/>
    <x v="2132"/>
    <x v="3"/>
    <x v="0"/>
    <x v="1"/>
    <x v="334"/>
    <x v="6438"/>
  </r>
  <r>
    <x v="2"/>
    <n v="2176"/>
    <x v="2109"/>
    <x v="1"/>
    <s v="LM"/>
    <s v=""/>
    <x v="363"/>
    <x v="2"/>
    <x v="25"/>
    <m/>
    <x v="24"/>
    <m/>
    <x v="3"/>
    <x v="0"/>
    <x v="553"/>
    <d v="2013-11-03T00:00:00"/>
    <x v="0"/>
    <x v="1"/>
    <s v="Competição Portuguesa - Longas"/>
    <m/>
    <x v="0"/>
    <x v="0"/>
    <m/>
    <x v="0"/>
    <x v="1"/>
    <x v="2133"/>
    <x v="3"/>
    <x v="0"/>
    <x v="1"/>
    <x v="553"/>
    <x v="6439"/>
  </r>
  <r>
    <x v="2"/>
    <n v="2128"/>
    <x v="2110"/>
    <x v="0"/>
    <s v="CM"/>
    <s v=""/>
    <x v="1347"/>
    <x v="41"/>
    <x v="901"/>
    <m/>
    <x v="23"/>
    <m/>
    <x v="3"/>
    <x v="0"/>
    <x v="498"/>
    <m/>
    <x v="13"/>
    <x v="1"/>
    <m/>
    <m/>
    <x v="0"/>
    <x v="1"/>
    <m/>
    <x v="0"/>
    <x v="0"/>
    <x v="2134"/>
    <x v="3"/>
    <x v="0"/>
    <x v="1"/>
    <x v="498"/>
    <x v="6440"/>
  </r>
  <r>
    <x v="2"/>
    <n v="1702"/>
    <x v="2111"/>
    <x v="1"/>
    <s v="CM"/>
    <s v="N"/>
    <x v="1348"/>
    <x v="41"/>
    <x v="62"/>
    <m/>
    <x v="23"/>
    <m/>
    <x v="3"/>
    <x v="0"/>
    <x v="503"/>
    <d v="2013-03-10T00:00:00"/>
    <x v="19"/>
    <x v="1"/>
    <s v="Prémio de Cinema Português - Escolas de Cinema"/>
    <m/>
    <x v="0"/>
    <x v="0"/>
    <s v="RESTART "/>
    <x v="0"/>
    <x v="2"/>
    <x v="2135"/>
    <x v="3"/>
    <x v="0"/>
    <x v="1"/>
    <x v="503"/>
    <x v="6441"/>
  </r>
  <r>
    <x v="2"/>
    <n v="2163"/>
    <x v="2112"/>
    <x v="3"/>
    <s v="CM"/>
    <s v="N"/>
    <x v="1005"/>
    <x v="41"/>
    <x v="1077"/>
    <m/>
    <x v="469"/>
    <m/>
    <x v="50"/>
    <x v="0"/>
    <x v="506"/>
    <d v="2013-06-15T00:00:00"/>
    <x v="7"/>
    <x v="0"/>
    <m/>
    <m/>
    <x v="0"/>
    <x v="0"/>
    <m/>
    <x v="0"/>
    <x v="6"/>
    <x v="2136"/>
    <x v="50"/>
    <x v="0"/>
    <x v="0"/>
    <x v="506"/>
    <x v="6442"/>
  </r>
  <r>
    <x v="2"/>
    <n v="2163"/>
    <x v="2112"/>
    <x v="3"/>
    <s v="CM"/>
    <s v="N"/>
    <x v="1005"/>
    <x v="41"/>
    <x v="1091"/>
    <m/>
    <x v="473"/>
    <m/>
    <x v="17"/>
    <x v="0"/>
    <x v="719"/>
    <d v="2013-08-18T00:00:00"/>
    <x v="16"/>
    <x v="0"/>
    <m/>
    <m/>
    <x v="0"/>
    <x v="0"/>
    <m/>
    <x v="0"/>
    <x v="6"/>
    <x v="2136"/>
    <x v="17"/>
    <x v="0"/>
    <x v="0"/>
    <x v="719"/>
    <x v="6443"/>
  </r>
  <r>
    <x v="2"/>
    <n v="2163"/>
    <x v="2112"/>
    <x v="3"/>
    <s v="CM"/>
    <s v="N"/>
    <x v="1005"/>
    <x v="41"/>
    <x v="908"/>
    <m/>
    <x v="294"/>
    <m/>
    <x v="10"/>
    <x v="0"/>
    <x v="607"/>
    <d v="2013-09-10T00:00:00"/>
    <x v="9"/>
    <x v="1"/>
    <s v="Video Art Competition"/>
    <m/>
    <x v="0"/>
    <x v="0"/>
    <m/>
    <x v="0"/>
    <x v="6"/>
    <x v="2136"/>
    <x v="10"/>
    <x v="0"/>
    <x v="0"/>
    <x v="607"/>
    <x v="6444"/>
  </r>
  <r>
    <x v="2"/>
    <n v="2163"/>
    <x v="2112"/>
    <x v="3"/>
    <s v="CM"/>
    <s v="N"/>
    <x v="1005"/>
    <x v="41"/>
    <x v="934"/>
    <m/>
    <x v="433"/>
    <m/>
    <x v="17"/>
    <x v="0"/>
    <x v="631"/>
    <d v="2013-10-20T00:00:00"/>
    <x v="14"/>
    <x v="0"/>
    <m/>
    <s v="Visuals"/>
    <x v="0"/>
    <x v="0"/>
    <m/>
    <x v="0"/>
    <x v="6"/>
    <x v="2136"/>
    <x v="17"/>
    <x v="0"/>
    <x v="0"/>
    <x v="631"/>
    <x v="6445"/>
  </r>
  <r>
    <x v="2"/>
    <n v="1779"/>
    <x v="2113"/>
    <x v="1"/>
    <s v="CM"/>
    <s v="N"/>
    <x v="617"/>
    <x v="41"/>
    <x v="514"/>
    <m/>
    <x v="99"/>
    <m/>
    <x v="3"/>
    <x v="0"/>
    <x v="504"/>
    <d v="2013-05-11T00:00:00"/>
    <x v="6"/>
    <x v="1"/>
    <s v="Prémio Primeiro Olhar"/>
    <m/>
    <x v="600"/>
    <x v="0"/>
    <s v="Escola Superior de Tecnologia de Abrantes"/>
    <x v="1"/>
    <x v="2"/>
    <x v="2137"/>
    <x v="3"/>
    <x v="734"/>
    <x v="1"/>
    <x v="504"/>
    <x v="6446"/>
  </r>
  <r>
    <x v="2"/>
    <n v="1796"/>
    <x v="2114"/>
    <x v="0"/>
    <s v="CM"/>
    <s v="N"/>
    <x v="758"/>
    <x v="41"/>
    <x v="975"/>
    <m/>
    <x v="441"/>
    <m/>
    <x v="75"/>
    <x v="0"/>
    <x v="666"/>
    <d v="2013-06-21T00:00:00"/>
    <x v="22"/>
    <x v="1"/>
    <m/>
    <m/>
    <x v="0"/>
    <x v="0"/>
    <m/>
    <x v="0"/>
    <x v="0"/>
    <x v="2138"/>
    <x v="75"/>
    <x v="0"/>
    <x v="0"/>
    <x v="666"/>
    <x v="6447"/>
  </r>
  <r>
    <x v="2"/>
    <n v="1246"/>
    <x v="858"/>
    <x v="1"/>
    <s v="LM"/>
    <s v="N"/>
    <x v="15"/>
    <x v="35"/>
    <x v="906"/>
    <m/>
    <x v="348"/>
    <m/>
    <x v="3"/>
    <x v="0"/>
    <x v="592"/>
    <d v="2013-06-23T00:00:00"/>
    <x v="7"/>
    <x v="0"/>
    <m/>
    <m/>
    <x v="0"/>
    <x v="0"/>
    <m/>
    <x v="0"/>
    <x v="1"/>
    <x v="861"/>
    <x v="3"/>
    <x v="0"/>
    <x v="1"/>
    <x v="592"/>
    <x v="6448"/>
  </r>
  <r>
    <x v="2"/>
    <n v="1340"/>
    <x v="1597"/>
    <x v="0"/>
    <s v="LM"/>
    <s v="S"/>
    <x v="236"/>
    <x v="41"/>
    <x v="978"/>
    <m/>
    <x v="199"/>
    <m/>
    <x v="33"/>
    <x v="0"/>
    <x v="668"/>
    <d v="2013-03-03T00:00:00"/>
    <x v="19"/>
    <x v="0"/>
    <m/>
    <s v="Panorama "/>
    <x v="0"/>
    <x v="0"/>
    <m/>
    <x v="0"/>
    <x v="5"/>
    <x v="1609"/>
    <x v="33"/>
    <x v="0"/>
    <x v="0"/>
    <x v="668"/>
    <x v="6449"/>
  </r>
  <r>
    <x v="2"/>
    <n v="1340"/>
    <x v="1597"/>
    <x v="0"/>
    <s v="LM"/>
    <s v="S"/>
    <x v="236"/>
    <x v="41"/>
    <x v="953"/>
    <m/>
    <x v="436"/>
    <m/>
    <x v="60"/>
    <x v="0"/>
    <x v="650"/>
    <d v="2013-03-09T00:00:00"/>
    <x v="2"/>
    <x v="1"/>
    <s v="Largometraje Iberoamericano de Ficción"/>
    <m/>
    <x v="0"/>
    <x v="0"/>
    <m/>
    <x v="0"/>
    <x v="5"/>
    <x v="1609"/>
    <x v="60"/>
    <x v="0"/>
    <x v="0"/>
    <x v="650"/>
    <x v="6450"/>
  </r>
  <r>
    <x v="2"/>
    <n v="1340"/>
    <x v="1597"/>
    <x v="0"/>
    <s v="LM"/>
    <s v="S"/>
    <x v="236"/>
    <x v="41"/>
    <x v="1092"/>
    <m/>
    <x v="173"/>
    <m/>
    <x v="7"/>
    <x v="0"/>
    <x v="613"/>
    <d v="2013-05-05T00:00:00"/>
    <x v="4"/>
    <x v="1"/>
    <s v="Selection Internationale Fiction"/>
    <m/>
    <x v="601"/>
    <x v="0"/>
    <m/>
    <x v="1"/>
    <x v="5"/>
    <x v="1609"/>
    <x v="7"/>
    <x v="735"/>
    <x v="0"/>
    <x v="613"/>
    <x v="6451"/>
  </r>
  <r>
    <x v="2"/>
    <n v="1340"/>
    <x v="1597"/>
    <x v="0"/>
    <s v="LM"/>
    <s v="S"/>
    <x v="236"/>
    <x v="41"/>
    <x v="1029"/>
    <m/>
    <x v="456"/>
    <m/>
    <x v="3"/>
    <x v="0"/>
    <x v="570"/>
    <d v="2013-07-13T00:00:00"/>
    <x v="8"/>
    <x v="0"/>
    <m/>
    <m/>
    <x v="0"/>
    <x v="0"/>
    <m/>
    <x v="0"/>
    <x v="5"/>
    <x v="1609"/>
    <x v="3"/>
    <x v="0"/>
    <x v="1"/>
    <x v="570"/>
    <x v="6452"/>
  </r>
  <r>
    <x v="2"/>
    <n v="1340"/>
    <x v="1597"/>
    <x v="0"/>
    <s v="LM"/>
    <s v="S"/>
    <x v="236"/>
    <x v="41"/>
    <x v="1039"/>
    <m/>
    <x v="458"/>
    <m/>
    <x v="76"/>
    <x v="0"/>
    <x v="694"/>
    <d v="2013-11-17T00:00:00"/>
    <x v="13"/>
    <x v="1"/>
    <s v="Feature Films Competition"/>
    <m/>
    <x v="602"/>
    <x v="0"/>
    <m/>
    <x v="1"/>
    <x v="5"/>
    <x v="1609"/>
    <x v="76"/>
    <x v="736"/>
    <x v="0"/>
    <x v="694"/>
    <x v="6453"/>
  </r>
  <r>
    <x v="2"/>
    <n v="1340"/>
    <x v="1597"/>
    <x v="0"/>
    <s v="LM"/>
    <s v="S"/>
    <x v="236"/>
    <x v="41"/>
    <x v="838"/>
    <m/>
    <x v="415"/>
    <m/>
    <x v="48"/>
    <x v="0"/>
    <x v="520"/>
    <d v="2013-12-13T00:00:00"/>
    <x v="12"/>
    <x v="0"/>
    <m/>
    <s v="World Cinema"/>
    <x v="0"/>
    <x v="0"/>
    <m/>
    <x v="0"/>
    <x v="5"/>
    <x v="1609"/>
    <x v="48"/>
    <x v="0"/>
    <x v="0"/>
    <x v="520"/>
    <x v="6454"/>
  </r>
  <r>
    <x v="2"/>
    <n v="1340"/>
    <x v="1597"/>
    <x v="0"/>
    <s v="LM"/>
    <s v="S"/>
    <x v="236"/>
    <x v="41"/>
    <x v="853"/>
    <m/>
    <x v="418"/>
    <m/>
    <x v="73"/>
    <x v="0"/>
    <x v="549"/>
    <d v="2013-12-26T00:00:00"/>
    <x v="12"/>
    <x v="1"/>
    <s v="Longs Métrages Fiction"/>
    <m/>
    <x v="603"/>
    <x v="0"/>
    <m/>
    <x v="1"/>
    <x v="5"/>
    <x v="1609"/>
    <x v="73"/>
    <x v="737"/>
    <x v="0"/>
    <x v="549"/>
    <x v="6455"/>
  </r>
  <r>
    <x v="2"/>
    <n v="1963"/>
    <x v="2115"/>
    <x v="0"/>
    <s v="CM"/>
    <s v="N"/>
    <x v="1343"/>
    <x v="52"/>
    <x v="316"/>
    <m/>
    <x v="11"/>
    <m/>
    <x v="3"/>
    <x v="0"/>
    <x v="500"/>
    <d v="2013-08-31T00:00:00"/>
    <x v="16"/>
    <x v="1"/>
    <s v="Ficção"/>
    <m/>
    <x v="0"/>
    <x v="0"/>
    <m/>
    <x v="0"/>
    <x v="0"/>
    <x v="2139"/>
    <x v="3"/>
    <x v="0"/>
    <x v="1"/>
    <x v="500"/>
    <x v="6456"/>
  </r>
  <r>
    <x v="2"/>
    <n v="2116"/>
    <x v="2116"/>
    <x v="1"/>
    <s v="CM"/>
    <s v="N"/>
    <x v="1349"/>
    <x v="52"/>
    <x v="1093"/>
    <m/>
    <x v="474"/>
    <m/>
    <x v="1"/>
    <x v="0"/>
    <x v="509"/>
    <d v="2013-11-30T00:00:00"/>
    <x v="13"/>
    <x v="1"/>
    <m/>
    <m/>
    <x v="0"/>
    <x v="0"/>
    <m/>
    <x v="0"/>
    <x v="2"/>
    <x v="2140"/>
    <x v="1"/>
    <x v="0"/>
    <x v="0"/>
    <x v="509"/>
    <x v="6457"/>
  </r>
  <r>
    <x v="2"/>
    <n v="1912"/>
    <x v="2117"/>
    <x v="0"/>
    <s v="CM"/>
    <s v="N"/>
    <x v="1350"/>
    <x v="52"/>
    <x v="68"/>
    <m/>
    <x v="53"/>
    <m/>
    <x v="3"/>
    <x v="0"/>
    <x v="573"/>
    <d v="2013-07-14T00:00:00"/>
    <x v="8"/>
    <x v="1"/>
    <s v="17º Videorun Restart"/>
    <m/>
    <x v="420"/>
    <x v="0"/>
    <m/>
    <x v="1"/>
    <x v="0"/>
    <x v="2141"/>
    <x v="3"/>
    <x v="738"/>
    <x v="1"/>
    <x v="573"/>
    <x v="6458"/>
  </r>
  <r>
    <x v="2"/>
    <n v="1254"/>
    <x v="863"/>
    <x v="0"/>
    <s v="CM"/>
    <s v="S"/>
    <x v="80"/>
    <x v="5"/>
    <x v="896"/>
    <m/>
    <x v="20"/>
    <m/>
    <x v="5"/>
    <x v="0"/>
    <x v="540"/>
    <d v="2013-08-30T00:00:00"/>
    <x v="16"/>
    <x v="0"/>
    <m/>
    <m/>
    <x v="0"/>
    <x v="1"/>
    <s v="Kino Arsenal"/>
    <x v="0"/>
    <x v="0"/>
    <x v="866"/>
    <x v="5"/>
    <x v="0"/>
    <x v="0"/>
    <x v="540"/>
    <x v="6459"/>
  </r>
  <r>
    <x v="2"/>
    <n v="1254"/>
    <x v="863"/>
    <x v="0"/>
    <s v="CM"/>
    <s v="S"/>
    <x v="80"/>
    <x v="5"/>
    <x v="709"/>
    <m/>
    <x v="65"/>
    <m/>
    <x v="9"/>
    <x v="0"/>
    <x v="619"/>
    <d v="2013-10-13T00:00:00"/>
    <x v="10"/>
    <x v="0"/>
    <m/>
    <s v="Views from the Avant-Garde Program 7: Sandro Aguilar - Dive: Approach and Exit"/>
    <x v="0"/>
    <x v="0"/>
    <m/>
    <x v="0"/>
    <x v="0"/>
    <x v="866"/>
    <x v="9"/>
    <x v="0"/>
    <x v="0"/>
    <x v="619"/>
    <x v="6460"/>
  </r>
  <r>
    <x v="2"/>
    <n v="1254"/>
    <x v="863"/>
    <x v="0"/>
    <s v="CM"/>
    <s v="S"/>
    <x v="80"/>
    <x v="5"/>
    <x v="890"/>
    <m/>
    <x v="319"/>
    <m/>
    <x v="1"/>
    <x v="0"/>
    <x v="594"/>
    <d v="2013-12-13T00:00:00"/>
    <x v="11"/>
    <x v="0"/>
    <m/>
    <s v="Curtametraxes: Sandro Aguilar"/>
    <x v="0"/>
    <x v="1"/>
    <s v="No CGAI"/>
    <x v="0"/>
    <x v="0"/>
    <x v="866"/>
    <x v="1"/>
    <x v="0"/>
    <x v="0"/>
    <x v="594"/>
    <x v="6461"/>
  </r>
  <r>
    <x v="2"/>
    <n v="1810"/>
    <x v="2118"/>
    <x v="5"/>
    <s v="CM"/>
    <s v="N"/>
    <x v="1351"/>
    <x v="5"/>
    <x v="958"/>
    <m/>
    <x v="311"/>
    <m/>
    <x v="61"/>
    <x v="0"/>
    <x v="633"/>
    <d v="2013-05-12T00:00:00"/>
    <x v="6"/>
    <x v="1"/>
    <s v="Competencia Videoclip Animado"/>
    <m/>
    <x v="0"/>
    <x v="0"/>
    <m/>
    <x v="0"/>
    <x v="15"/>
    <x v="2142"/>
    <x v="61"/>
    <x v="0"/>
    <x v="0"/>
    <x v="633"/>
    <x v="6462"/>
  </r>
  <r>
    <x v="2"/>
    <n v="1257"/>
    <x v="1603"/>
    <x v="0"/>
    <s v="LM"/>
    <s v="S"/>
    <x v="20"/>
    <x v="0"/>
    <x v="846"/>
    <m/>
    <x v="417"/>
    <m/>
    <x v="11"/>
    <x v="0"/>
    <x v="535"/>
    <d v="2013-08-03T00:00:00"/>
    <x v="25"/>
    <x v="0"/>
    <m/>
    <s v="Focus Portugal: Manoel de Oliveira"/>
    <x v="0"/>
    <x v="0"/>
    <m/>
    <x v="0"/>
    <x v="5"/>
    <x v="1615"/>
    <x v="11"/>
    <x v="0"/>
    <x v="0"/>
    <x v="535"/>
    <x v="6463"/>
  </r>
  <r>
    <x v="2"/>
    <n v="1259"/>
    <x v="867"/>
    <x v="1"/>
    <s v="CM"/>
    <s v="S"/>
    <x v="586"/>
    <x v="3"/>
    <x v="432"/>
    <m/>
    <x v="39"/>
    <m/>
    <x v="3"/>
    <x v="0"/>
    <x v="582"/>
    <d v="2013-04-20T00:00:00"/>
    <x v="5"/>
    <x v="1"/>
    <s v="Competição Nacional - Sessão 3"/>
    <m/>
    <x v="0"/>
    <x v="0"/>
    <m/>
    <x v="0"/>
    <x v="2"/>
    <x v="870"/>
    <x v="3"/>
    <x v="0"/>
    <x v="1"/>
    <x v="582"/>
    <x v="6464"/>
  </r>
  <r>
    <x v="2"/>
    <n v="1259"/>
    <x v="867"/>
    <x v="1"/>
    <s v="CM"/>
    <s v="S"/>
    <x v="586"/>
    <x v="3"/>
    <x v="882"/>
    <m/>
    <x v="14"/>
    <m/>
    <x v="3"/>
    <x v="0"/>
    <x v="544"/>
    <d v="2013-11-03T00:00:00"/>
    <x v="13"/>
    <x v="0"/>
    <m/>
    <m/>
    <x v="0"/>
    <x v="3"/>
    <m/>
    <x v="0"/>
    <x v="2"/>
    <x v="870"/>
    <x v="3"/>
    <x v="0"/>
    <x v="1"/>
    <x v="544"/>
    <x v="6465"/>
  </r>
  <r>
    <x v="2"/>
    <n v="1687"/>
    <x v="1604"/>
    <x v="0"/>
    <s v="CM"/>
    <s v="N"/>
    <x v="1051"/>
    <x v="2"/>
    <x v="62"/>
    <m/>
    <x v="23"/>
    <m/>
    <x v="3"/>
    <x v="0"/>
    <x v="503"/>
    <d v="2013-03-10T00:00:00"/>
    <x v="19"/>
    <x v="1"/>
    <s v="Prémio de Cinema Português - Escolas de Cinema"/>
    <m/>
    <x v="0"/>
    <x v="0"/>
    <s v="Universidade Lusófona - Lisboa"/>
    <x v="0"/>
    <x v="0"/>
    <x v="1616"/>
    <x v="3"/>
    <x v="0"/>
    <x v="1"/>
    <x v="503"/>
    <x v="6466"/>
  </r>
  <r>
    <x v="2"/>
    <n v="1827"/>
    <x v="2119"/>
    <x v="3"/>
    <s v="CM"/>
    <s v="N"/>
    <x v="1352"/>
    <x v="2"/>
    <x v="1043"/>
    <m/>
    <x v="24"/>
    <m/>
    <x v="3"/>
    <x v="0"/>
    <x v="532"/>
    <m/>
    <x v="6"/>
    <x v="1"/>
    <m/>
    <m/>
    <x v="0"/>
    <x v="1"/>
    <m/>
    <x v="0"/>
    <x v="6"/>
    <x v="2143"/>
    <x v="3"/>
    <x v="0"/>
    <x v="1"/>
    <x v="532"/>
    <x v="6467"/>
  </r>
  <r>
    <x v="2"/>
    <n v="2201"/>
    <x v="2120"/>
    <x v="4"/>
    <s v="CM"/>
    <s v="N"/>
    <x v="1216"/>
    <x v="3"/>
    <x v="877"/>
    <m/>
    <x v="15"/>
    <m/>
    <x v="3"/>
    <x v="0"/>
    <x v="577"/>
    <m/>
    <x v="12"/>
    <x v="0"/>
    <m/>
    <s v="Curta convidada"/>
    <x v="0"/>
    <x v="1"/>
    <m/>
    <x v="0"/>
    <x v="8"/>
    <x v="2144"/>
    <x v="3"/>
    <x v="0"/>
    <x v="1"/>
    <x v="577"/>
    <x v="6468"/>
  </r>
  <r>
    <x v="2"/>
    <n v="2179"/>
    <x v="2121"/>
    <x v="1"/>
    <s v="CM"/>
    <s v="N"/>
    <x v="1353"/>
    <x v="66"/>
    <x v="25"/>
    <m/>
    <x v="24"/>
    <m/>
    <x v="3"/>
    <x v="0"/>
    <x v="553"/>
    <d v="2013-11-03T00:00:00"/>
    <x v="0"/>
    <x v="1"/>
    <s v="Competição Portuguesa - Curtas"/>
    <m/>
    <x v="0"/>
    <x v="0"/>
    <m/>
    <x v="0"/>
    <x v="2"/>
    <x v="2145"/>
    <x v="3"/>
    <x v="0"/>
    <x v="1"/>
    <x v="553"/>
    <x v="6469"/>
  </r>
  <r>
    <x v="2"/>
    <n v="2143"/>
    <x v="2122"/>
    <x v="3"/>
    <s v="CM"/>
    <s v="N"/>
    <x v="1210"/>
    <x v="52"/>
    <x v="877"/>
    <m/>
    <x v="15"/>
    <m/>
    <x v="3"/>
    <x v="0"/>
    <x v="577"/>
    <m/>
    <x v="12"/>
    <x v="1"/>
    <m/>
    <m/>
    <x v="0"/>
    <x v="1"/>
    <m/>
    <x v="0"/>
    <x v="6"/>
    <x v="2146"/>
    <x v="3"/>
    <x v="0"/>
    <x v="1"/>
    <x v="577"/>
    <x v="6470"/>
  </r>
  <r>
    <x v="2"/>
    <n v="2044"/>
    <x v="2123"/>
    <x v="3"/>
    <s v="CM"/>
    <s v="N"/>
    <x v="1354"/>
    <x v="41"/>
    <x v="826"/>
    <m/>
    <x v="24"/>
    <m/>
    <x v="3"/>
    <x v="0"/>
    <x v="505"/>
    <d v="2013-09-29T00:00:00"/>
    <x v="9"/>
    <x v="1"/>
    <m/>
    <m/>
    <x v="604"/>
    <x v="0"/>
    <m/>
    <x v="1"/>
    <x v="6"/>
    <x v="2147"/>
    <x v="3"/>
    <x v="739"/>
    <x v="1"/>
    <x v="505"/>
    <x v="6471"/>
  </r>
  <r>
    <x v="2"/>
    <n v="2156"/>
    <x v="2124"/>
    <x v="1"/>
    <s v="CM"/>
    <s v="N"/>
    <x v="1355"/>
    <x v="5"/>
    <x v="894"/>
    <m/>
    <x v="340"/>
    <m/>
    <x v="3"/>
    <x v="0"/>
    <x v="596"/>
    <d v="2013-03-24T00:00:00"/>
    <x v="2"/>
    <x v="0"/>
    <m/>
    <m/>
    <x v="0"/>
    <x v="1"/>
    <m/>
    <x v="0"/>
    <x v="2"/>
    <x v="2148"/>
    <x v="3"/>
    <x v="0"/>
    <x v="1"/>
    <x v="596"/>
    <x v="6472"/>
  </r>
  <r>
    <x v="2"/>
    <n v="2171"/>
    <x v="2125"/>
    <x v="0"/>
    <s v="CM"/>
    <s v="N"/>
    <x v="126"/>
    <x v="52"/>
    <x v="70"/>
    <m/>
    <x v="38"/>
    <m/>
    <x v="3"/>
    <x v="0"/>
    <x v="510"/>
    <d v="2013-09-15T00:00:00"/>
    <x v="9"/>
    <x v="1"/>
    <s v="Sessão Competitiva 2"/>
    <m/>
    <x v="0"/>
    <x v="0"/>
    <m/>
    <x v="0"/>
    <x v="0"/>
    <x v="2149"/>
    <x v="3"/>
    <x v="0"/>
    <x v="1"/>
    <x v="510"/>
    <x v="6473"/>
  </r>
  <r>
    <x v="2"/>
    <n v="1266"/>
    <x v="1607"/>
    <x v="0"/>
    <s v="CM"/>
    <s v="N"/>
    <x v="384"/>
    <x v="41"/>
    <x v="192"/>
    <m/>
    <x v="140"/>
    <m/>
    <x v="3"/>
    <x v="0"/>
    <x v="334"/>
    <d v="2013-07-28T00:00:00"/>
    <x v="8"/>
    <x v="0"/>
    <m/>
    <s v="Premiados AVANCA 2012"/>
    <x v="0"/>
    <x v="0"/>
    <m/>
    <x v="0"/>
    <x v="0"/>
    <x v="1619"/>
    <x v="3"/>
    <x v="0"/>
    <x v="1"/>
    <x v="334"/>
    <x v="6474"/>
  </r>
  <r>
    <x v="2"/>
    <n v="1266"/>
    <x v="1607"/>
    <x v="0"/>
    <s v="CM"/>
    <s v="N"/>
    <x v="384"/>
    <x v="41"/>
    <x v="842"/>
    <m/>
    <x v="279"/>
    <m/>
    <x v="3"/>
    <x v="0"/>
    <x v="527"/>
    <d v="2013-09-29T00:00:00"/>
    <x v="9"/>
    <x v="1"/>
    <m/>
    <m/>
    <x v="0"/>
    <x v="0"/>
    <m/>
    <x v="0"/>
    <x v="0"/>
    <x v="1619"/>
    <x v="3"/>
    <x v="0"/>
    <x v="1"/>
    <x v="527"/>
    <x v="6475"/>
  </r>
  <r>
    <x v="2"/>
    <n v="1266"/>
    <x v="1607"/>
    <x v="0"/>
    <s v="CM"/>
    <s v="N"/>
    <x v="384"/>
    <x v="41"/>
    <x v="830"/>
    <m/>
    <x v="412"/>
    <m/>
    <x v="0"/>
    <x v="0"/>
    <x v="509"/>
    <d v="2013-11-30T00:00:00"/>
    <x v="13"/>
    <x v="1"/>
    <s v="Mostra Internacional"/>
    <m/>
    <x v="0"/>
    <x v="0"/>
    <m/>
    <x v="0"/>
    <x v="0"/>
    <x v="1619"/>
    <x v="0"/>
    <x v="0"/>
    <x v="0"/>
    <x v="509"/>
    <x v="6476"/>
  </r>
  <r>
    <x v="2"/>
    <n v="1267"/>
    <x v="872"/>
    <x v="0"/>
    <s v="LM"/>
    <s v="S"/>
    <x v="10"/>
    <x v="40"/>
    <x v="521"/>
    <m/>
    <x v="65"/>
    <m/>
    <x v="9"/>
    <x v="0"/>
    <x v="709"/>
    <d v="2013-01-13T00:00:00"/>
    <x v="15"/>
    <x v="0"/>
    <m/>
    <m/>
    <x v="0"/>
    <x v="1"/>
    <m/>
    <x v="0"/>
    <x v="5"/>
    <x v="875"/>
    <x v="9"/>
    <x v="0"/>
    <x v="0"/>
    <x v="709"/>
    <x v="6477"/>
  </r>
  <r>
    <x v="2"/>
    <n v="1938"/>
    <x v="2126"/>
    <x v="0"/>
    <s v="CM"/>
    <s v="N"/>
    <x v="1356"/>
    <x v="41"/>
    <x v="193"/>
    <m/>
    <x v="17"/>
    <m/>
    <x v="2"/>
    <x v="0"/>
    <x v="670"/>
    <d v="2013-03-31T00:00:00"/>
    <x v="2"/>
    <x v="1"/>
    <s v="Court Métrage Dramatique Européen"/>
    <m/>
    <x v="0"/>
    <x v="0"/>
    <m/>
    <x v="0"/>
    <x v="0"/>
    <x v="2150"/>
    <x v="2"/>
    <x v="0"/>
    <x v="0"/>
    <x v="670"/>
    <x v="6478"/>
  </r>
  <r>
    <x v="2"/>
    <n v="1938"/>
    <x v="2126"/>
    <x v="0"/>
    <s v="CM"/>
    <s v="N"/>
    <x v="1356"/>
    <x v="41"/>
    <x v="669"/>
    <m/>
    <x v="190"/>
    <m/>
    <x v="0"/>
    <x v="0"/>
    <x v="538"/>
    <d v="2013-06-14T00:00:00"/>
    <x v="7"/>
    <x v="0"/>
    <s v="Competição Internacional de Curta Metragem"/>
    <m/>
    <x v="0"/>
    <x v="0"/>
    <m/>
    <x v="0"/>
    <x v="0"/>
    <x v="2150"/>
    <x v="0"/>
    <x v="0"/>
    <x v="0"/>
    <x v="538"/>
    <x v="6479"/>
  </r>
  <r>
    <x v="2"/>
    <n v="1773"/>
    <x v="2127"/>
    <x v="2"/>
    <s v="CM"/>
    <s v="N"/>
    <x v="153"/>
    <x v="41"/>
    <x v="935"/>
    <m/>
    <x v="23"/>
    <m/>
    <x v="3"/>
    <x v="0"/>
    <x v="633"/>
    <m/>
    <x v="6"/>
    <x v="1"/>
    <m/>
    <m/>
    <x v="0"/>
    <x v="1"/>
    <m/>
    <x v="0"/>
    <x v="4"/>
    <x v="2151"/>
    <x v="3"/>
    <x v="0"/>
    <x v="1"/>
    <x v="633"/>
    <x v="6480"/>
  </r>
  <r>
    <x v="2"/>
    <n v="1898"/>
    <x v="2128"/>
    <x v="3"/>
    <s v="CM"/>
    <s v="N"/>
    <x v="594"/>
    <x v="52"/>
    <x v="68"/>
    <m/>
    <x v="53"/>
    <m/>
    <x v="3"/>
    <x v="0"/>
    <x v="573"/>
    <d v="2013-07-14T00:00:00"/>
    <x v="8"/>
    <x v="1"/>
    <s v="Competição Experimental"/>
    <m/>
    <x v="0"/>
    <x v="0"/>
    <m/>
    <x v="0"/>
    <x v="6"/>
    <x v="2152"/>
    <x v="3"/>
    <x v="0"/>
    <x v="1"/>
    <x v="573"/>
    <x v="6481"/>
  </r>
  <r>
    <x v="2"/>
    <n v="1736"/>
    <x v="2129"/>
    <x v="2"/>
    <s v="CM"/>
    <s v="S"/>
    <x v="1357"/>
    <x v="10"/>
    <x v="26"/>
    <m/>
    <x v="24"/>
    <m/>
    <x v="3"/>
    <x v="0"/>
    <x v="571"/>
    <d v="2013-03-17T00:00:00"/>
    <x v="2"/>
    <x v="0"/>
    <m/>
    <s v="Monstrinha - 7 aos 12"/>
    <x v="0"/>
    <x v="0"/>
    <m/>
    <x v="0"/>
    <x v="4"/>
    <x v="2153"/>
    <x v="3"/>
    <x v="0"/>
    <x v="1"/>
    <x v="571"/>
    <x v="6482"/>
  </r>
  <r>
    <x v="2"/>
    <n v="1829"/>
    <x v="2130"/>
    <x v="0"/>
    <s v="CM"/>
    <s v="N"/>
    <x v="1358"/>
    <x v="52"/>
    <x v="67"/>
    <m/>
    <x v="23"/>
    <m/>
    <x v="3"/>
    <x v="0"/>
    <x v="526"/>
    <d v="2013-06-16T00:00:00"/>
    <x v="7"/>
    <x v="1"/>
    <s v="Ficção Nacional"/>
    <m/>
    <x v="0"/>
    <x v="0"/>
    <m/>
    <x v="0"/>
    <x v="0"/>
    <x v="2154"/>
    <x v="3"/>
    <x v="0"/>
    <x v="1"/>
    <x v="526"/>
    <x v="6483"/>
  </r>
  <r>
    <x v="2"/>
    <n v="1829"/>
    <x v="2130"/>
    <x v="0"/>
    <s v="CM"/>
    <s v="N"/>
    <x v="1358"/>
    <x v="52"/>
    <x v="316"/>
    <m/>
    <x v="11"/>
    <m/>
    <x v="3"/>
    <x v="0"/>
    <x v="500"/>
    <d v="2013-08-31T00:00:00"/>
    <x v="16"/>
    <x v="1"/>
    <s v="Ficção"/>
    <m/>
    <x v="0"/>
    <x v="0"/>
    <m/>
    <x v="0"/>
    <x v="0"/>
    <x v="2154"/>
    <x v="3"/>
    <x v="0"/>
    <x v="1"/>
    <x v="500"/>
    <x v="6484"/>
  </r>
  <r>
    <x v="2"/>
    <n v="1829"/>
    <x v="2130"/>
    <x v="0"/>
    <s v="CM"/>
    <s v="N"/>
    <x v="1358"/>
    <x v="52"/>
    <x v="976"/>
    <m/>
    <x v="442"/>
    <m/>
    <x v="3"/>
    <x v="0"/>
    <x v="667"/>
    <d v="2013-09-21T00:00:00"/>
    <x v="9"/>
    <x v="1"/>
    <s v="Curtas da Casa"/>
    <m/>
    <x v="605"/>
    <x v="0"/>
    <m/>
    <x v="1"/>
    <x v="0"/>
    <x v="2154"/>
    <x v="3"/>
    <x v="740"/>
    <x v="1"/>
    <x v="667"/>
    <x v="6485"/>
  </r>
  <r>
    <x v="2"/>
    <n v="1829"/>
    <x v="2130"/>
    <x v="0"/>
    <s v="CM"/>
    <s v="N"/>
    <x v="1358"/>
    <x v="52"/>
    <x v="826"/>
    <m/>
    <x v="24"/>
    <m/>
    <x v="3"/>
    <x v="0"/>
    <x v="505"/>
    <d v="2013-09-29T00:00:00"/>
    <x v="9"/>
    <x v="1"/>
    <m/>
    <m/>
    <x v="0"/>
    <x v="0"/>
    <m/>
    <x v="0"/>
    <x v="0"/>
    <x v="2154"/>
    <x v="3"/>
    <x v="0"/>
    <x v="1"/>
    <x v="505"/>
    <x v="6486"/>
  </r>
  <r>
    <x v="2"/>
    <n v="1829"/>
    <x v="2130"/>
    <x v="0"/>
    <s v="CM"/>
    <s v="N"/>
    <x v="1358"/>
    <x v="52"/>
    <x v="834"/>
    <m/>
    <x v="20"/>
    <m/>
    <x v="5"/>
    <x v="0"/>
    <x v="513"/>
    <d v="2013-11-17T00:00:00"/>
    <x v="13"/>
    <x v="0"/>
    <m/>
    <s v="Delikatessen: Transitions - Experimental Shorts"/>
    <x v="0"/>
    <x v="0"/>
    <m/>
    <x v="0"/>
    <x v="0"/>
    <x v="2154"/>
    <x v="5"/>
    <x v="0"/>
    <x v="0"/>
    <x v="513"/>
    <x v="6487"/>
  </r>
  <r>
    <x v="2"/>
    <n v="1829"/>
    <x v="2130"/>
    <x v="0"/>
    <s v="CM"/>
    <s v="N"/>
    <x v="1358"/>
    <x v="52"/>
    <x v="876"/>
    <m/>
    <x v="23"/>
    <m/>
    <x v="3"/>
    <x v="0"/>
    <x v="576"/>
    <m/>
    <x v="12"/>
    <x v="1"/>
    <m/>
    <m/>
    <x v="0"/>
    <x v="1"/>
    <m/>
    <x v="0"/>
    <x v="0"/>
    <x v="2154"/>
    <x v="3"/>
    <x v="0"/>
    <x v="1"/>
    <x v="576"/>
    <x v="6488"/>
  </r>
  <r>
    <x v="2"/>
    <n v="1278"/>
    <x v="1612"/>
    <x v="0"/>
    <s v="CM"/>
    <s v="N"/>
    <x v="146"/>
    <x v="41"/>
    <x v="521"/>
    <m/>
    <x v="65"/>
    <m/>
    <x v="9"/>
    <x v="0"/>
    <x v="709"/>
    <d v="2013-01-13T00:00:00"/>
    <x v="15"/>
    <x v="0"/>
    <m/>
    <m/>
    <x v="0"/>
    <x v="1"/>
    <m/>
    <x v="0"/>
    <x v="0"/>
    <x v="1624"/>
    <x v="9"/>
    <x v="0"/>
    <x v="0"/>
    <x v="709"/>
    <x v="6489"/>
  </r>
  <r>
    <x v="2"/>
    <n v="1278"/>
    <x v="1612"/>
    <x v="0"/>
    <s v="CM"/>
    <s v="N"/>
    <x v="146"/>
    <x v="41"/>
    <x v="90"/>
    <m/>
    <x v="69"/>
    <m/>
    <x v="8"/>
    <x v="0"/>
    <x v="602"/>
    <d v="2013-02-03T00:00:00"/>
    <x v="18"/>
    <x v="0"/>
    <m/>
    <s v="Spectrum Shorts - Guimarães: Rocking the Cradle"/>
    <x v="0"/>
    <x v="0"/>
    <m/>
    <x v="0"/>
    <x v="0"/>
    <x v="1624"/>
    <x v="8"/>
    <x v="0"/>
    <x v="0"/>
    <x v="602"/>
    <x v="6490"/>
  </r>
  <r>
    <x v="2"/>
    <n v="1278"/>
    <x v="1612"/>
    <x v="0"/>
    <s v="CM"/>
    <s v="N"/>
    <x v="146"/>
    <x v="41"/>
    <x v="382"/>
    <m/>
    <x v="249"/>
    <m/>
    <x v="60"/>
    <x v="0"/>
    <x v="601"/>
    <d v="2013-07-28T00:00:00"/>
    <x v="8"/>
    <x v="1"/>
    <s v="Ficción4"/>
    <m/>
    <x v="0"/>
    <x v="0"/>
    <m/>
    <x v="0"/>
    <x v="0"/>
    <x v="1624"/>
    <x v="60"/>
    <x v="0"/>
    <x v="0"/>
    <x v="601"/>
    <x v="6491"/>
  </r>
  <r>
    <x v="2"/>
    <n v="1278"/>
    <x v="1612"/>
    <x v="0"/>
    <s v="CM"/>
    <s v="N"/>
    <x v="146"/>
    <x v="41"/>
    <x v="179"/>
    <m/>
    <x v="133"/>
    <m/>
    <x v="0"/>
    <x v="0"/>
    <x v="501"/>
    <d v="2013-10-31T00:00:00"/>
    <x v="14"/>
    <x v="0"/>
    <m/>
    <s v="Guimarães Transversal"/>
    <x v="0"/>
    <x v="0"/>
    <m/>
    <x v="0"/>
    <x v="0"/>
    <x v="1624"/>
    <x v="0"/>
    <x v="0"/>
    <x v="0"/>
    <x v="501"/>
    <x v="6492"/>
  </r>
  <r>
    <x v="3"/>
    <n v="2"/>
    <x v="1"/>
    <x v="1"/>
    <s v="LM"/>
    <s v="S"/>
    <x v="1"/>
    <x v="1"/>
    <x v="1025"/>
    <m/>
    <x v="24"/>
    <m/>
    <x v="3"/>
    <x v="0"/>
    <x v="731"/>
    <d v="2014-01-12T00:00:00"/>
    <x v="15"/>
    <x v="0"/>
    <m/>
    <s v="III - Memory believes before knowing remembers"/>
    <x v="0"/>
    <x v="1"/>
    <s v="Susana de Sousa Dias, Soon -My Yoo e Patricio Guzmán"/>
    <x v="0"/>
    <x v="1"/>
    <x v="1"/>
    <x v="3"/>
    <x v="0"/>
    <x v="1"/>
    <x v="731"/>
    <x v="6493"/>
  </r>
  <r>
    <x v="3"/>
    <n v="1828"/>
    <x v="1621"/>
    <x v="0"/>
    <s v="LM"/>
    <s v="N"/>
    <x v="1063"/>
    <x v="52"/>
    <x v="355"/>
    <m/>
    <x v="238"/>
    <m/>
    <x v="63"/>
    <x v="0"/>
    <x v="732"/>
    <d v="2014-02-03T00:00:00"/>
    <x v="18"/>
    <x v="0"/>
    <m/>
    <s v="Visionärer"/>
    <x v="0"/>
    <x v="0"/>
    <m/>
    <x v="0"/>
    <x v="5"/>
    <x v="1633"/>
    <x v="63"/>
    <x v="0"/>
    <x v="0"/>
    <x v="732"/>
    <x v="6494"/>
  </r>
  <r>
    <x v="3"/>
    <n v="58"/>
    <x v="32"/>
    <x v="0"/>
    <s v="CM"/>
    <s v="N"/>
    <x v="32"/>
    <x v="2"/>
    <x v="1094"/>
    <m/>
    <x v="15"/>
    <m/>
    <x v="3"/>
    <x v="0"/>
    <x v="733"/>
    <m/>
    <x v="1"/>
    <x v="0"/>
    <m/>
    <s v="Curta-Metragem Convidada"/>
    <x v="0"/>
    <x v="1"/>
    <m/>
    <x v="0"/>
    <x v="0"/>
    <x v="32"/>
    <x v="3"/>
    <x v="0"/>
    <x v="1"/>
    <x v="733"/>
    <x v="6495"/>
  </r>
  <r>
    <x v="3"/>
    <n v="2019"/>
    <x v="1649"/>
    <x v="1"/>
    <s v="LM"/>
    <s v="N"/>
    <x v="259"/>
    <x v="52"/>
    <x v="105"/>
    <m/>
    <x v="81"/>
    <m/>
    <x v="2"/>
    <x v="0"/>
    <x v="734"/>
    <d v="2014-03-30T00:00:00"/>
    <x v="37"/>
    <x v="0"/>
    <m/>
    <m/>
    <x v="0"/>
    <x v="0"/>
    <m/>
    <x v="0"/>
    <x v="1"/>
    <x v="1662"/>
    <x v="2"/>
    <x v="0"/>
    <x v="0"/>
    <x v="734"/>
    <x v="6496"/>
  </r>
  <r>
    <x v="3"/>
    <n v="2019"/>
    <x v="1649"/>
    <x v="1"/>
    <s v="LM"/>
    <s v="N"/>
    <x v="259"/>
    <x v="52"/>
    <x v="90"/>
    <m/>
    <x v="69"/>
    <m/>
    <x v="8"/>
    <x v="0"/>
    <x v="735"/>
    <d v="2014-02-02T00:00:00"/>
    <x v="18"/>
    <x v="0"/>
    <m/>
    <s v="The Stare of Europe - My Own Private Europe"/>
    <x v="0"/>
    <x v="0"/>
    <m/>
    <x v="0"/>
    <x v="1"/>
    <x v="1662"/>
    <x v="8"/>
    <x v="0"/>
    <x v="0"/>
    <x v="735"/>
    <x v="6497"/>
  </r>
  <r>
    <x v="3"/>
    <n v="2019"/>
    <x v="1649"/>
    <x v="1"/>
    <s v="LM"/>
    <s v="N"/>
    <x v="259"/>
    <x v="52"/>
    <x v="1095"/>
    <m/>
    <x v="65"/>
    <m/>
    <x v="9"/>
    <x v="0"/>
    <x v="736"/>
    <d v="2014-02-28T00:00:00"/>
    <x v="1"/>
    <x v="0"/>
    <m/>
    <m/>
    <x v="0"/>
    <x v="1"/>
    <m/>
    <x v="0"/>
    <x v="1"/>
    <x v="1662"/>
    <x v="9"/>
    <x v="0"/>
    <x v="0"/>
    <x v="736"/>
    <x v="6498"/>
  </r>
  <r>
    <x v="3"/>
    <n v="1665"/>
    <x v="86"/>
    <x v="2"/>
    <s v="CM"/>
    <s v="N"/>
    <x v="1089"/>
    <x v="41"/>
    <x v="1096"/>
    <m/>
    <x v="24"/>
    <m/>
    <x v="3"/>
    <x v="0"/>
    <x v="737"/>
    <m/>
    <x v="15"/>
    <x v="1"/>
    <m/>
    <m/>
    <x v="0"/>
    <x v="1"/>
    <m/>
    <x v="0"/>
    <x v="4"/>
    <x v="1677"/>
    <x v="3"/>
    <x v="0"/>
    <x v="1"/>
    <x v="737"/>
    <x v="6499"/>
  </r>
  <r>
    <x v="3"/>
    <n v="2186"/>
    <x v="1663"/>
    <x v="1"/>
    <s v="CM"/>
    <s v="N"/>
    <x v="1090"/>
    <x v="52"/>
    <x v="1097"/>
    <m/>
    <x v="24"/>
    <m/>
    <x v="3"/>
    <x v="0"/>
    <x v="738"/>
    <m/>
    <x v="15"/>
    <x v="0"/>
    <m/>
    <s v="Curta Convidada"/>
    <x v="0"/>
    <x v="1"/>
    <m/>
    <x v="0"/>
    <x v="2"/>
    <x v="1678"/>
    <x v="3"/>
    <x v="0"/>
    <x v="1"/>
    <x v="738"/>
    <x v="6500"/>
  </r>
  <r>
    <x v="3"/>
    <n v="2039"/>
    <x v="1664"/>
    <x v="0"/>
    <s v="LM"/>
    <s v="N"/>
    <x v="1035"/>
    <x v="52"/>
    <x v="90"/>
    <m/>
    <x v="69"/>
    <m/>
    <x v="8"/>
    <x v="0"/>
    <x v="735"/>
    <d v="2014-02-02T00:00:00"/>
    <x v="18"/>
    <x v="0"/>
    <m/>
    <s v="Spectrum "/>
    <x v="0"/>
    <x v="0"/>
    <m/>
    <x v="0"/>
    <x v="5"/>
    <x v="1679"/>
    <x v="8"/>
    <x v="0"/>
    <x v="0"/>
    <x v="735"/>
    <x v="6501"/>
  </r>
  <r>
    <x v="3"/>
    <n v="162"/>
    <x v="109"/>
    <x v="0"/>
    <s v="CM"/>
    <s v="S"/>
    <x v="97"/>
    <x v="5"/>
    <x v="31"/>
    <m/>
    <x v="29"/>
    <m/>
    <x v="2"/>
    <x v="0"/>
    <x v="739"/>
    <d v="2014-03-22T00:00:00"/>
    <x v="2"/>
    <x v="0"/>
    <m/>
    <s v="La Nuit du Court"/>
    <x v="0"/>
    <x v="0"/>
    <m/>
    <x v="0"/>
    <x v="0"/>
    <x v="110"/>
    <x v="2"/>
    <x v="0"/>
    <x v="0"/>
    <x v="739"/>
    <x v="6502"/>
  </r>
  <r>
    <x v="3"/>
    <n v="1884"/>
    <x v="1688"/>
    <x v="0"/>
    <s v="CM"/>
    <s v="N"/>
    <x v="482"/>
    <x v="41"/>
    <x v="885"/>
    <m/>
    <x v="419"/>
    <m/>
    <x v="34"/>
    <x v="0"/>
    <x v="740"/>
    <d v="2014-01-26T00:00:00"/>
    <x v="15"/>
    <x v="0"/>
    <m/>
    <s v="Nouvelles Cinématographiques"/>
    <x v="0"/>
    <x v="0"/>
    <m/>
    <x v="0"/>
    <x v="0"/>
    <x v="1704"/>
    <x v="34"/>
    <x v="0"/>
    <x v="0"/>
    <x v="740"/>
    <x v="6503"/>
  </r>
  <r>
    <x v="3"/>
    <n v="2160"/>
    <x v="2131"/>
    <x v="0"/>
    <s v="CM"/>
    <s v="N"/>
    <x v="251"/>
    <x v="52"/>
    <x v="375"/>
    <m/>
    <x v="20"/>
    <m/>
    <x v="5"/>
    <x v="0"/>
    <x v="741"/>
    <d v="2014-02-16T00:00:00"/>
    <x v="1"/>
    <x v="1"/>
    <s v="Berlinale Shorts "/>
    <m/>
    <x v="0"/>
    <x v="0"/>
    <m/>
    <x v="0"/>
    <x v="0"/>
    <x v="2155"/>
    <x v="5"/>
    <x v="0"/>
    <x v="0"/>
    <x v="741"/>
    <x v="6504"/>
  </r>
  <r>
    <x v="3"/>
    <n v="1800"/>
    <x v="1709"/>
    <x v="0"/>
    <s v="LM"/>
    <s v="N"/>
    <x v="427"/>
    <x v="41"/>
    <x v="90"/>
    <m/>
    <x v="69"/>
    <m/>
    <x v="8"/>
    <x v="0"/>
    <x v="735"/>
    <d v="2014-02-02T00:00:00"/>
    <x v="18"/>
    <x v="0"/>
    <m/>
    <s v="The State of Europe - EU-29"/>
    <x v="0"/>
    <x v="0"/>
    <m/>
    <x v="0"/>
    <x v="5"/>
    <x v="1725"/>
    <x v="8"/>
    <x v="0"/>
    <x v="0"/>
    <x v="735"/>
    <x v="6505"/>
  </r>
  <r>
    <x v="3"/>
    <n v="255"/>
    <x v="178"/>
    <x v="2"/>
    <s v="CM"/>
    <s v="N"/>
    <x v="153"/>
    <x v="5"/>
    <x v="1098"/>
    <m/>
    <x v="15"/>
    <m/>
    <x v="3"/>
    <x v="0"/>
    <x v="732"/>
    <m/>
    <x v="15"/>
    <x v="0"/>
    <m/>
    <s v="Convidado Especial: João Alves"/>
    <x v="0"/>
    <x v="1"/>
    <m/>
    <x v="0"/>
    <x v="4"/>
    <x v="180"/>
    <x v="3"/>
    <x v="0"/>
    <x v="1"/>
    <x v="732"/>
    <x v="6506"/>
  </r>
  <r>
    <x v="3"/>
    <n v="1840"/>
    <x v="1031"/>
    <x v="0"/>
    <s v="CM"/>
    <s v="N"/>
    <x v="32"/>
    <x v="41"/>
    <x v="1094"/>
    <m/>
    <x v="15"/>
    <m/>
    <x v="3"/>
    <x v="0"/>
    <x v="733"/>
    <m/>
    <x v="1"/>
    <x v="1"/>
    <m/>
    <m/>
    <x v="0"/>
    <x v="1"/>
    <m/>
    <x v="0"/>
    <x v="0"/>
    <x v="1743"/>
    <x v="3"/>
    <x v="0"/>
    <x v="1"/>
    <x v="733"/>
    <x v="6507"/>
  </r>
  <r>
    <x v="3"/>
    <n v="2158"/>
    <x v="1740"/>
    <x v="1"/>
    <s v="LM"/>
    <s v="N"/>
    <x v="235"/>
    <x v="52"/>
    <x v="162"/>
    <m/>
    <x v="124"/>
    <m/>
    <x v="3"/>
    <x v="0"/>
    <x v="735"/>
    <m/>
    <x v="15"/>
    <x v="0"/>
    <m/>
    <m/>
    <x v="0"/>
    <x v="1"/>
    <m/>
    <x v="0"/>
    <x v="1"/>
    <x v="1757"/>
    <x v="3"/>
    <x v="0"/>
    <x v="1"/>
    <x v="735"/>
    <x v="6508"/>
  </r>
  <r>
    <x v="3"/>
    <n v="2158"/>
    <x v="1740"/>
    <x v="1"/>
    <s v="LM"/>
    <s v="N"/>
    <x v="235"/>
    <x v="52"/>
    <x v="984"/>
    <m/>
    <x v="200"/>
    <m/>
    <x v="3"/>
    <x v="0"/>
    <x v="742"/>
    <m/>
    <x v="15"/>
    <x v="0"/>
    <m/>
    <m/>
    <x v="0"/>
    <x v="1"/>
    <m/>
    <x v="0"/>
    <x v="1"/>
    <x v="1757"/>
    <x v="3"/>
    <x v="0"/>
    <x v="1"/>
    <x v="742"/>
    <x v="6509"/>
  </r>
  <r>
    <x v="3"/>
    <n v="2175"/>
    <x v="1744"/>
    <x v="1"/>
    <s v="CM"/>
    <s v=""/>
    <x v="11"/>
    <x v="52"/>
    <x v="1096"/>
    <m/>
    <x v="24"/>
    <m/>
    <x v="3"/>
    <x v="0"/>
    <x v="737"/>
    <m/>
    <x v="15"/>
    <x v="0"/>
    <m/>
    <s v="Curta Convidada"/>
    <x v="0"/>
    <x v="1"/>
    <m/>
    <x v="0"/>
    <x v="2"/>
    <x v="1761"/>
    <x v="3"/>
    <x v="0"/>
    <x v="1"/>
    <x v="737"/>
    <x v="6510"/>
  </r>
  <r>
    <x v="3"/>
    <n v="2204"/>
    <x v="2132"/>
    <x v="0"/>
    <s v="CM"/>
    <s v="N"/>
    <x v="23"/>
    <x v="52"/>
    <x v="1099"/>
    <m/>
    <x v="24"/>
    <m/>
    <x v="3"/>
    <x v="0"/>
    <x v="743"/>
    <m/>
    <x v="1"/>
    <x v="1"/>
    <m/>
    <m/>
    <x v="0"/>
    <x v="1"/>
    <m/>
    <x v="0"/>
    <x v="0"/>
    <x v="2156"/>
    <x v="3"/>
    <x v="0"/>
    <x v="1"/>
    <x v="743"/>
    <x v="6511"/>
  </r>
  <r>
    <x v="3"/>
    <n v="1943"/>
    <x v="1793"/>
    <x v="1"/>
    <s v="LM"/>
    <s v="S"/>
    <x v="1171"/>
    <x v="52"/>
    <x v="205"/>
    <m/>
    <x v="147"/>
    <m/>
    <x v="1"/>
    <x v="0"/>
    <x v="744"/>
    <d v="2014-01-27T00:00:00"/>
    <x v="15"/>
    <x v="1"/>
    <s v="Documentales "/>
    <m/>
    <x v="606"/>
    <x v="0"/>
    <m/>
    <x v="1"/>
    <x v="1"/>
    <x v="1813"/>
    <x v="1"/>
    <x v="741"/>
    <x v="0"/>
    <x v="744"/>
    <x v="6512"/>
  </r>
  <r>
    <x v="3"/>
    <n v="1943"/>
    <x v="1793"/>
    <x v="1"/>
    <s v="LM"/>
    <s v="S"/>
    <x v="1171"/>
    <x v="52"/>
    <x v="90"/>
    <m/>
    <x v="69"/>
    <m/>
    <x v="8"/>
    <x v="0"/>
    <x v="735"/>
    <d v="2014-02-02T00:00:00"/>
    <x v="18"/>
    <x v="0"/>
    <m/>
    <s v="The Stae of Europe - My Own Private Europe"/>
    <x v="0"/>
    <x v="0"/>
    <m/>
    <x v="0"/>
    <x v="1"/>
    <x v="1813"/>
    <x v="8"/>
    <x v="0"/>
    <x v="0"/>
    <x v="735"/>
    <x v="6513"/>
  </r>
  <r>
    <x v="3"/>
    <n v="1943"/>
    <x v="1793"/>
    <x v="1"/>
    <s v="LM"/>
    <s v="S"/>
    <x v="1171"/>
    <x v="52"/>
    <x v="355"/>
    <m/>
    <x v="238"/>
    <m/>
    <x v="63"/>
    <x v="0"/>
    <x v="732"/>
    <d v="2014-02-03T00:00:00"/>
    <x v="18"/>
    <x v="0"/>
    <m/>
    <s v="HBTQ"/>
    <x v="0"/>
    <x v="0"/>
    <m/>
    <x v="0"/>
    <x v="1"/>
    <x v="1813"/>
    <x v="63"/>
    <x v="0"/>
    <x v="0"/>
    <x v="732"/>
    <x v="6514"/>
  </r>
  <r>
    <x v="3"/>
    <n v="1943"/>
    <x v="1793"/>
    <x v="1"/>
    <s v="LM"/>
    <s v="S"/>
    <x v="1171"/>
    <x v="52"/>
    <x v="1100"/>
    <m/>
    <x v="215"/>
    <m/>
    <x v="60"/>
    <x v="0"/>
    <x v="745"/>
    <d v="2014-03-09T00:00:00"/>
    <x v="19"/>
    <x v="0"/>
    <m/>
    <s v="Trazos"/>
    <x v="0"/>
    <x v="0"/>
    <m/>
    <x v="0"/>
    <x v="1"/>
    <x v="1813"/>
    <x v="60"/>
    <x v="0"/>
    <x v="0"/>
    <x v="745"/>
    <x v="6515"/>
  </r>
  <r>
    <x v="3"/>
    <n v="2005"/>
    <x v="1815"/>
    <x v="0"/>
    <s v="CM"/>
    <s v="N"/>
    <x v="1184"/>
    <x v="52"/>
    <x v="375"/>
    <m/>
    <x v="20"/>
    <m/>
    <x v="5"/>
    <x v="0"/>
    <x v="741"/>
    <d v="2014-02-16T00:00:00"/>
    <x v="1"/>
    <x v="1"/>
    <s v="Berlinale Shorts "/>
    <m/>
    <x v="0"/>
    <x v="0"/>
    <m/>
    <x v="0"/>
    <x v="0"/>
    <x v="1836"/>
    <x v="5"/>
    <x v="0"/>
    <x v="0"/>
    <x v="741"/>
    <x v="6516"/>
  </r>
  <r>
    <x v="3"/>
    <n v="1359"/>
    <x v="1184"/>
    <x v="0"/>
    <s v="LM"/>
    <s v="S"/>
    <x v="184"/>
    <x v="3"/>
    <x v="1101"/>
    <m/>
    <x v="206"/>
    <m/>
    <x v="3"/>
    <x v="0"/>
    <x v="733"/>
    <m/>
    <x v="1"/>
    <x v="0"/>
    <m/>
    <m/>
    <x v="0"/>
    <x v="1"/>
    <m/>
    <x v="0"/>
    <x v="5"/>
    <x v="1189"/>
    <x v="3"/>
    <x v="0"/>
    <x v="1"/>
    <x v="733"/>
    <x v="6517"/>
  </r>
  <r>
    <x v="3"/>
    <n v="1797"/>
    <x v="1827"/>
    <x v="5"/>
    <s v="CM"/>
    <s v="N"/>
    <x v="388"/>
    <x v="41"/>
    <x v="1102"/>
    <m/>
    <x v="65"/>
    <m/>
    <x v="9"/>
    <x v="0"/>
    <x v="738"/>
    <m/>
    <x v="15"/>
    <x v="1"/>
    <s v="Music Video"/>
    <m/>
    <x v="0"/>
    <x v="0"/>
    <m/>
    <x v="0"/>
    <x v="15"/>
    <x v="1848"/>
    <x v="9"/>
    <x v="0"/>
    <x v="0"/>
    <x v="738"/>
    <x v="6518"/>
  </r>
  <r>
    <x v="3"/>
    <n v="1780"/>
    <x v="1836"/>
    <x v="0"/>
    <s v="CM"/>
    <s v="S"/>
    <x v="38"/>
    <x v="52"/>
    <x v="1103"/>
    <m/>
    <x v="430"/>
    <m/>
    <x v="58"/>
    <x v="0"/>
    <x v="736"/>
    <d v="2014-02-21T00:00:00"/>
    <x v="1"/>
    <x v="1"/>
    <s v="Compétition internationale des courts métrages"/>
    <m/>
    <x v="0"/>
    <x v="0"/>
    <m/>
    <x v="0"/>
    <x v="0"/>
    <x v="1857"/>
    <x v="58"/>
    <x v="0"/>
    <x v="0"/>
    <x v="736"/>
    <x v="6519"/>
  </r>
  <r>
    <x v="3"/>
    <n v="1780"/>
    <x v="1836"/>
    <x v="0"/>
    <s v="CM"/>
    <s v="S"/>
    <x v="38"/>
    <x v="52"/>
    <x v="509"/>
    <m/>
    <x v="174"/>
    <m/>
    <x v="1"/>
    <x v="0"/>
    <x v="746"/>
    <d v="2014-03-30T00:00:00"/>
    <x v="2"/>
    <x v="1"/>
    <s v="Competición Internacional 2"/>
    <m/>
    <x v="0"/>
    <x v="0"/>
    <m/>
    <x v="0"/>
    <x v="0"/>
    <x v="1857"/>
    <x v="1"/>
    <x v="0"/>
    <x v="0"/>
    <x v="746"/>
    <x v="6520"/>
  </r>
  <r>
    <x v="3"/>
    <n v="550"/>
    <x v="1202"/>
    <x v="0"/>
    <s v="LM"/>
    <s v="S"/>
    <x v="806"/>
    <x v="13"/>
    <x v="1025"/>
    <m/>
    <x v="24"/>
    <m/>
    <x v="3"/>
    <x v="0"/>
    <x v="732"/>
    <d v="2014-01-26T00:00:00"/>
    <x v="15"/>
    <x v="0"/>
    <m/>
    <s v="IV - Desejo sem Linguagem"/>
    <x v="0"/>
    <x v="1"/>
    <s v="Manuela Viegas e Lucrecia Martel"/>
    <x v="0"/>
    <x v="5"/>
    <x v="1208"/>
    <x v="3"/>
    <x v="0"/>
    <x v="1"/>
    <x v="732"/>
    <x v="6521"/>
  </r>
  <r>
    <x v="3"/>
    <n v="2174"/>
    <x v="2133"/>
    <x v="0"/>
    <s v="CM"/>
    <s v=""/>
    <x v="1359"/>
    <x v="41"/>
    <x v="1104"/>
    <m/>
    <x v="24"/>
    <m/>
    <x v="3"/>
    <x v="0"/>
    <x v="747"/>
    <m/>
    <x v="15"/>
    <x v="1"/>
    <m/>
    <m/>
    <x v="0"/>
    <x v="1"/>
    <m/>
    <x v="0"/>
    <x v="0"/>
    <x v="2157"/>
    <x v="3"/>
    <x v="0"/>
    <x v="1"/>
    <x v="747"/>
    <x v="6522"/>
  </r>
  <r>
    <x v="3"/>
    <n v="1934"/>
    <x v="1868"/>
    <x v="0"/>
    <s v="LM"/>
    <s v="S"/>
    <x v="159"/>
    <x v="52"/>
    <x v="758"/>
    <m/>
    <x v="117"/>
    <m/>
    <x v="9"/>
    <x v="0"/>
    <x v="741"/>
    <d v="2014-02-17T00:00:00"/>
    <x v="1"/>
    <x v="0"/>
    <m/>
    <m/>
    <x v="0"/>
    <x v="0"/>
    <m/>
    <x v="0"/>
    <x v="5"/>
    <x v="1889"/>
    <x v="9"/>
    <x v="0"/>
    <x v="0"/>
    <x v="741"/>
    <x v="6523"/>
  </r>
  <r>
    <x v="3"/>
    <n v="631"/>
    <x v="1236"/>
    <x v="2"/>
    <s v="CM"/>
    <s v="S"/>
    <x v="324"/>
    <x v="41"/>
    <x v="81"/>
    <m/>
    <x v="61"/>
    <m/>
    <x v="2"/>
    <x v="0"/>
    <x v="748"/>
    <d v="2014-02-08T00:00:00"/>
    <x v="18"/>
    <x v="0"/>
    <m/>
    <s v="Programme Spécial: AD"/>
    <x v="0"/>
    <x v="0"/>
    <m/>
    <x v="0"/>
    <x v="4"/>
    <x v="1244"/>
    <x v="2"/>
    <x v="0"/>
    <x v="0"/>
    <x v="748"/>
    <x v="6524"/>
  </r>
  <r>
    <x v="3"/>
    <n v="631"/>
    <x v="1236"/>
    <x v="2"/>
    <s v="CM"/>
    <s v="S"/>
    <x v="324"/>
    <x v="41"/>
    <x v="1105"/>
    <m/>
    <x v="17"/>
    <m/>
    <x v="2"/>
    <x v="0"/>
    <x v="749"/>
    <d v="2014-06-18T00:00:00"/>
    <x v="7"/>
    <x v="0"/>
    <m/>
    <m/>
    <x v="0"/>
    <x v="1"/>
    <m/>
    <x v="0"/>
    <x v="4"/>
    <x v="1244"/>
    <x v="2"/>
    <x v="0"/>
    <x v="0"/>
    <x v="749"/>
    <x v="6525"/>
  </r>
  <r>
    <x v="3"/>
    <n v="1769"/>
    <x v="1870"/>
    <x v="1"/>
    <s v="LM"/>
    <s v="S"/>
    <x v="827"/>
    <x v="52"/>
    <x v="1100"/>
    <m/>
    <x v="215"/>
    <m/>
    <x v="60"/>
    <x v="0"/>
    <x v="745"/>
    <d v="2014-03-09T00:00:00"/>
    <x v="19"/>
    <x v="0"/>
    <m/>
    <s v="Senderos"/>
    <x v="0"/>
    <x v="0"/>
    <m/>
    <x v="0"/>
    <x v="1"/>
    <x v="1891"/>
    <x v="60"/>
    <x v="0"/>
    <x v="0"/>
    <x v="745"/>
    <x v="6526"/>
  </r>
  <r>
    <x v="3"/>
    <n v="1894"/>
    <x v="1880"/>
    <x v="0"/>
    <s v="CM"/>
    <s v="N"/>
    <x v="347"/>
    <x v="52"/>
    <x v="81"/>
    <m/>
    <x v="61"/>
    <m/>
    <x v="2"/>
    <x v="0"/>
    <x v="748"/>
    <d v="2014-02-08T00:00:00"/>
    <x v="18"/>
    <x v="0"/>
    <m/>
    <s v="Panorama - La Fuite 2"/>
    <x v="0"/>
    <x v="0"/>
    <m/>
    <x v="0"/>
    <x v="0"/>
    <x v="1901"/>
    <x v="2"/>
    <x v="0"/>
    <x v="0"/>
    <x v="748"/>
    <x v="6527"/>
  </r>
  <r>
    <x v="3"/>
    <n v="1771"/>
    <x v="1891"/>
    <x v="0"/>
    <s v="CM"/>
    <s v="N"/>
    <x v="186"/>
    <x v="52"/>
    <x v="509"/>
    <m/>
    <x v="174"/>
    <m/>
    <x v="1"/>
    <x v="0"/>
    <x v="746"/>
    <d v="2014-03-30T00:00:00"/>
    <x v="2"/>
    <x v="1"/>
    <s v="Competición Obliqua 1"/>
    <m/>
    <x v="0"/>
    <x v="0"/>
    <m/>
    <x v="0"/>
    <x v="0"/>
    <x v="1912"/>
    <x v="1"/>
    <x v="0"/>
    <x v="0"/>
    <x v="746"/>
    <x v="6528"/>
  </r>
  <r>
    <x v="3"/>
    <n v="1944"/>
    <x v="1892"/>
    <x v="0"/>
    <s v="CM"/>
    <s v="N"/>
    <x v="106"/>
    <x v="52"/>
    <x v="885"/>
    <m/>
    <x v="419"/>
    <m/>
    <x v="34"/>
    <x v="0"/>
    <x v="740"/>
    <d v="2014-01-26T00:00:00"/>
    <x v="15"/>
    <x v="0"/>
    <m/>
    <s v="Nouvelles Cinématographiques"/>
    <x v="0"/>
    <x v="0"/>
    <m/>
    <x v="0"/>
    <x v="0"/>
    <x v="1913"/>
    <x v="34"/>
    <x v="0"/>
    <x v="0"/>
    <x v="740"/>
    <x v="6529"/>
  </r>
  <r>
    <x v="3"/>
    <n v="1944"/>
    <x v="1892"/>
    <x v="0"/>
    <s v="CM"/>
    <s v="N"/>
    <x v="106"/>
    <x v="52"/>
    <x v="1100"/>
    <m/>
    <x v="215"/>
    <m/>
    <x v="60"/>
    <x v="0"/>
    <x v="745"/>
    <d v="2014-03-09T00:00:00"/>
    <x v="19"/>
    <x v="0"/>
    <m/>
    <s v="Senderos"/>
    <x v="0"/>
    <x v="0"/>
    <m/>
    <x v="0"/>
    <x v="0"/>
    <x v="1913"/>
    <x v="60"/>
    <x v="0"/>
    <x v="0"/>
    <x v="745"/>
    <x v="6530"/>
  </r>
  <r>
    <x v="3"/>
    <n v="2173"/>
    <x v="2134"/>
    <x v="0"/>
    <s v="CM"/>
    <s v="N"/>
    <x v="1360"/>
    <x v="41"/>
    <x v="1104"/>
    <m/>
    <x v="24"/>
    <m/>
    <x v="3"/>
    <x v="0"/>
    <x v="747"/>
    <m/>
    <x v="15"/>
    <x v="1"/>
    <m/>
    <m/>
    <x v="0"/>
    <x v="1"/>
    <m/>
    <x v="0"/>
    <x v="0"/>
    <x v="2158"/>
    <x v="3"/>
    <x v="0"/>
    <x v="1"/>
    <x v="747"/>
    <x v="6531"/>
  </r>
  <r>
    <x v="3"/>
    <n v="1633"/>
    <x v="1902"/>
    <x v="1"/>
    <s v="CM"/>
    <s v="N"/>
    <x v="1233"/>
    <x v="41"/>
    <x v="1106"/>
    <m/>
    <x v="24"/>
    <m/>
    <x v="3"/>
    <x v="0"/>
    <x v="750"/>
    <m/>
    <x v="15"/>
    <x v="1"/>
    <m/>
    <m/>
    <x v="0"/>
    <x v="1"/>
    <m/>
    <x v="0"/>
    <x v="2"/>
    <x v="1923"/>
    <x v="3"/>
    <x v="0"/>
    <x v="1"/>
    <x v="750"/>
    <x v="6532"/>
  </r>
  <r>
    <x v="3"/>
    <n v="2145"/>
    <x v="2135"/>
    <x v="1"/>
    <s v="LM"/>
    <s v="N"/>
    <x v="188"/>
    <x v="52"/>
    <x v="1107"/>
    <m/>
    <x v="32"/>
    <m/>
    <x v="3"/>
    <x v="0"/>
    <x v="751"/>
    <d v="2014-01-30T00:00:00"/>
    <x v="15"/>
    <x v="0"/>
    <m/>
    <m/>
    <x v="0"/>
    <x v="1"/>
    <s v="Clube de Cinema de Setúbal"/>
    <x v="0"/>
    <x v="1"/>
    <x v="2159"/>
    <x v="3"/>
    <x v="0"/>
    <x v="1"/>
    <x v="751"/>
    <x v="6533"/>
  </r>
  <r>
    <x v="3"/>
    <n v="1820"/>
    <x v="1930"/>
    <x v="0"/>
    <s v="CM"/>
    <s v="N"/>
    <x v="428"/>
    <x v="52"/>
    <x v="1096"/>
    <m/>
    <x v="24"/>
    <m/>
    <x v="3"/>
    <x v="0"/>
    <x v="737"/>
    <m/>
    <x v="15"/>
    <x v="1"/>
    <m/>
    <m/>
    <x v="0"/>
    <x v="1"/>
    <m/>
    <x v="0"/>
    <x v="0"/>
    <x v="1952"/>
    <x v="3"/>
    <x v="0"/>
    <x v="1"/>
    <x v="737"/>
    <x v="6534"/>
  </r>
  <r>
    <x v="3"/>
    <n v="1892"/>
    <x v="1937"/>
    <x v="0"/>
    <s v="CM"/>
    <s v="N"/>
    <x v="401"/>
    <x v="41"/>
    <x v="1100"/>
    <m/>
    <x v="215"/>
    <m/>
    <x v="60"/>
    <x v="0"/>
    <x v="745"/>
    <d v="2014-03-09T00:00:00"/>
    <x v="19"/>
    <x v="0"/>
    <m/>
    <s v="Senderos"/>
    <x v="0"/>
    <x v="0"/>
    <m/>
    <x v="0"/>
    <x v="0"/>
    <x v="1959"/>
    <x v="60"/>
    <x v="0"/>
    <x v="0"/>
    <x v="745"/>
    <x v="6535"/>
  </r>
  <r>
    <x v="3"/>
    <n v="1506"/>
    <x v="1350"/>
    <x v="0"/>
    <s v="CM"/>
    <s v=""/>
    <x v="904"/>
    <x v="2"/>
    <x v="1106"/>
    <m/>
    <x v="24"/>
    <m/>
    <x v="3"/>
    <x v="0"/>
    <x v="750"/>
    <m/>
    <x v="15"/>
    <x v="0"/>
    <m/>
    <s v="Curta Convidada"/>
    <x v="0"/>
    <x v="1"/>
    <m/>
    <x v="0"/>
    <x v="0"/>
    <x v="1359"/>
    <x v="3"/>
    <x v="0"/>
    <x v="1"/>
    <x v="750"/>
    <x v="6536"/>
  </r>
  <r>
    <x v="3"/>
    <n v="1495"/>
    <x v="1365"/>
    <x v="2"/>
    <s v="CM"/>
    <s v="N"/>
    <x v="908"/>
    <x v="41"/>
    <x v="885"/>
    <m/>
    <x v="419"/>
    <m/>
    <x v="34"/>
    <x v="0"/>
    <x v="740"/>
    <d v="2014-01-26T00:00:00"/>
    <x v="15"/>
    <x v="0"/>
    <m/>
    <s v="Petit Black Movie: Contes Initiatiques"/>
    <x v="0"/>
    <x v="0"/>
    <m/>
    <x v="0"/>
    <x v="4"/>
    <x v="1374"/>
    <x v="34"/>
    <x v="0"/>
    <x v="0"/>
    <x v="740"/>
    <x v="6537"/>
  </r>
  <r>
    <x v="3"/>
    <n v="856"/>
    <x v="1366"/>
    <x v="0"/>
    <s v="LM"/>
    <s v="S"/>
    <x v="441"/>
    <x v="41"/>
    <x v="758"/>
    <m/>
    <x v="117"/>
    <m/>
    <x v="9"/>
    <x v="0"/>
    <x v="741"/>
    <d v="2014-02-17T00:00:00"/>
    <x v="1"/>
    <x v="1"/>
    <s v="Feature Narrative"/>
    <m/>
    <x v="0"/>
    <x v="0"/>
    <m/>
    <x v="0"/>
    <x v="5"/>
    <x v="1375"/>
    <x v="9"/>
    <x v="0"/>
    <x v="0"/>
    <x v="741"/>
    <x v="6538"/>
  </r>
  <r>
    <x v="3"/>
    <n v="2040"/>
    <x v="1951"/>
    <x v="1"/>
    <s v="LM"/>
    <s v="N"/>
    <x v="1255"/>
    <x v="52"/>
    <x v="1100"/>
    <m/>
    <x v="215"/>
    <m/>
    <x v="60"/>
    <x v="0"/>
    <x v="745"/>
    <d v="2014-03-09T00:00:00"/>
    <x v="19"/>
    <x v="0"/>
    <m/>
    <s v="Trazos"/>
    <x v="0"/>
    <x v="0"/>
    <m/>
    <x v="0"/>
    <x v="1"/>
    <x v="1973"/>
    <x v="60"/>
    <x v="0"/>
    <x v="0"/>
    <x v="745"/>
    <x v="6539"/>
  </r>
  <r>
    <x v="3"/>
    <n v="890"/>
    <x v="1385"/>
    <x v="0"/>
    <s v="CM"/>
    <s v="S"/>
    <x v="919"/>
    <x v="41"/>
    <x v="1108"/>
    <m/>
    <x v="158"/>
    <m/>
    <x v="5"/>
    <x v="0"/>
    <x v="751"/>
    <d v="2014-02-16T00:00:00"/>
    <x v="18"/>
    <x v="0"/>
    <m/>
    <m/>
    <x v="0"/>
    <x v="1"/>
    <s v="No Filmmuseum im Stadmuseum  München"/>
    <x v="0"/>
    <x v="0"/>
    <x v="1395"/>
    <x v="5"/>
    <x v="0"/>
    <x v="0"/>
    <x v="751"/>
    <x v="6540"/>
  </r>
  <r>
    <x v="3"/>
    <n v="1538"/>
    <x v="1406"/>
    <x v="0"/>
    <s v="LM"/>
    <s v="S"/>
    <x v="14"/>
    <x v="41"/>
    <x v="1109"/>
    <m/>
    <x v="418"/>
    <m/>
    <x v="73"/>
    <x v="0"/>
    <x v="752"/>
    <d v="2014-02-01T00:00:00"/>
    <x v="18"/>
    <x v="0"/>
    <m/>
    <s v="Longs-Métrages Européens"/>
    <x v="0"/>
    <x v="1"/>
    <m/>
    <x v="0"/>
    <x v="5"/>
    <x v="1416"/>
    <x v="73"/>
    <x v="0"/>
    <x v="0"/>
    <x v="752"/>
    <x v="6541"/>
  </r>
  <r>
    <x v="3"/>
    <n v="2025"/>
    <x v="1989"/>
    <x v="0"/>
    <s v="CM"/>
    <s v="N"/>
    <x v="1275"/>
    <x v="52"/>
    <x v="81"/>
    <m/>
    <x v="61"/>
    <m/>
    <x v="2"/>
    <x v="0"/>
    <x v="748"/>
    <d v="2014-02-08T00:00:00"/>
    <x v="18"/>
    <x v="1"/>
    <s v="Compétition Labo 1"/>
    <m/>
    <x v="0"/>
    <x v="0"/>
    <m/>
    <x v="0"/>
    <x v="0"/>
    <x v="2012"/>
    <x v="2"/>
    <x v="0"/>
    <x v="0"/>
    <x v="748"/>
    <x v="6542"/>
  </r>
  <r>
    <x v="3"/>
    <n v="1776"/>
    <x v="1999"/>
    <x v="0"/>
    <s v="CM"/>
    <s v="N"/>
    <x v="1282"/>
    <x v="52"/>
    <x v="1098"/>
    <m/>
    <x v="15"/>
    <m/>
    <x v="3"/>
    <x v="0"/>
    <x v="732"/>
    <m/>
    <x v="15"/>
    <x v="1"/>
    <m/>
    <m/>
    <x v="0"/>
    <x v="1"/>
    <m/>
    <x v="0"/>
    <x v="0"/>
    <x v="2022"/>
    <x v="3"/>
    <x v="0"/>
    <x v="1"/>
    <x v="732"/>
    <x v="6543"/>
  </r>
  <r>
    <x v="3"/>
    <n v="1031"/>
    <x v="1477"/>
    <x v="0"/>
    <s v="CM"/>
    <s v="S"/>
    <x v="120"/>
    <x v="41"/>
    <x v="81"/>
    <m/>
    <x v="61"/>
    <m/>
    <x v="2"/>
    <x v="0"/>
    <x v="748"/>
    <d v="2014-02-08T00:00:00"/>
    <x v="18"/>
    <x v="0"/>
    <m/>
    <s v="Autres Programmes: Collections 2"/>
    <x v="0"/>
    <x v="0"/>
    <m/>
    <x v="0"/>
    <x v="0"/>
    <x v="1487"/>
    <x v="2"/>
    <x v="0"/>
    <x v="0"/>
    <x v="748"/>
    <x v="6544"/>
  </r>
  <r>
    <x v="3"/>
    <n v="1992"/>
    <x v="2021"/>
    <x v="0"/>
    <s v="CM"/>
    <s v="N"/>
    <x v="0"/>
    <x v="52"/>
    <x v="885"/>
    <m/>
    <x v="419"/>
    <m/>
    <x v="34"/>
    <x v="0"/>
    <x v="740"/>
    <d v="2014-01-26T00:00:00"/>
    <x v="15"/>
    <x v="0"/>
    <m/>
    <s v="Nouvelles Cinématographiques"/>
    <x v="0"/>
    <x v="0"/>
    <m/>
    <x v="0"/>
    <x v="0"/>
    <x v="2044"/>
    <x v="34"/>
    <x v="0"/>
    <x v="0"/>
    <x v="740"/>
    <x v="6545"/>
  </r>
  <r>
    <x v="3"/>
    <n v="1992"/>
    <x v="2021"/>
    <x v="0"/>
    <s v="CM"/>
    <s v="N"/>
    <x v="0"/>
    <x v="52"/>
    <x v="90"/>
    <m/>
    <x v="69"/>
    <m/>
    <x v="8"/>
    <x v="0"/>
    <x v="735"/>
    <d v="2014-02-02T00:00:00"/>
    <x v="18"/>
    <x v="0"/>
    <m/>
    <s v="The State of Europe - Grand Tour"/>
    <x v="0"/>
    <x v="0"/>
    <m/>
    <x v="0"/>
    <x v="0"/>
    <x v="2044"/>
    <x v="8"/>
    <x v="0"/>
    <x v="0"/>
    <x v="735"/>
    <x v="6546"/>
  </r>
  <r>
    <x v="3"/>
    <n v="1992"/>
    <x v="2021"/>
    <x v="0"/>
    <s v="CM"/>
    <s v="N"/>
    <x v="0"/>
    <x v="52"/>
    <x v="1100"/>
    <m/>
    <x v="215"/>
    <m/>
    <x v="60"/>
    <x v="0"/>
    <x v="745"/>
    <d v="2014-03-09T00:00:00"/>
    <x v="19"/>
    <x v="0"/>
    <m/>
    <s v="Senderos"/>
    <x v="0"/>
    <x v="0"/>
    <m/>
    <x v="0"/>
    <x v="0"/>
    <x v="2044"/>
    <x v="60"/>
    <x v="0"/>
    <x v="0"/>
    <x v="745"/>
    <x v="6547"/>
  </r>
  <r>
    <x v="3"/>
    <n v="2054"/>
    <x v="2023"/>
    <x v="0"/>
    <s v="CM"/>
    <s v="N"/>
    <x v="1296"/>
    <x v="52"/>
    <x v="1098"/>
    <m/>
    <x v="15"/>
    <m/>
    <x v="3"/>
    <x v="0"/>
    <x v="732"/>
    <m/>
    <x v="15"/>
    <x v="1"/>
    <m/>
    <m/>
    <x v="0"/>
    <x v="1"/>
    <m/>
    <x v="0"/>
    <x v="0"/>
    <x v="2046"/>
    <x v="3"/>
    <x v="0"/>
    <x v="1"/>
    <x v="732"/>
    <x v="6548"/>
  </r>
  <r>
    <x v="3"/>
    <n v="1895"/>
    <x v="2024"/>
    <x v="0"/>
    <s v="CM"/>
    <s v="S"/>
    <x v="1297"/>
    <x v="52"/>
    <x v="885"/>
    <m/>
    <x v="419"/>
    <m/>
    <x v="34"/>
    <x v="0"/>
    <x v="740"/>
    <d v="2014-01-26T00:00:00"/>
    <x v="15"/>
    <x v="0"/>
    <m/>
    <s v="Flirts avec le fantastique"/>
    <x v="0"/>
    <x v="0"/>
    <m/>
    <x v="0"/>
    <x v="0"/>
    <x v="2047"/>
    <x v="34"/>
    <x v="0"/>
    <x v="0"/>
    <x v="740"/>
    <x v="6549"/>
  </r>
  <r>
    <x v="3"/>
    <n v="1649"/>
    <x v="2026"/>
    <x v="0"/>
    <s v="LM"/>
    <s v="S"/>
    <x v="418"/>
    <x v="5"/>
    <x v="758"/>
    <m/>
    <x v="117"/>
    <m/>
    <x v="9"/>
    <x v="0"/>
    <x v="741"/>
    <d v="2014-02-17T00:00:00"/>
    <x v="1"/>
    <x v="0"/>
    <m/>
    <m/>
    <x v="0"/>
    <x v="0"/>
    <m/>
    <x v="0"/>
    <x v="5"/>
    <x v="2049"/>
    <x v="9"/>
    <x v="0"/>
    <x v="0"/>
    <x v="741"/>
    <x v="6550"/>
  </r>
  <r>
    <x v="3"/>
    <n v="1566"/>
    <x v="1488"/>
    <x v="1"/>
    <s v="CM"/>
    <s v="N"/>
    <x v="975"/>
    <x v="41"/>
    <x v="81"/>
    <m/>
    <x v="61"/>
    <m/>
    <x v="2"/>
    <x v="0"/>
    <x v="748"/>
    <d v="2014-02-08T00:00:00"/>
    <x v="18"/>
    <x v="1"/>
    <s v="Compétition Internationale 1"/>
    <m/>
    <x v="0"/>
    <x v="0"/>
    <m/>
    <x v="0"/>
    <x v="2"/>
    <x v="1498"/>
    <x v="2"/>
    <x v="0"/>
    <x v="0"/>
    <x v="748"/>
    <x v="6551"/>
  </r>
  <r>
    <x v="3"/>
    <n v="1566"/>
    <x v="1488"/>
    <x v="1"/>
    <s v="CM"/>
    <s v="N"/>
    <x v="975"/>
    <x v="41"/>
    <x v="1100"/>
    <m/>
    <x v="215"/>
    <m/>
    <x v="60"/>
    <x v="0"/>
    <x v="745"/>
    <d v="2014-03-09T00:00:00"/>
    <x v="19"/>
    <x v="1"/>
    <s v="Aciertos"/>
    <m/>
    <x v="0"/>
    <x v="0"/>
    <m/>
    <x v="0"/>
    <x v="2"/>
    <x v="1498"/>
    <x v="60"/>
    <x v="0"/>
    <x v="0"/>
    <x v="745"/>
    <x v="6552"/>
  </r>
  <r>
    <x v="3"/>
    <n v="2159"/>
    <x v="2136"/>
    <x v="0"/>
    <s v="LM"/>
    <s v="N"/>
    <x v="1361"/>
    <x v="63"/>
    <x v="1110"/>
    <m/>
    <x v="124"/>
    <m/>
    <x v="3"/>
    <x v="0"/>
    <x v="735"/>
    <d v="2014-01-24T00:00:00"/>
    <x v="15"/>
    <x v="0"/>
    <m/>
    <m/>
    <x v="0"/>
    <x v="1"/>
    <m/>
    <x v="0"/>
    <x v="5"/>
    <x v="2160"/>
    <x v="3"/>
    <x v="0"/>
    <x v="1"/>
    <x v="735"/>
    <x v="6553"/>
  </r>
  <r>
    <x v="3"/>
    <n v="1133"/>
    <x v="1533"/>
    <x v="0"/>
    <s v="LM"/>
    <s v="S"/>
    <x v="0"/>
    <x v="3"/>
    <x v="1111"/>
    <m/>
    <x v="0"/>
    <m/>
    <x v="0"/>
    <x v="0"/>
    <x v="753"/>
    <m/>
    <x v="15"/>
    <x v="1"/>
    <m/>
    <m/>
    <x v="607"/>
    <x v="2"/>
    <m/>
    <x v="1"/>
    <x v="5"/>
    <x v="1543"/>
    <x v="0"/>
    <x v="742"/>
    <x v="0"/>
    <x v="753"/>
    <x v="6554"/>
  </r>
  <r>
    <x v="3"/>
    <n v="2161"/>
    <x v="2137"/>
    <x v="0"/>
    <s v="CM"/>
    <s v="N"/>
    <x v="146"/>
    <x v="52"/>
    <x v="375"/>
    <m/>
    <x v="20"/>
    <m/>
    <x v="5"/>
    <x v="0"/>
    <x v="741"/>
    <d v="2014-02-16T00:00:00"/>
    <x v="1"/>
    <x v="1"/>
    <s v="Berlinale Shorts "/>
    <m/>
    <x v="0"/>
    <x v="0"/>
    <m/>
    <x v="0"/>
    <x v="0"/>
    <x v="2161"/>
    <x v="5"/>
    <x v="0"/>
    <x v="0"/>
    <x v="741"/>
    <x v="6555"/>
  </r>
  <r>
    <x v="3"/>
    <n v="1316"/>
    <x v="1553"/>
    <x v="0"/>
    <s v="CM"/>
    <s v="N"/>
    <x v="1018"/>
    <x v="3"/>
    <x v="1106"/>
    <m/>
    <x v="24"/>
    <m/>
    <x v="3"/>
    <x v="0"/>
    <x v="750"/>
    <m/>
    <x v="15"/>
    <x v="1"/>
    <m/>
    <m/>
    <x v="493"/>
    <x v="1"/>
    <m/>
    <x v="1"/>
    <x v="0"/>
    <x v="1563"/>
    <x v="3"/>
    <x v="602"/>
    <x v="1"/>
    <x v="750"/>
    <x v="6556"/>
  </r>
  <r>
    <x v="3"/>
    <n v="1610"/>
    <x v="2096"/>
    <x v="0"/>
    <s v="LM"/>
    <s v=""/>
    <x v="1339"/>
    <x v="41"/>
    <x v="162"/>
    <m/>
    <x v="124"/>
    <m/>
    <x v="3"/>
    <x v="0"/>
    <x v="748"/>
    <m/>
    <x v="15"/>
    <x v="0"/>
    <m/>
    <m/>
    <x v="0"/>
    <x v="1"/>
    <m/>
    <x v="0"/>
    <x v="5"/>
    <x v="2120"/>
    <x v="3"/>
    <x v="0"/>
    <x v="1"/>
    <x v="748"/>
    <x v="6557"/>
  </r>
  <r>
    <x v="3"/>
    <n v="1682"/>
    <x v="1583"/>
    <x v="0"/>
    <s v="CM"/>
    <s v="N"/>
    <x v="1040"/>
    <x v="41"/>
    <x v="1094"/>
    <m/>
    <x v="15"/>
    <m/>
    <x v="3"/>
    <x v="0"/>
    <x v="733"/>
    <m/>
    <x v="1"/>
    <x v="1"/>
    <m/>
    <m/>
    <x v="0"/>
    <x v="1"/>
    <s v="Evento integrado no Women in Horror Recognition Month 2014"/>
    <x v="0"/>
    <x v="0"/>
    <x v="1595"/>
    <x v="3"/>
    <x v="0"/>
    <x v="1"/>
    <x v="733"/>
    <x v="6558"/>
  </r>
  <r>
    <x v="3"/>
    <n v="2176"/>
    <x v="2109"/>
    <x v="1"/>
    <s v="LM"/>
    <s v=""/>
    <x v="363"/>
    <x v="2"/>
    <x v="162"/>
    <m/>
    <x v="124"/>
    <m/>
    <x v="3"/>
    <x v="0"/>
    <x v="754"/>
    <m/>
    <x v="1"/>
    <x v="0"/>
    <m/>
    <m/>
    <x v="0"/>
    <x v="1"/>
    <m/>
    <x v="0"/>
    <x v="1"/>
    <x v="2133"/>
    <x v="3"/>
    <x v="0"/>
    <x v="1"/>
    <x v="754"/>
    <x v="6559"/>
  </r>
  <r>
    <x v="3"/>
    <n v="1340"/>
    <x v="1597"/>
    <x v="0"/>
    <s v="LM"/>
    <s v="S"/>
    <x v="236"/>
    <x v="41"/>
    <x v="57"/>
    <m/>
    <x v="40"/>
    <m/>
    <x v="3"/>
    <x v="0"/>
    <x v="755"/>
    <m/>
    <x v="15"/>
    <x v="0"/>
    <m/>
    <m/>
    <x v="0"/>
    <x v="1"/>
    <m/>
    <x v="0"/>
    <x v="5"/>
    <x v="1609"/>
    <x v="3"/>
    <x v="0"/>
    <x v="1"/>
    <x v="755"/>
    <x v="6560"/>
  </r>
  <r>
    <x v="3"/>
    <n v="1912"/>
    <x v="2117"/>
    <x v="0"/>
    <s v="CM"/>
    <s v="N"/>
    <x v="1350"/>
    <x v="52"/>
    <x v="1099"/>
    <m/>
    <x v="24"/>
    <m/>
    <x v="3"/>
    <x v="0"/>
    <x v="743"/>
    <m/>
    <x v="1"/>
    <x v="1"/>
    <m/>
    <m/>
    <x v="0"/>
    <x v="1"/>
    <m/>
    <x v="0"/>
    <x v="0"/>
    <x v="2141"/>
    <x v="3"/>
    <x v="0"/>
    <x v="1"/>
    <x v="743"/>
    <x v="6561"/>
  </r>
  <r>
    <x v="3"/>
    <n v="1773"/>
    <x v="2127"/>
    <x v="2"/>
    <s v="CM"/>
    <s v="N"/>
    <x v="153"/>
    <x v="41"/>
    <x v="1098"/>
    <m/>
    <x v="15"/>
    <m/>
    <x v="3"/>
    <x v="0"/>
    <x v="732"/>
    <m/>
    <x v="15"/>
    <x v="0"/>
    <m/>
    <s v="Convidado Especial: João Alves"/>
    <x v="0"/>
    <x v="1"/>
    <m/>
    <x v="0"/>
    <x v="4"/>
    <x v="2151"/>
    <x v="3"/>
    <x v="0"/>
    <x v="1"/>
    <x v="732"/>
    <x v="6562"/>
  </r>
  <r>
    <x v="3"/>
    <n v="1709"/>
    <x v="1758"/>
    <x v="0"/>
    <s v="CM"/>
    <s v="N"/>
    <x v="1150"/>
    <x v="41"/>
    <x v="1112"/>
    <m/>
    <x v="15"/>
    <m/>
    <x v="3"/>
    <x v="0"/>
    <x v="731"/>
    <m/>
    <x v="15"/>
    <x v="1"/>
    <m/>
    <m/>
    <x v="493"/>
    <x v="1"/>
    <m/>
    <x v="1"/>
    <x v="0"/>
    <x v="1775"/>
    <x v="3"/>
    <x v="602"/>
    <x v="1"/>
    <x v="731"/>
    <x v="6563"/>
  </r>
</pivotCacheRecords>
</file>

<file path=xl/pivotCache/pivotCacheRecords2.xml><?xml version="1.0" encoding="utf-8"?>
<pivotCacheRecords xmlns="http://schemas.openxmlformats.org/spreadsheetml/2006/main" xmlns:r="http://schemas.openxmlformats.org/officeDocument/2006/relationships" count="1470">
  <r>
    <n v="1"/>
    <x v="0"/>
    <x v="0"/>
    <x v="0"/>
    <n v="11489"/>
    <x v="0"/>
    <m/>
    <m/>
    <x v="0"/>
    <d v="2009-01-02T00:00:00"/>
    <x v="0"/>
    <d v="2009-04-30T00:00:00"/>
    <d v="2009-08-06T00:00:00"/>
    <x v="0"/>
    <x v="0"/>
    <x v="0"/>
    <x v="0"/>
    <x v="0"/>
    <m/>
    <d v="2009-08-11T00:00:00"/>
    <x v="0"/>
    <m/>
    <n v="120000"/>
    <x v="0"/>
    <x v="0"/>
    <n v="720000"/>
    <m/>
    <x v="0"/>
    <n v="0"/>
    <x v="0"/>
    <x v="0"/>
    <d v="2011-02-15T00:00:00"/>
    <d v="2011-05-06T00:00:00"/>
    <x v="0"/>
    <d v="2012-03-12T00:00:00"/>
    <x v="0"/>
    <d v="2012-10-30T00:00:00"/>
    <x v="0"/>
    <x v="0"/>
    <s v="O"/>
    <x v="0"/>
    <x v="0"/>
    <x v="0"/>
    <s v="Bruno de Almeida"/>
    <x v="0"/>
    <x v="0"/>
    <x v="0"/>
    <x v="0"/>
    <x v="0"/>
    <d v="2011-02-15T00:00:00"/>
    <d v="2011-05-06T00:00:00"/>
  </r>
  <r>
    <n v="2"/>
    <x v="0"/>
    <x v="0"/>
    <x v="1"/>
    <n v="11344"/>
    <x v="1"/>
    <m/>
    <m/>
    <x v="0"/>
    <d v="2011-01-03T00:00:00"/>
    <x v="1"/>
    <d v="2011-04-27T00:00:00"/>
    <d v="2011-08-18T00:00:00"/>
    <x v="1"/>
    <x v="0"/>
    <x v="0"/>
    <x v="0"/>
    <x v="0"/>
    <m/>
    <d v="2011-10-14T00:00:00"/>
    <x v="1"/>
    <m/>
    <n v="129000"/>
    <x v="0"/>
    <x v="0"/>
    <n v="774000"/>
    <n v="0"/>
    <x v="1"/>
    <n v="0"/>
    <x v="0"/>
    <x v="0"/>
    <d v="2011-11-20T00:00:00"/>
    <d v="2012-01-10T00:00:00"/>
    <x v="1"/>
    <d v="2012-07-11T00:00:00"/>
    <x v="0"/>
    <d v="2013-01-09T00:00:00"/>
    <x v="0"/>
    <x v="0"/>
    <s v="L"/>
    <x v="0"/>
    <x v="0"/>
    <x v="1"/>
    <s v="Valeria Sarmiento"/>
    <x v="1"/>
    <x v="0"/>
    <x v="0"/>
    <x v="0"/>
    <x v="0"/>
    <d v="2011-11-20T00:00:00"/>
    <d v="2012-01-10T00:00:00"/>
  </r>
  <r>
    <n v="3"/>
    <x v="0"/>
    <x v="1"/>
    <x v="2"/>
    <n v="11723"/>
    <x v="2"/>
    <m/>
    <m/>
    <x v="1"/>
    <d v="2008-01-02T00:00:00"/>
    <x v="2"/>
    <d v="2008-09-24T00:00:00"/>
    <d v="2009-07-20T00:00:00"/>
    <x v="0"/>
    <x v="0"/>
    <x v="0"/>
    <x v="1"/>
    <x v="0"/>
    <m/>
    <d v="2009-08-12T00:00:00"/>
    <x v="2"/>
    <m/>
    <n v="15000"/>
    <x v="0"/>
    <x v="0"/>
    <n v="90000"/>
    <n v="0"/>
    <x v="0"/>
    <n v="0"/>
    <x v="0"/>
    <x v="0"/>
    <m/>
    <m/>
    <x v="0"/>
    <d v="2012-05-24T00:00:00"/>
    <x v="0"/>
    <d v="2012-12-03T00:00:00"/>
    <x v="1"/>
    <x v="0"/>
    <s v="S"/>
    <x v="0"/>
    <x v="0"/>
    <x v="2"/>
    <s v="Filipe Abranches"/>
    <x v="2"/>
    <x v="0"/>
    <x v="1"/>
    <x v="1"/>
    <x v="0"/>
    <d v="1899-12-30T00:00:00"/>
    <d v="1899-12-30T00:00:00"/>
  </r>
  <r>
    <n v="4"/>
    <x v="0"/>
    <x v="1"/>
    <x v="3"/>
    <n v="12605"/>
    <x v="3"/>
    <m/>
    <m/>
    <x v="1"/>
    <d v="2009-01-02T00:00:00"/>
    <x v="0"/>
    <d v="2009-09-23T00:00:00"/>
    <d v="2010-03-26T00:00:00"/>
    <x v="2"/>
    <x v="0"/>
    <x v="0"/>
    <x v="1"/>
    <x v="0"/>
    <m/>
    <d v="2010-05-10T00:00:00"/>
    <x v="2"/>
    <m/>
    <n v="15000"/>
    <x v="0"/>
    <x v="0"/>
    <n v="90000"/>
    <m/>
    <x v="1"/>
    <n v="0"/>
    <x v="0"/>
    <x v="0"/>
    <m/>
    <m/>
    <x v="0"/>
    <d v="2013-11-12T00:00:00"/>
    <x v="0"/>
    <d v="2014-01-20T00:00:00"/>
    <x v="1"/>
    <x v="0"/>
    <s v="O"/>
    <x v="1"/>
    <x v="0"/>
    <x v="3"/>
    <s v="Nuno Amorim"/>
    <x v="3"/>
    <x v="1"/>
    <x v="1"/>
    <x v="1"/>
    <x v="0"/>
    <d v="1899-12-30T00:00:00"/>
    <d v="1899-12-30T00:00:00"/>
  </r>
  <r>
    <n v="5"/>
    <x v="0"/>
    <x v="1"/>
    <x v="4"/>
    <m/>
    <x v="4"/>
    <m/>
    <m/>
    <x v="1"/>
    <d v="2010-01-04T00:00:00"/>
    <x v="3"/>
    <d v="2010-06-22T00:00:00"/>
    <d v="2010-10-18T00:00:00"/>
    <x v="2"/>
    <x v="0"/>
    <x v="1"/>
    <x v="2"/>
    <x v="1"/>
    <m/>
    <d v="2010-12-14T00:00:00"/>
    <x v="3"/>
    <m/>
    <m/>
    <x v="0"/>
    <x v="0"/>
    <n v="20000"/>
    <m/>
    <x v="1"/>
    <n v="0"/>
    <x v="0"/>
    <x v="0"/>
    <m/>
    <m/>
    <x v="0"/>
    <d v="2011-12-10T00:00:00"/>
    <x v="0"/>
    <d v="2012-07-17T00:00:00"/>
    <x v="1"/>
    <x v="0"/>
    <s v="P"/>
    <x v="2"/>
    <x v="0"/>
    <x v="4"/>
    <s v=""/>
    <x v="4"/>
    <x v="2"/>
    <x v="1"/>
    <x v="2"/>
    <x v="0"/>
    <d v="1899-12-30T00:00:00"/>
    <d v="1899-12-30T00:00:00"/>
  </r>
  <r>
    <n v="6"/>
    <x v="0"/>
    <x v="2"/>
    <x v="5"/>
    <m/>
    <x v="4"/>
    <m/>
    <m/>
    <x v="1"/>
    <d v="2010-01-04T00:00:00"/>
    <x v="3"/>
    <d v="2010-06-22T00:00:00"/>
    <d v="2010-10-18T00:00:00"/>
    <x v="2"/>
    <x v="0"/>
    <x v="1"/>
    <x v="2"/>
    <x v="1"/>
    <m/>
    <d v="2010-11-25T00:00:00"/>
    <x v="3"/>
    <m/>
    <m/>
    <x v="0"/>
    <x v="0"/>
    <n v="20000"/>
    <m/>
    <x v="1"/>
    <n v="0"/>
    <x v="0"/>
    <x v="0"/>
    <m/>
    <m/>
    <x v="0"/>
    <d v="2011-12-30T00:00:00"/>
    <x v="0"/>
    <d v="2012-07-17T00:00:00"/>
    <x v="1"/>
    <x v="0"/>
    <s v="F"/>
    <x v="2"/>
    <x v="0"/>
    <x v="5"/>
    <s v=""/>
    <x v="4"/>
    <x v="2"/>
    <x v="1"/>
    <x v="2"/>
    <x v="0"/>
    <d v="1899-12-30T00:00:00"/>
    <d v="1899-12-30T00:00:00"/>
  </r>
  <r>
    <n v="7"/>
    <x v="0"/>
    <x v="2"/>
    <x v="6"/>
    <n v="11724"/>
    <x v="5"/>
    <m/>
    <m/>
    <x v="1"/>
    <d v="2010-01-04T00:00:00"/>
    <x v="3"/>
    <d v="2010-05-18T00:00:00"/>
    <d v="2010-11-02T00:00:00"/>
    <x v="2"/>
    <x v="0"/>
    <x v="0"/>
    <x v="1"/>
    <x v="0"/>
    <m/>
    <d v="2010-12-23T00:00:00"/>
    <x v="4"/>
    <m/>
    <n v="14000"/>
    <x v="0"/>
    <x v="0"/>
    <n v="84000"/>
    <n v="0"/>
    <x v="0"/>
    <n v="0"/>
    <x v="0"/>
    <x v="0"/>
    <m/>
    <m/>
    <x v="0"/>
    <d v="2012-06-25T00:00:00"/>
    <x v="0"/>
    <d v="2012-10-03T00:00:00"/>
    <x v="1"/>
    <x v="0"/>
    <s v="F"/>
    <x v="0"/>
    <x v="0"/>
    <x v="6"/>
    <s v="Fernando Relvas"/>
    <x v="5"/>
    <x v="0"/>
    <x v="1"/>
    <x v="1"/>
    <x v="0"/>
    <d v="1899-12-30T00:00:00"/>
    <d v="1899-12-30T00:00:00"/>
  </r>
  <r>
    <n v="8"/>
    <x v="0"/>
    <x v="3"/>
    <x v="7"/>
    <n v="12651"/>
    <x v="6"/>
    <m/>
    <m/>
    <x v="1"/>
    <d v="2008-01-02T00:00:00"/>
    <x v="2"/>
    <d v="2008-09-24T00:00:00"/>
    <d v="2009-07-20T00:00:00"/>
    <x v="0"/>
    <x v="0"/>
    <x v="0"/>
    <x v="1"/>
    <x v="0"/>
    <m/>
    <d v="2009-11-18T00:00:00"/>
    <x v="5"/>
    <m/>
    <n v="7800"/>
    <x v="0"/>
    <x v="0"/>
    <n v="46800"/>
    <m/>
    <x v="1"/>
    <n v="0"/>
    <x v="0"/>
    <x v="0"/>
    <m/>
    <m/>
    <x v="0"/>
    <d v="2013-12-17T00:00:00"/>
    <x v="0"/>
    <d v="2014-06-09T00:00:00"/>
    <x v="1"/>
    <x v="0"/>
    <s v="A"/>
    <x v="1"/>
    <x v="0"/>
    <x v="7"/>
    <s v="Raquel Atalaia"/>
    <x v="6"/>
    <x v="1"/>
    <x v="1"/>
    <x v="1"/>
    <x v="0"/>
    <d v="1899-12-30T00:00:00"/>
    <d v="1899-12-30T00:00:00"/>
  </r>
  <r>
    <n v="9"/>
    <x v="0"/>
    <x v="4"/>
    <x v="8"/>
    <n v="11725"/>
    <x v="7"/>
    <m/>
    <m/>
    <x v="1"/>
    <d v="2008-01-02T00:00:00"/>
    <x v="2"/>
    <d v="2008-09-24T00:00:00"/>
    <d v="2009-07-20T00:00:00"/>
    <x v="0"/>
    <x v="0"/>
    <x v="0"/>
    <x v="1"/>
    <x v="0"/>
    <m/>
    <d v="2009-09-28T00:00:00"/>
    <x v="6"/>
    <m/>
    <n v="13438.72"/>
    <x v="0"/>
    <x v="0"/>
    <n v="80632.36"/>
    <n v="0"/>
    <x v="0"/>
    <n v="0"/>
    <x v="0"/>
    <x v="0"/>
    <m/>
    <m/>
    <x v="0"/>
    <d v="2012-02-10T00:00:00"/>
    <x v="0"/>
    <d v="2012-10-02T00:00:00"/>
    <x v="1"/>
    <x v="1"/>
    <s v="&quot;"/>
    <x v="0"/>
    <x v="0"/>
    <x v="8"/>
    <s v="Joana Bartolomeu"/>
    <x v="7"/>
    <x v="0"/>
    <x v="1"/>
    <x v="1"/>
    <x v="0"/>
    <d v="1899-12-30T00:00:00"/>
    <d v="1899-12-30T00:00:00"/>
  </r>
  <r>
    <n v="10"/>
    <x v="0"/>
    <x v="4"/>
    <x v="9"/>
    <n v="11732"/>
    <x v="8"/>
    <m/>
    <m/>
    <x v="1"/>
    <d v="2009-01-02T00:00:00"/>
    <x v="0"/>
    <d v="2009-09-23T00:00:00"/>
    <d v="2010-03-26T00:00:00"/>
    <x v="2"/>
    <x v="0"/>
    <x v="0"/>
    <x v="1"/>
    <x v="0"/>
    <m/>
    <d v="2010-07-19T00:00:00"/>
    <x v="7"/>
    <m/>
    <n v="7561.6"/>
    <x v="0"/>
    <x v="0"/>
    <n v="45369.599999999999"/>
    <n v="0"/>
    <x v="0"/>
    <n v="0"/>
    <x v="0"/>
    <x v="0"/>
    <m/>
    <m/>
    <x v="0"/>
    <d v="2012-11-12T00:00:00"/>
    <x v="0"/>
    <d v="2013-01-09T00:00:00"/>
    <x v="1"/>
    <x v="1"/>
    <s v="C"/>
    <x v="0"/>
    <x v="0"/>
    <x v="9"/>
    <s v="Paulo D'Alva"/>
    <x v="8"/>
    <x v="0"/>
    <x v="1"/>
    <x v="1"/>
    <x v="0"/>
    <d v="1899-12-30T00:00:00"/>
    <d v="1899-12-30T00:00:00"/>
  </r>
  <r>
    <n v="11"/>
    <x v="0"/>
    <x v="4"/>
    <x v="10"/>
    <n v="11726"/>
    <x v="9"/>
    <m/>
    <m/>
    <x v="1"/>
    <d v="2010-01-04T00:00:00"/>
    <x v="3"/>
    <d v="2010-05-18T00:00:00"/>
    <d v="2010-11-02T00:00:00"/>
    <x v="2"/>
    <x v="0"/>
    <x v="0"/>
    <x v="1"/>
    <x v="0"/>
    <m/>
    <d v="2010-12-03T00:00:00"/>
    <x v="8"/>
    <m/>
    <n v="13866"/>
    <x v="0"/>
    <x v="0"/>
    <n v="83196"/>
    <n v="0"/>
    <x v="0"/>
    <n v="0"/>
    <x v="0"/>
    <x v="0"/>
    <m/>
    <m/>
    <x v="0"/>
    <d v="2012-03-13T00:00:00"/>
    <x v="0"/>
    <d v="2012-10-30T00:00:00"/>
    <x v="1"/>
    <x v="1"/>
    <s v="O"/>
    <x v="0"/>
    <x v="0"/>
    <x v="10"/>
    <s v="Luís Soares"/>
    <x v="9"/>
    <x v="0"/>
    <x v="1"/>
    <x v="1"/>
    <x v="0"/>
    <d v="1899-12-30T00:00:00"/>
    <d v="1899-12-30T00:00:00"/>
  </r>
  <r>
    <n v="12"/>
    <x v="0"/>
    <x v="4"/>
    <x v="11"/>
    <n v="12625"/>
    <x v="10"/>
    <m/>
    <m/>
    <x v="1"/>
    <d v="2010-01-04T00:00:00"/>
    <x v="3"/>
    <d v="2010-09-07T00:00:00"/>
    <d v="2011-03-24T00:00:00"/>
    <x v="1"/>
    <x v="0"/>
    <x v="0"/>
    <x v="3"/>
    <x v="0"/>
    <m/>
    <d v="2011-06-06T00:00:00"/>
    <x v="9"/>
    <m/>
    <n v="9000"/>
    <x v="0"/>
    <x v="0"/>
    <n v="54000"/>
    <m/>
    <x v="1"/>
    <n v="0"/>
    <x v="0"/>
    <x v="0"/>
    <d v="2012-05-10T00:00:00"/>
    <m/>
    <x v="0"/>
    <d v="2013-11-12T00:00:00"/>
    <x v="0"/>
    <d v="2014-01-20T00:00:00"/>
    <x v="2"/>
    <x v="1"/>
    <s v="O"/>
    <x v="1"/>
    <x v="0"/>
    <x v="11"/>
    <s v="Rodrigo Areias"/>
    <x v="10"/>
    <x v="3"/>
    <x v="0"/>
    <x v="1"/>
    <x v="0"/>
    <d v="2012-05-10T00:00:00"/>
    <d v="1899-12-30T00:00:00"/>
  </r>
  <r>
    <n v="13"/>
    <x v="0"/>
    <x v="5"/>
    <x v="12"/>
    <n v="11665"/>
    <x v="11"/>
    <m/>
    <m/>
    <x v="0"/>
    <d v="2006-10-16T00:00:00"/>
    <x v="4"/>
    <m/>
    <d v="2007-05-11T00:00:00"/>
    <x v="3"/>
    <x v="0"/>
    <x v="0"/>
    <x v="3"/>
    <x v="0"/>
    <m/>
    <d v="2008-11-17T00:00:00"/>
    <x v="9"/>
    <m/>
    <n v="6750"/>
    <x v="0"/>
    <x v="0"/>
    <n v="51750"/>
    <m/>
    <x v="1"/>
    <n v="0"/>
    <x v="0"/>
    <x v="0"/>
    <d v="2010-11-16T00:00:00"/>
    <m/>
    <x v="0"/>
    <d v="2012-05-02T00:00:00"/>
    <x v="0"/>
    <d v="2013-09-03T00:00:00"/>
    <x v="2"/>
    <x v="1"/>
    <s v="B"/>
    <x v="0"/>
    <x v="0"/>
    <x v="12"/>
    <s v="João Figueiras"/>
    <x v="11"/>
    <x v="0"/>
    <x v="0"/>
    <x v="1"/>
    <x v="0"/>
    <d v="2010-11-16T00:00:00"/>
    <d v="1899-12-30T00:00:00"/>
  </r>
  <r>
    <n v="14"/>
    <x v="0"/>
    <x v="5"/>
    <x v="13"/>
    <n v="11684"/>
    <x v="12"/>
    <m/>
    <m/>
    <x v="1"/>
    <d v="2009-01-02T00:00:00"/>
    <x v="0"/>
    <d v="2009-09-02T00:00:00"/>
    <d v="2010-03-26T00:00:00"/>
    <x v="2"/>
    <x v="0"/>
    <x v="0"/>
    <x v="3"/>
    <x v="0"/>
    <m/>
    <d v="2010-08-15T00:00:00"/>
    <x v="10"/>
    <m/>
    <n v="8900"/>
    <x v="0"/>
    <x v="0"/>
    <n v="53400"/>
    <n v="0"/>
    <x v="0"/>
    <n v="0"/>
    <x v="0"/>
    <x v="0"/>
    <d v="2011-04-12T00:00:00"/>
    <d v="2011-06-20T00:00:00"/>
    <x v="0"/>
    <d v="2012-01-17T00:00:00"/>
    <x v="0"/>
    <d v="2013-01-09T00:00:00"/>
    <x v="2"/>
    <x v="1"/>
    <s v="M"/>
    <x v="0"/>
    <x v="0"/>
    <x v="13"/>
    <s v="João Pedro Rodrigues"/>
    <x v="12"/>
    <x v="0"/>
    <x v="0"/>
    <x v="1"/>
    <x v="0"/>
    <d v="2011-04-12T00:00:00"/>
    <d v="2011-06-20T00:00:00"/>
  </r>
  <r>
    <n v="15"/>
    <x v="0"/>
    <x v="5"/>
    <x v="14"/>
    <n v="11687"/>
    <x v="13"/>
    <m/>
    <m/>
    <x v="1"/>
    <d v="2009-01-02T00:00:00"/>
    <x v="0"/>
    <d v="2009-09-02T00:00:00"/>
    <d v="2010-03-26T00:00:00"/>
    <x v="2"/>
    <x v="0"/>
    <x v="0"/>
    <x v="3"/>
    <x v="0"/>
    <m/>
    <d v="2010-08-13T00:00:00"/>
    <x v="11"/>
    <m/>
    <n v="8400"/>
    <x v="0"/>
    <x v="0"/>
    <n v="50400"/>
    <n v="0"/>
    <x v="0"/>
    <n v="0"/>
    <x v="0"/>
    <x v="0"/>
    <d v="2011-06-16T00:00:00"/>
    <d v="2011-06-30T00:00:00"/>
    <x v="0"/>
    <d v="2012-01-17T00:00:00"/>
    <x v="0"/>
    <d v="2013-01-09T00:00:00"/>
    <x v="2"/>
    <x v="1"/>
    <s v="O"/>
    <x v="0"/>
    <x v="0"/>
    <x v="14"/>
    <s v="Possidónio Cachapa"/>
    <x v="13"/>
    <x v="0"/>
    <x v="0"/>
    <x v="1"/>
    <x v="0"/>
    <d v="2011-06-16T00:00:00"/>
    <d v="2011-06-30T00:00:00"/>
  </r>
  <r>
    <n v="16"/>
    <x v="0"/>
    <x v="5"/>
    <x v="15"/>
    <n v="11705"/>
    <x v="14"/>
    <m/>
    <m/>
    <x v="1"/>
    <d v="2009-01-02T00:00:00"/>
    <x v="0"/>
    <d v="2009-09-02T00:00:00"/>
    <d v="2010-03-26T00:00:00"/>
    <x v="2"/>
    <x v="0"/>
    <x v="0"/>
    <x v="3"/>
    <x v="0"/>
    <m/>
    <d v="2010-08-10T00:00:00"/>
    <x v="12"/>
    <m/>
    <n v="8200"/>
    <x v="0"/>
    <x v="0"/>
    <n v="49200"/>
    <n v="0"/>
    <x v="0"/>
    <n v="0"/>
    <x v="0"/>
    <x v="0"/>
    <d v="2011-07-16T00:00:00"/>
    <d v="2011-08-03T00:00:00"/>
    <x v="0"/>
    <d v="2012-01-17T00:00:00"/>
    <x v="0"/>
    <d v="2013-01-09T00:00:00"/>
    <x v="2"/>
    <x v="1"/>
    <s v="O"/>
    <x v="0"/>
    <x v="0"/>
    <x v="15"/>
    <s v="João Rui Guerra da Mata"/>
    <x v="14"/>
    <x v="0"/>
    <x v="0"/>
    <x v="1"/>
    <x v="0"/>
    <d v="2011-07-16T00:00:00"/>
    <d v="2011-08-03T00:00:00"/>
  </r>
  <r>
    <n v="17"/>
    <x v="1"/>
    <x v="5"/>
    <x v="16"/>
    <m/>
    <x v="4"/>
    <m/>
    <m/>
    <x v="2"/>
    <d v="2010-01-04T00:00:00"/>
    <x v="3"/>
    <d v="2010-11-09T00:00:00"/>
    <d v="2011-04-27T00:00:00"/>
    <x v="1"/>
    <x v="0"/>
    <x v="0"/>
    <x v="0"/>
    <x v="0"/>
    <m/>
    <d v="2011-06-15T00:00:00"/>
    <x v="0"/>
    <m/>
    <n v="120000"/>
    <x v="0"/>
    <x v="0"/>
    <n v="720000"/>
    <n v="420000"/>
    <x v="2"/>
    <n v="540000"/>
    <x v="1"/>
    <x v="0"/>
    <m/>
    <m/>
    <x v="0"/>
    <m/>
    <x v="0"/>
    <d v="2014-01-23T00:00:00"/>
    <x v="0"/>
    <x v="1"/>
    <s v="O"/>
    <x v="3"/>
    <x v="0"/>
    <x v="13"/>
    <s v=""/>
    <x v="4"/>
    <x v="2"/>
    <x v="0"/>
    <x v="0"/>
    <x v="0"/>
    <d v="1899-12-30T00:00:00"/>
    <d v="1899-12-30T00:00:00"/>
  </r>
  <r>
    <n v="18"/>
    <x v="0"/>
    <x v="6"/>
    <x v="17"/>
    <n v="11727"/>
    <x v="15"/>
    <m/>
    <s v="TRÊS MARIAS"/>
    <x v="2"/>
    <d v="2008-01-02T00:00:00"/>
    <x v="2"/>
    <d v="2008-12-03T00:00:00"/>
    <d v="2009-07-20T00:00:00"/>
    <x v="0"/>
    <x v="0"/>
    <x v="0"/>
    <x v="4"/>
    <x v="0"/>
    <m/>
    <d v="2009-08-12T00:00:00"/>
    <x v="9"/>
    <m/>
    <n v="9000"/>
    <x v="0"/>
    <x v="0"/>
    <n v="54000"/>
    <n v="0"/>
    <x v="0"/>
    <n v="0"/>
    <x v="0"/>
    <x v="0"/>
    <m/>
    <m/>
    <x v="0"/>
    <d v="2012-05-08T00:00:00"/>
    <x v="0"/>
    <d v="2012-10-30T00:00:00"/>
    <x v="3"/>
    <x v="2"/>
    <s v="O"/>
    <x v="0"/>
    <x v="0"/>
    <x v="16"/>
    <s v="Leonor Noivo"/>
    <x v="15"/>
    <x v="0"/>
    <x v="2"/>
    <x v="1"/>
    <x v="0"/>
    <d v="1899-12-30T00:00:00"/>
    <d v="1899-12-30T00:00:00"/>
  </r>
  <r>
    <n v="19"/>
    <x v="0"/>
    <x v="6"/>
    <x v="18"/>
    <m/>
    <x v="4"/>
    <m/>
    <m/>
    <x v="1"/>
    <d v="2010-01-04T00:00:00"/>
    <x v="3"/>
    <d v="2010-05-04T00:00:00"/>
    <d v="2011-01-03T00:00:00"/>
    <x v="1"/>
    <x v="0"/>
    <x v="1"/>
    <x v="5"/>
    <x v="2"/>
    <m/>
    <d v="2011-01-13T00:00:00"/>
    <x v="13"/>
    <m/>
    <m/>
    <x v="0"/>
    <x v="0"/>
    <n v="8000"/>
    <m/>
    <x v="1"/>
    <n v="0"/>
    <x v="0"/>
    <x v="0"/>
    <m/>
    <m/>
    <x v="0"/>
    <d v="2012-01-12T00:00:00"/>
    <x v="0"/>
    <d v="2012-07-17T00:00:00"/>
    <x v="3"/>
    <x v="2"/>
    <s v="G"/>
    <x v="0"/>
    <x v="0"/>
    <x v="17"/>
    <s v=""/>
    <x v="4"/>
    <x v="2"/>
    <x v="2"/>
    <x v="3"/>
    <x v="0"/>
    <d v="1899-12-30T00:00:00"/>
    <d v="1899-12-30T00:00:00"/>
  </r>
  <r>
    <n v="20"/>
    <x v="0"/>
    <x v="6"/>
    <x v="19"/>
    <n v="11712"/>
    <x v="16"/>
    <m/>
    <s v="GRANDE HOTEL"/>
    <x v="0"/>
    <d v="2010-01-04T00:00:00"/>
    <x v="3"/>
    <d v="2010-06-08T00:00:00"/>
    <d v="2010-12-14T00:00:00"/>
    <x v="2"/>
    <x v="0"/>
    <x v="0"/>
    <x v="4"/>
    <x v="0"/>
    <m/>
    <d v="2011-01-13T00:00:00"/>
    <x v="14"/>
    <m/>
    <n v="13000"/>
    <x v="0"/>
    <x v="0"/>
    <n v="78000"/>
    <n v="0"/>
    <x v="0"/>
    <n v="0"/>
    <x v="0"/>
    <x v="0"/>
    <d v="2011-04-18T00:00:00"/>
    <d v="2011-04-20T00:00:00"/>
    <x v="0"/>
    <d v="2012-01-31T00:00:00"/>
    <x v="0"/>
    <d v="2012-10-03T00:00:00"/>
    <x v="3"/>
    <x v="2"/>
    <s v="A"/>
    <x v="0"/>
    <x v="0"/>
    <x v="17"/>
    <s v="Sílvia Firmino"/>
    <x v="16"/>
    <x v="0"/>
    <x v="2"/>
    <x v="0"/>
    <x v="0"/>
    <d v="2011-04-18T00:00:00"/>
    <d v="2011-04-20T00:00:00"/>
  </r>
  <r>
    <n v="21"/>
    <x v="0"/>
    <x v="6"/>
    <x v="20"/>
    <n v="12915"/>
    <x v="17"/>
    <m/>
    <m/>
    <x v="2"/>
    <d v="2010-01-04T00:00:00"/>
    <x v="3"/>
    <d v="2010-12-06T00:00:00"/>
    <d v="2011-04-27T00:00:00"/>
    <x v="1"/>
    <x v="0"/>
    <x v="0"/>
    <x v="4"/>
    <x v="0"/>
    <m/>
    <d v="2011-06-24T00:00:00"/>
    <x v="15"/>
    <m/>
    <n v="11000"/>
    <x v="0"/>
    <x v="0"/>
    <n v="66000"/>
    <m/>
    <x v="1"/>
    <n v="0"/>
    <x v="0"/>
    <x v="0"/>
    <d v="2011-06-16T00:00:00"/>
    <d v="2011-12-31T00:00:00"/>
    <x v="0"/>
    <d v="2013-06-19T00:00:00"/>
    <x v="0"/>
    <d v="2013-09-03T00:00:00"/>
    <x v="3"/>
    <x v="2"/>
    <s v="L"/>
    <x v="1"/>
    <x v="0"/>
    <x v="18"/>
    <s v="Joaquim Pinto"/>
    <x v="17"/>
    <x v="3"/>
    <x v="2"/>
    <x v="0"/>
    <x v="0"/>
    <d v="2011-06-16T00:00:00"/>
    <d v="2011-12-31T00:00:00"/>
  </r>
  <r>
    <n v="22"/>
    <x v="0"/>
    <x v="7"/>
    <x v="21"/>
    <n v="11733"/>
    <x v="18"/>
    <m/>
    <m/>
    <x v="1"/>
    <d v="2006-04-21T00:00:00"/>
    <x v="4"/>
    <d v="2006-06-08T00:00:00"/>
    <d v="2006-12-13T00:00:00"/>
    <x v="4"/>
    <x v="0"/>
    <x v="0"/>
    <x v="1"/>
    <x v="0"/>
    <m/>
    <d v="2008-12-22T00:00:00"/>
    <x v="16"/>
    <m/>
    <n v="12060"/>
    <x v="0"/>
    <x v="0"/>
    <n v="92460"/>
    <m/>
    <x v="0"/>
    <n v="0"/>
    <x v="0"/>
    <x v="0"/>
    <m/>
    <m/>
    <x v="0"/>
    <d v="2012-01-16T00:00:00"/>
    <x v="0"/>
    <d v="2013-09-03T00:00:00"/>
    <x v="1"/>
    <x v="2"/>
    <s v="K"/>
    <x v="0"/>
    <x v="0"/>
    <x v="19"/>
    <s v="Regina Pessoa"/>
    <x v="18"/>
    <x v="0"/>
    <x v="1"/>
    <x v="1"/>
    <x v="0"/>
    <d v="1899-12-30T00:00:00"/>
    <d v="1899-12-30T00:00:00"/>
  </r>
  <r>
    <n v="23"/>
    <x v="0"/>
    <x v="8"/>
    <x v="22"/>
    <m/>
    <x v="4"/>
    <m/>
    <m/>
    <x v="1"/>
    <d v="2004-07-28T00:00:00"/>
    <x v="5"/>
    <m/>
    <d v="2004-11-26T00:00:00"/>
    <x v="5"/>
    <x v="0"/>
    <x v="0"/>
    <x v="6"/>
    <x v="0"/>
    <m/>
    <d v="2005-01-19T00:00:00"/>
    <x v="17"/>
    <m/>
    <m/>
    <x v="0"/>
    <x v="0"/>
    <n v="130687.59"/>
    <n v="22237.8"/>
    <x v="1"/>
    <n v="22237.8"/>
    <x v="2"/>
    <x v="1"/>
    <m/>
    <m/>
    <x v="0"/>
    <m/>
    <x v="0"/>
    <d v="2013-09-03T00:00:00"/>
    <x v="0"/>
    <x v="2"/>
    <s v="H"/>
    <x v="3"/>
    <x v="0"/>
    <x v="20"/>
    <s v=""/>
    <x v="4"/>
    <x v="2"/>
    <x v="0"/>
    <x v="0"/>
    <x v="0"/>
    <d v="1899-12-30T00:00:00"/>
    <d v="1899-12-30T00:00:00"/>
  </r>
  <r>
    <n v="24"/>
    <x v="0"/>
    <x v="8"/>
    <x v="23"/>
    <n v="12392"/>
    <x v="19"/>
    <m/>
    <m/>
    <x v="2"/>
    <d v="2009-01-02T00:00:00"/>
    <x v="0"/>
    <d v="2009-12-02T00:00:00"/>
    <d v="2010-11-02T00:00:00"/>
    <x v="2"/>
    <x v="0"/>
    <x v="0"/>
    <x v="4"/>
    <x v="0"/>
    <m/>
    <d v="2010-12-09T00:00:00"/>
    <x v="15"/>
    <m/>
    <n v="11000"/>
    <x v="0"/>
    <x v="0"/>
    <n v="66000"/>
    <m/>
    <x v="1"/>
    <n v="0"/>
    <x v="0"/>
    <x v="0"/>
    <d v="2011-02-14T00:00:00"/>
    <d v="2012-02-29T00:00:00"/>
    <x v="0"/>
    <d v="2013-08-12T00:00:00"/>
    <x v="0"/>
    <d v="2014-11-06T00:00:00"/>
    <x v="3"/>
    <x v="2"/>
    <s v="A"/>
    <x v="1"/>
    <x v="0"/>
    <x v="21"/>
    <s v="Ângelo Torres"/>
    <x v="19"/>
    <x v="3"/>
    <x v="2"/>
    <x v="1"/>
    <x v="0"/>
    <d v="2011-02-14T00:00:00"/>
    <d v="2012-02-29T00:00:00"/>
  </r>
  <r>
    <n v="25"/>
    <x v="0"/>
    <x v="8"/>
    <x v="24"/>
    <m/>
    <x v="4"/>
    <m/>
    <m/>
    <x v="1"/>
    <d v="2010-01-04T00:00:00"/>
    <x v="3"/>
    <d v="2010-05-04T00:00:00"/>
    <d v="2011-01-03T00:00:00"/>
    <x v="1"/>
    <x v="0"/>
    <x v="1"/>
    <x v="5"/>
    <x v="2"/>
    <m/>
    <d v="2011-01-24T00:00:00"/>
    <x v="18"/>
    <m/>
    <m/>
    <x v="0"/>
    <x v="0"/>
    <n v="8200"/>
    <m/>
    <x v="1"/>
    <n v="0"/>
    <x v="0"/>
    <x v="0"/>
    <m/>
    <m/>
    <x v="0"/>
    <d v="2012-01-26T00:00:00"/>
    <x v="0"/>
    <d v="2012-07-17T00:00:00"/>
    <x v="3"/>
    <x v="2"/>
    <s v="A"/>
    <x v="0"/>
    <x v="0"/>
    <x v="22"/>
    <s v=""/>
    <x v="4"/>
    <x v="2"/>
    <x v="2"/>
    <x v="3"/>
    <x v="0"/>
    <d v="1899-12-30T00:00:00"/>
    <d v="1899-12-30T00:00:00"/>
  </r>
  <r>
    <n v="26"/>
    <x v="1"/>
    <x v="8"/>
    <x v="25"/>
    <m/>
    <x v="4"/>
    <m/>
    <m/>
    <x v="1"/>
    <d v="2010-01-04T00:00:00"/>
    <x v="3"/>
    <d v="2010-09-07T00:00:00"/>
    <d v="2011-03-24T00:00:00"/>
    <x v="1"/>
    <x v="0"/>
    <x v="0"/>
    <x v="3"/>
    <x v="0"/>
    <m/>
    <d v="2011-06-06T00:00:00"/>
    <x v="9"/>
    <m/>
    <n v="9000"/>
    <x v="0"/>
    <x v="0"/>
    <n v="54000"/>
    <n v="4500"/>
    <x v="3"/>
    <n v="13500"/>
    <x v="3"/>
    <x v="0"/>
    <d v="2012-03-05T00:00:00"/>
    <d v="2012-07-09T00:00:00"/>
    <x v="0"/>
    <m/>
    <x v="0"/>
    <d v="2014-01-23T00:00:00"/>
    <x v="2"/>
    <x v="2"/>
    <s v="N"/>
    <x v="3"/>
    <x v="0"/>
    <x v="22"/>
    <s v=""/>
    <x v="4"/>
    <x v="2"/>
    <x v="0"/>
    <x v="1"/>
    <x v="0"/>
    <d v="2012-03-05T00:00:00"/>
    <d v="2012-07-09T00:00:00"/>
  </r>
  <r>
    <n v="27"/>
    <x v="0"/>
    <x v="8"/>
    <x v="26"/>
    <n v="12398"/>
    <x v="20"/>
    <m/>
    <m/>
    <x v="1"/>
    <d v="2010-01-04T00:00:00"/>
    <x v="3"/>
    <d v="2010-09-07T00:00:00"/>
    <d v="2011-03-24T00:00:00"/>
    <x v="1"/>
    <x v="0"/>
    <x v="0"/>
    <x v="3"/>
    <x v="0"/>
    <m/>
    <d v="2011-06-06T00:00:00"/>
    <x v="9"/>
    <m/>
    <n v="9000"/>
    <x v="0"/>
    <x v="0"/>
    <n v="54000"/>
    <m/>
    <x v="3"/>
    <n v="9000"/>
    <x v="4"/>
    <x v="0"/>
    <d v="2012-12-21T00:00:00"/>
    <d v="2012-12-31T00:00:00"/>
    <x v="1"/>
    <d v="2013-08-16T00:00:00"/>
    <x v="0"/>
    <d v="2013-09-03T00:00:00"/>
    <x v="2"/>
    <x v="2"/>
    <s v="O"/>
    <x v="1"/>
    <x v="0"/>
    <x v="23"/>
    <s v="Nicolau Breyner"/>
    <x v="20"/>
    <x v="3"/>
    <x v="0"/>
    <x v="1"/>
    <x v="0"/>
    <d v="2012-12-21T00:00:00"/>
    <d v="2012-12-31T00:00:00"/>
  </r>
  <r>
    <n v="28"/>
    <x v="0"/>
    <x v="9"/>
    <x v="27"/>
    <m/>
    <x v="4"/>
    <m/>
    <m/>
    <x v="1"/>
    <d v="2011-01-03T00:00:00"/>
    <x v="1"/>
    <d v="2011-04-06T00:00:00"/>
    <d v="2011-10-10T00:00:00"/>
    <x v="1"/>
    <x v="0"/>
    <x v="1"/>
    <x v="7"/>
    <x v="3"/>
    <m/>
    <d v="2011-12-14T00:00:00"/>
    <x v="19"/>
    <m/>
    <m/>
    <x v="0"/>
    <x v="0"/>
    <n v="9000"/>
    <m/>
    <x v="1"/>
    <n v="0"/>
    <x v="0"/>
    <x v="0"/>
    <m/>
    <m/>
    <x v="0"/>
    <d v="2013-07-10T00:00:00"/>
    <x v="0"/>
    <d v="2013-08-06T00:00:00"/>
    <x v="4"/>
    <x v="3"/>
    <s v="A"/>
    <x v="1"/>
    <x v="0"/>
    <x v="24"/>
    <s v=""/>
    <x v="4"/>
    <x v="2"/>
    <x v="3"/>
    <x v="3"/>
    <x v="0"/>
    <d v="1899-12-30T00:00:00"/>
    <d v="1899-12-30T00:00:00"/>
  </r>
  <r>
    <n v="29"/>
    <x v="1"/>
    <x v="9"/>
    <x v="28"/>
    <m/>
    <x v="4"/>
    <m/>
    <m/>
    <x v="1"/>
    <d v="2009-01-02T00:00:00"/>
    <x v="0"/>
    <d v="2009-04-13T00:00:00"/>
    <d v="2009-07-29T00:00:00"/>
    <x v="0"/>
    <x v="0"/>
    <x v="0"/>
    <x v="6"/>
    <x v="0"/>
    <m/>
    <d v="2011-02-28T00:00:00"/>
    <x v="20"/>
    <m/>
    <m/>
    <x v="0"/>
    <x v="0"/>
    <n v="106353"/>
    <m/>
    <x v="1"/>
    <n v="0"/>
    <x v="5"/>
    <x v="0"/>
    <d v="2012-04-01T00:00:00"/>
    <d v="2012-02-25T00:00:00"/>
    <x v="0"/>
    <m/>
    <x v="0"/>
    <d v="2013-04-19T00:00:00"/>
    <x v="0"/>
    <x v="3"/>
    <s v="Q"/>
    <x v="3"/>
    <x v="0"/>
    <x v="25"/>
    <s v=""/>
    <x v="4"/>
    <x v="2"/>
    <x v="0"/>
    <x v="0"/>
    <x v="0"/>
    <d v="2012-04-01T00:00:00"/>
    <d v="2012-02-25T00:00:00"/>
  </r>
  <r>
    <n v="30"/>
    <x v="0"/>
    <x v="9"/>
    <x v="29"/>
    <n v="12358"/>
    <x v="21"/>
    <m/>
    <m/>
    <x v="1"/>
    <d v="2010-01-04T00:00:00"/>
    <x v="3"/>
    <d v="2010-07-27T00:00:00"/>
    <d v="2010-01-03T00:00:00"/>
    <x v="2"/>
    <x v="0"/>
    <x v="0"/>
    <x v="8"/>
    <x v="0"/>
    <m/>
    <d v="2011-01-25T00:00:00"/>
    <x v="21"/>
    <m/>
    <n v="90000"/>
    <x v="0"/>
    <x v="0"/>
    <n v="540000"/>
    <m/>
    <x v="4"/>
    <n v="90000"/>
    <x v="4"/>
    <x v="0"/>
    <d v="2011-11-07T00:00:00"/>
    <d v="2012-02-24T00:00:00"/>
    <x v="1"/>
    <d v="2013-07-22T00:00:00"/>
    <x v="0"/>
    <d v="2013-11-27T00:00:00"/>
    <x v="0"/>
    <x v="3"/>
    <s v="B"/>
    <x v="1"/>
    <x v="0"/>
    <x v="26"/>
    <s v="Inês Oliveira"/>
    <x v="21"/>
    <x v="3"/>
    <x v="0"/>
    <x v="0"/>
    <x v="0"/>
    <d v="2011-11-07T00:00:00"/>
    <d v="2012-02-24T00:00:00"/>
  </r>
  <r>
    <n v="31"/>
    <x v="0"/>
    <x v="9"/>
    <x v="30"/>
    <n v="11666"/>
    <x v="22"/>
    <m/>
    <m/>
    <x v="1"/>
    <d v="2010-01-04T00:00:00"/>
    <x v="3"/>
    <d v="2010-09-07T00:00:00"/>
    <d v="2011-03-24T00:00:00"/>
    <x v="1"/>
    <x v="0"/>
    <x v="0"/>
    <x v="3"/>
    <x v="0"/>
    <m/>
    <d v="2011-06-15T00:00:00"/>
    <x v="22"/>
    <m/>
    <n v="9000"/>
    <x v="0"/>
    <x v="0"/>
    <n v="63000"/>
    <m/>
    <x v="0"/>
    <n v="0"/>
    <x v="0"/>
    <x v="0"/>
    <d v="2011-10-27T00:00:00"/>
    <d v="2011-10-30T00:00:00"/>
    <x v="0"/>
    <d v="2012-11-23T00:00:00"/>
    <x v="0"/>
    <d v="2013-03-04T00:00:00"/>
    <x v="2"/>
    <x v="3"/>
    <s v="C"/>
    <x v="0"/>
    <x v="0"/>
    <x v="27"/>
    <s v="David Bonneville"/>
    <x v="22"/>
    <x v="0"/>
    <x v="0"/>
    <x v="1"/>
    <x v="0"/>
    <d v="2011-10-27T00:00:00"/>
    <d v="2011-10-30T00:00:00"/>
  </r>
  <r>
    <n v="32"/>
    <x v="0"/>
    <x v="10"/>
    <x v="31"/>
    <n v="13362"/>
    <x v="23"/>
    <m/>
    <m/>
    <x v="1"/>
    <d v="2005-05-27T00:00:00"/>
    <x v="6"/>
    <m/>
    <d v="2005-11-11T00:00:00"/>
    <x v="6"/>
    <x v="0"/>
    <x v="0"/>
    <x v="9"/>
    <x v="0"/>
    <m/>
    <d v="2010-08-19T00:00:00"/>
    <x v="23"/>
    <m/>
    <n v="97500"/>
    <x v="0"/>
    <x v="0"/>
    <n v="747500"/>
    <n v="32500"/>
    <x v="1"/>
    <n v="32500"/>
    <x v="4"/>
    <x v="0"/>
    <d v="2014-03-03T00:00:00"/>
    <d v="2014-04-12T00:00:00"/>
    <x v="0"/>
    <d v="2014-12-01T00:00:00"/>
    <x v="0"/>
    <d v="2015-01-16T00:00:00"/>
    <x v="0"/>
    <x v="4"/>
    <s v="G"/>
    <x v="4"/>
    <x v="0"/>
    <x v="28"/>
    <s v="Luís Galvão Teles"/>
    <x v="23"/>
    <x v="1"/>
    <x v="0"/>
    <x v="0"/>
    <x v="0"/>
    <d v="2014-03-03T00:00:00"/>
    <d v="2014-04-12T00:00:00"/>
  </r>
  <r>
    <n v="33"/>
    <x v="0"/>
    <x v="10"/>
    <x v="32"/>
    <n v="12434"/>
    <x v="24"/>
    <m/>
    <m/>
    <x v="1"/>
    <d v="2008-01-02T00:00:00"/>
    <x v="2"/>
    <d v="2008-07-15T00:00:00"/>
    <d v="2009-04-28T00:00:00"/>
    <x v="0"/>
    <x v="0"/>
    <x v="0"/>
    <x v="10"/>
    <x v="0"/>
    <m/>
    <d v="2009-09-22T00:00:00"/>
    <x v="24"/>
    <m/>
    <m/>
    <x v="0"/>
    <x v="0"/>
    <n v="100000"/>
    <m/>
    <x v="1"/>
    <n v="0"/>
    <x v="0"/>
    <x v="0"/>
    <d v="2011-07-17T00:00:00"/>
    <d v="2011-09-03T00:00:00"/>
    <x v="0"/>
    <d v="2012-09-07T00:00:00"/>
    <x v="0"/>
    <d v="2013-12-05T00:00:00"/>
    <x v="0"/>
    <x v="4"/>
    <s v="I"/>
    <x v="0"/>
    <x v="0"/>
    <x v="29"/>
    <s v="Juan Carlos Medina"/>
    <x v="21"/>
    <x v="0"/>
    <x v="0"/>
    <x v="0"/>
    <x v="0"/>
    <d v="2011-07-17T00:00:00"/>
    <d v="2011-09-03T00:00:00"/>
  </r>
  <r>
    <n v="34"/>
    <x v="0"/>
    <x v="11"/>
    <x v="33"/>
    <n v="12987"/>
    <x v="25"/>
    <m/>
    <m/>
    <x v="2"/>
    <d v="2010-01-04T00:00:00"/>
    <x v="3"/>
    <d v="2010-12-06T00:00:00"/>
    <d v="2011-04-27T00:00:00"/>
    <x v="1"/>
    <x v="0"/>
    <x v="0"/>
    <x v="4"/>
    <x v="0"/>
    <m/>
    <d v="2011-06-15T00:00:00"/>
    <x v="25"/>
    <m/>
    <n v="11900"/>
    <x v="0"/>
    <x v="0"/>
    <n v="71400"/>
    <m/>
    <x v="1"/>
    <n v="0"/>
    <x v="0"/>
    <x v="0"/>
    <d v="2011-09-23T00:00:00"/>
    <d v="2012-03-01T00:00:00"/>
    <x v="0"/>
    <d v="2014-05-14T00:00:00"/>
    <x v="0"/>
    <d v="2014-12-02T00:00:00"/>
    <x v="3"/>
    <x v="4"/>
    <s v="R"/>
    <x v="4"/>
    <x v="0"/>
    <x v="30"/>
    <s v="Sérgio Tréfaut"/>
    <x v="24"/>
    <x v="1"/>
    <x v="2"/>
    <x v="0"/>
    <x v="0"/>
    <d v="2011-09-23T00:00:00"/>
    <d v="2012-03-01T00:00:00"/>
  </r>
  <r>
    <n v="35"/>
    <x v="0"/>
    <x v="12"/>
    <x v="34"/>
    <n v="11715"/>
    <x v="26"/>
    <m/>
    <m/>
    <x v="0"/>
    <d v="2010-01-04T00:00:00"/>
    <x v="3"/>
    <d v="2010-06-08T00:00:00"/>
    <d v="2010-12-14T00:00:00"/>
    <x v="2"/>
    <x v="0"/>
    <x v="0"/>
    <x v="4"/>
    <x v="0"/>
    <m/>
    <d v="2011-02-21T00:00:00"/>
    <x v="26"/>
    <m/>
    <n v="4500"/>
    <x v="0"/>
    <x v="0"/>
    <n v="27000"/>
    <m/>
    <x v="1"/>
    <n v="0"/>
    <x v="0"/>
    <x v="0"/>
    <d v="2011-04-11T00:00:00"/>
    <d v="2011-04-28T00:00:00"/>
    <x v="0"/>
    <d v="2012-02-08T00:00:00"/>
    <x v="0"/>
    <d v="2012-07-02T00:00:00"/>
    <x v="3"/>
    <x v="4"/>
    <s v="O"/>
    <x v="0"/>
    <x v="0"/>
    <x v="31"/>
    <s v="Fernando Matos Silva"/>
    <x v="25"/>
    <x v="0"/>
    <x v="2"/>
    <x v="0"/>
    <x v="0"/>
    <d v="2011-04-11T00:00:00"/>
    <d v="2011-04-28T00:00:00"/>
  </r>
  <r>
    <n v="36"/>
    <x v="0"/>
    <x v="13"/>
    <x v="35"/>
    <n v="11728"/>
    <x v="27"/>
    <m/>
    <m/>
    <x v="2"/>
    <d v="2008-01-02T00:00:00"/>
    <x v="2"/>
    <d v="2008-12-03T00:00:00"/>
    <d v="2009-07-20T00:00:00"/>
    <x v="0"/>
    <x v="0"/>
    <x v="0"/>
    <x v="4"/>
    <x v="0"/>
    <m/>
    <d v="2009-08-31T00:00:00"/>
    <x v="2"/>
    <m/>
    <n v="15000"/>
    <x v="0"/>
    <x v="0"/>
    <n v="90000"/>
    <n v="7500"/>
    <x v="5"/>
    <n v="22500"/>
    <x v="4"/>
    <x v="0"/>
    <d v="2010-01-11T00:00:00"/>
    <d v="2010-05-31T00:00:00"/>
    <x v="2"/>
    <d v="2012-10-29T00:00:00"/>
    <x v="0"/>
    <d v="2014-01-23T00:00:00"/>
    <x v="3"/>
    <x v="4"/>
    <s v="S"/>
    <x v="0"/>
    <x v="0"/>
    <x v="32"/>
    <s v="Margarida Cardoso"/>
    <x v="26"/>
    <x v="0"/>
    <x v="2"/>
    <x v="0"/>
    <x v="0"/>
    <d v="2010-01-11T00:00:00"/>
    <d v="2010-05-31T00:00:00"/>
  </r>
  <r>
    <n v="37"/>
    <x v="0"/>
    <x v="13"/>
    <x v="36"/>
    <n v="11663"/>
    <x v="28"/>
    <m/>
    <s v="NAS PENAS DOS PÁSSAROS"/>
    <x v="1"/>
    <d v="2009-01-02T00:00:00"/>
    <x v="0"/>
    <d v="2009-03-18T00:00:00"/>
    <d v="2009-09-14T00:00:00"/>
    <x v="0"/>
    <x v="0"/>
    <x v="0"/>
    <x v="11"/>
    <x v="0"/>
    <m/>
    <d v="2009-10-16T00:00:00"/>
    <x v="27"/>
    <m/>
    <n v="100000"/>
    <x v="0"/>
    <x v="0"/>
    <n v="600000"/>
    <m/>
    <x v="1"/>
    <n v="0"/>
    <x v="0"/>
    <x v="0"/>
    <d v="2011-11-19T00:00:00"/>
    <d v="2012-04-09T00:00:00"/>
    <x v="0"/>
    <d v="2012-10-29T00:00:00"/>
    <x v="0"/>
    <d v="2014-03-04T00:00:00"/>
    <x v="0"/>
    <x v="4"/>
    <s v="Y"/>
    <x v="0"/>
    <x v="0"/>
    <x v="32"/>
    <s v="Margarida Cardoso"/>
    <x v="27"/>
    <x v="1"/>
    <x v="0"/>
    <x v="0"/>
    <x v="0"/>
    <d v="2011-11-19T00:00:00"/>
    <d v="2012-04-09T00:00:00"/>
  </r>
  <r>
    <n v="38"/>
    <x v="0"/>
    <x v="13"/>
    <x v="37"/>
    <n v="13495"/>
    <x v="29"/>
    <m/>
    <m/>
    <x v="1"/>
    <d v="2010-01-04T00:00:00"/>
    <x v="3"/>
    <d v="2010-03-16T00:00:00"/>
    <d v="2010-10-11T00:00:00"/>
    <x v="2"/>
    <x v="0"/>
    <x v="0"/>
    <x v="11"/>
    <x v="0"/>
    <m/>
    <d v="2010-11-18T00:00:00"/>
    <x v="27"/>
    <m/>
    <n v="100000"/>
    <x v="0"/>
    <x v="0"/>
    <n v="600000"/>
    <n v="25000"/>
    <x v="1"/>
    <n v="25000"/>
    <x v="4"/>
    <x v="0"/>
    <d v="2013-09-23T00:00:00"/>
    <d v="2013-11-23T00:00:00"/>
    <x v="0"/>
    <d v="2015-02-06T00:00:00"/>
    <x v="0"/>
    <d v="2015-04-06T00:00:00"/>
    <x v="0"/>
    <x v="4"/>
    <s v="M"/>
    <x v="5"/>
    <x v="0"/>
    <x v="33"/>
    <s v="João Salaviza"/>
    <x v="28"/>
    <x v="4"/>
    <x v="0"/>
    <x v="0"/>
    <x v="0"/>
    <d v="2013-09-23T00:00:00"/>
    <d v="2013-11-23T00:00:00"/>
  </r>
  <r>
    <n v="39"/>
    <x v="0"/>
    <x v="13"/>
    <x v="38"/>
    <n v="12653"/>
    <x v="30"/>
    <m/>
    <m/>
    <x v="1"/>
    <d v="2010-01-04T00:00:00"/>
    <x v="3"/>
    <d v="2010-07-06T00:00:00"/>
    <d v="2010-12-13T00:00:00"/>
    <x v="2"/>
    <x v="0"/>
    <x v="0"/>
    <x v="10"/>
    <x v="0"/>
    <m/>
    <d v="2011-01-25T00:00:00"/>
    <x v="28"/>
    <m/>
    <m/>
    <x v="0"/>
    <x v="0"/>
    <n v="170000"/>
    <m/>
    <x v="1"/>
    <n v="0"/>
    <x v="0"/>
    <x v="0"/>
    <d v="2011-05-01T00:00:00"/>
    <d v="2011-06-30T00:00:00"/>
    <x v="0"/>
    <d v="2013-12-17T00:00:00"/>
    <x v="0"/>
    <d v="2014-01-20T00:00:00"/>
    <x v="0"/>
    <x v="4"/>
    <s v="B"/>
    <x v="1"/>
    <x v="0"/>
    <x v="34"/>
    <s v="Andrzej Jakimowski"/>
    <x v="29"/>
    <x v="3"/>
    <x v="0"/>
    <x v="0"/>
    <x v="0"/>
    <d v="2011-05-01T00:00:00"/>
    <d v="2011-06-30T00:00:00"/>
  </r>
  <r>
    <n v="40"/>
    <x v="0"/>
    <x v="13"/>
    <x v="39"/>
    <n v="13047"/>
    <x v="31"/>
    <m/>
    <m/>
    <x v="2"/>
    <d v="2010-01-04T00:00:00"/>
    <x v="3"/>
    <d v="2010-12-06T00:00:00"/>
    <d v="2011-04-27T00:00:00"/>
    <x v="1"/>
    <x v="0"/>
    <x v="0"/>
    <x v="4"/>
    <x v="0"/>
    <m/>
    <d v="2011-06-06T00:00:00"/>
    <x v="25"/>
    <m/>
    <n v="11900"/>
    <x v="0"/>
    <x v="0"/>
    <n v="71400"/>
    <m/>
    <x v="6"/>
    <n v="11900"/>
    <x v="4"/>
    <x v="0"/>
    <d v="2011-11-22T00:00:00"/>
    <d v="2012-06-15T00:00:00"/>
    <x v="1"/>
    <d v="2014-07-01T00:00:00"/>
    <x v="0"/>
    <d v="2014-08-06T00:00:00"/>
    <x v="3"/>
    <x v="4"/>
    <s v="Q"/>
    <x v="4"/>
    <x v="0"/>
    <x v="35"/>
    <s v="João Botelho"/>
    <x v="21"/>
    <x v="1"/>
    <x v="2"/>
    <x v="0"/>
    <x v="0"/>
    <d v="2011-11-22T00:00:00"/>
    <d v="2012-06-15T00:00:00"/>
  </r>
  <r>
    <n v="41"/>
    <x v="0"/>
    <x v="14"/>
    <x v="40"/>
    <n v="11737"/>
    <x v="32"/>
    <m/>
    <m/>
    <x v="1"/>
    <d v="2007-04-30T00:00:00"/>
    <x v="7"/>
    <d v="2007-09-26T00:00:00"/>
    <d v="2008-01-28T00:00:00"/>
    <x v="7"/>
    <x v="0"/>
    <x v="0"/>
    <x v="1"/>
    <x v="0"/>
    <m/>
    <d v="2008-10-17T00:00:00"/>
    <x v="29"/>
    <m/>
    <n v="10772.67"/>
    <x v="0"/>
    <x v="0"/>
    <n v="64636"/>
    <n v="2693.17"/>
    <x v="1"/>
    <n v="2693.17"/>
    <x v="4"/>
    <x v="0"/>
    <m/>
    <m/>
    <x v="0"/>
    <d v="2012-10-17T00:00:00"/>
    <x v="0"/>
    <d v="2014-01-23T00:00:00"/>
    <x v="1"/>
    <x v="4"/>
    <s v="S"/>
    <x v="0"/>
    <x v="0"/>
    <x v="36"/>
    <s v="Nuno Fragata"/>
    <x v="30"/>
    <x v="0"/>
    <x v="1"/>
    <x v="1"/>
    <x v="0"/>
    <d v="1899-12-30T00:00:00"/>
    <d v="1899-12-30T00:00:00"/>
  </r>
  <r>
    <n v="42"/>
    <x v="0"/>
    <x v="14"/>
    <x v="41"/>
    <n v="13102"/>
    <x v="33"/>
    <m/>
    <m/>
    <x v="1"/>
    <d v="2009-01-02T00:00:00"/>
    <x v="0"/>
    <d v="2009-09-23T00:00:00"/>
    <d v="2010-03-26T00:00:00"/>
    <x v="2"/>
    <x v="0"/>
    <x v="0"/>
    <x v="1"/>
    <x v="0"/>
    <m/>
    <d v="2010-05-18T00:00:00"/>
    <x v="30"/>
    <m/>
    <n v="7308"/>
    <x v="0"/>
    <x v="0"/>
    <n v="43848"/>
    <m/>
    <x v="1"/>
    <n v="0"/>
    <x v="0"/>
    <x v="0"/>
    <m/>
    <m/>
    <x v="0"/>
    <d v="2014-07-24T00:00:00"/>
    <x v="0"/>
    <d v="2015-01-16T00:00:00"/>
    <x v="1"/>
    <x v="4"/>
    <s v="F"/>
    <x v="4"/>
    <x v="0"/>
    <x v="37"/>
    <s v="Patrícia Figueiredo"/>
    <x v="31"/>
    <x v="1"/>
    <x v="1"/>
    <x v="1"/>
    <x v="0"/>
    <d v="1899-12-30T00:00:00"/>
    <d v="1899-12-30T00:00:00"/>
  </r>
  <r>
    <n v="43"/>
    <x v="0"/>
    <x v="15"/>
    <x v="42"/>
    <m/>
    <x v="4"/>
    <m/>
    <m/>
    <x v="1"/>
    <d v="2011-01-03T00:00:00"/>
    <x v="1"/>
    <d v="2011-04-06T00:00:00"/>
    <d v="2011-10-10T00:00:00"/>
    <x v="1"/>
    <x v="0"/>
    <x v="1"/>
    <x v="7"/>
    <x v="3"/>
    <m/>
    <d v="2011-11-30T00:00:00"/>
    <x v="31"/>
    <m/>
    <m/>
    <x v="0"/>
    <x v="0"/>
    <n v="7500"/>
    <m/>
    <x v="1"/>
    <n v="0"/>
    <x v="0"/>
    <x v="0"/>
    <m/>
    <m/>
    <x v="0"/>
    <d v="2013-02-04T00:00:00"/>
    <x v="0"/>
    <d v="2013-01-29T00:00:00"/>
    <x v="4"/>
    <x v="5"/>
    <s v="A"/>
    <x v="1"/>
    <x v="0"/>
    <x v="38"/>
    <s v=""/>
    <x v="4"/>
    <x v="2"/>
    <x v="3"/>
    <x v="3"/>
    <x v="0"/>
    <d v="1899-12-30T00:00:00"/>
    <d v="1899-12-30T00:00:00"/>
  </r>
  <r>
    <n v="44"/>
    <x v="0"/>
    <x v="16"/>
    <x v="43"/>
    <m/>
    <x v="4"/>
    <m/>
    <m/>
    <x v="1"/>
    <d v="2011-01-03T00:00:00"/>
    <x v="1"/>
    <d v="2011-04-06T00:00:00"/>
    <d v="2011-10-10T00:00:00"/>
    <x v="1"/>
    <x v="0"/>
    <x v="1"/>
    <x v="7"/>
    <x v="3"/>
    <m/>
    <d v="2011-11-03T00:00:00"/>
    <x v="32"/>
    <m/>
    <m/>
    <x v="0"/>
    <x v="0"/>
    <n v="9500"/>
    <n v="0"/>
    <x v="1"/>
    <n v="0"/>
    <x v="0"/>
    <x v="0"/>
    <m/>
    <m/>
    <x v="0"/>
    <d v="2012-08-27T00:00:00"/>
    <x v="0"/>
    <d v="2013-01-09T00:00:00"/>
    <x v="4"/>
    <x v="6"/>
    <s v="F"/>
    <x v="0"/>
    <x v="0"/>
    <x v="39"/>
    <s v=""/>
    <x v="4"/>
    <x v="2"/>
    <x v="3"/>
    <x v="3"/>
    <x v="0"/>
    <d v="1899-12-30T00:00:00"/>
    <d v="1899-12-30T00:00:00"/>
  </r>
  <r>
    <n v="45"/>
    <x v="0"/>
    <x v="17"/>
    <x v="44"/>
    <n v="11656"/>
    <x v="34"/>
    <m/>
    <m/>
    <x v="1"/>
    <d v="2009-01-02T00:00:00"/>
    <x v="0"/>
    <d v="2009-07-22T00:00:00"/>
    <d v="2010-02-09T00:00:00"/>
    <x v="2"/>
    <x v="0"/>
    <x v="0"/>
    <x v="8"/>
    <x v="0"/>
    <m/>
    <d v="2010-02-18T00:00:00"/>
    <x v="21"/>
    <m/>
    <n v="90000"/>
    <x v="0"/>
    <x v="0"/>
    <n v="540000"/>
    <n v="0"/>
    <x v="0"/>
    <n v="0"/>
    <x v="0"/>
    <x v="0"/>
    <d v="2011-11-14T00:00:00"/>
    <d v="2012-02-27T00:00:00"/>
    <x v="3"/>
    <d v="2012-08-30T00:00:00"/>
    <x v="0"/>
    <d v="2013-01-09T00:00:00"/>
    <x v="0"/>
    <x v="7"/>
    <s v="C"/>
    <x v="0"/>
    <x v="0"/>
    <x v="40"/>
    <s v="Sana Na N'Hada"/>
    <x v="32"/>
    <x v="0"/>
    <x v="0"/>
    <x v="0"/>
    <x v="0"/>
    <d v="2011-11-14T00:00:00"/>
    <d v="2012-02-27T00:00:00"/>
  </r>
  <r>
    <n v="46"/>
    <x v="0"/>
    <x v="17"/>
    <x v="45"/>
    <n v="12402"/>
    <x v="35"/>
    <m/>
    <m/>
    <x v="1"/>
    <d v="2010-01-04T00:00:00"/>
    <x v="3"/>
    <d v="2010-09-07T00:00:00"/>
    <d v="2011-03-24T00:00:00"/>
    <x v="1"/>
    <x v="0"/>
    <x v="0"/>
    <x v="3"/>
    <x v="0"/>
    <m/>
    <d v="2011-05-20T00:00:00"/>
    <x v="9"/>
    <m/>
    <n v="9000"/>
    <x v="0"/>
    <x v="0"/>
    <n v="54000"/>
    <m/>
    <x v="1"/>
    <n v="0"/>
    <x v="0"/>
    <x v="0"/>
    <d v="2012-09-01T00:00:00"/>
    <d v="2012-10-07T00:00:00"/>
    <x v="1"/>
    <d v="2013-08-21T00:00:00"/>
    <x v="0"/>
    <d v="2014-01-20T00:00:00"/>
    <x v="2"/>
    <x v="7"/>
    <s v="O"/>
    <x v="1"/>
    <x v="0"/>
    <x v="41"/>
    <s v="Vítor Alves, Miguel Aguiar"/>
    <x v="33"/>
    <x v="3"/>
    <x v="0"/>
    <x v="1"/>
    <x v="0"/>
    <d v="2012-09-01T00:00:00"/>
    <d v="2012-10-07T00:00:00"/>
  </r>
  <r>
    <n v="47"/>
    <x v="0"/>
    <x v="18"/>
    <x v="46"/>
    <n v="13322"/>
    <x v="36"/>
    <m/>
    <m/>
    <x v="2"/>
    <d v="2010-01-04T00:00:00"/>
    <x v="3"/>
    <d v="2010-12-06T00:00:00"/>
    <d v="2011-04-27T00:00:00"/>
    <x v="1"/>
    <x v="0"/>
    <x v="0"/>
    <x v="4"/>
    <x v="0"/>
    <m/>
    <d v="2011-06-06T00:00:00"/>
    <x v="33"/>
    <m/>
    <n v="12000"/>
    <x v="0"/>
    <x v="0"/>
    <n v="72000"/>
    <m/>
    <x v="1"/>
    <n v="0"/>
    <x v="0"/>
    <x v="0"/>
    <d v="2011-11-14T00:00:00"/>
    <d v="2011-12-14T00:00:00"/>
    <x v="0"/>
    <d v="2014-11-05T00:00:00"/>
    <x v="0"/>
    <d v="2015-03-02T00:00:00"/>
    <x v="3"/>
    <x v="8"/>
    <s v="G"/>
    <x v="4"/>
    <x v="0"/>
    <x v="39"/>
    <s v="João Canijo"/>
    <x v="21"/>
    <x v="1"/>
    <x v="2"/>
    <x v="0"/>
    <x v="0"/>
    <d v="2011-11-14T00:00:00"/>
    <d v="2011-12-14T00:00:00"/>
  </r>
  <r>
    <n v="48"/>
    <x v="0"/>
    <x v="19"/>
    <x v="47"/>
    <n v="11754"/>
    <x v="37"/>
    <m/>
    <m/>
    <x v="1"/>
    <d v="2010-01-04T00:00:00"/>
    <x v="3"/>
    <d v="2010-05-25T00:00:00"/>
    <d v="2010-10-08T00:00:00"/>
    <x v="2"/>
    <x v="0"/>
    <x v="0"/>
    <x v="12"/>
    <x v="0"/>
    <m/>
    <d v="2011-01-17T00:00:00"/>
    <x v="34"/>
    <m/>
    <n v="140000"/>
    <x v="0"/>
    <x v="0"/>
    <n v="840000"/>
    <m/>
    <x v="1"/>
    <n v="0"/>
    <x v="0"/>
    <x v="0"/>
    <d v="2012-05-13T00:00:00"/>
    <d v="2012-06-22T00:00:00"/>
    <x v="1"/>
    <d v="2012-12-27T00:00:00"/>
    <x v="0"/>
    <d v="2013-08-06T00:00:00"/>
    <x v="0"/>
    <x v="8"/>
    <s v="Q"/>
    <x v="0"/>
    <x v="0"/>
    <x v="42"/>
    <s v="Joaquim Leitão"/>
    <x v="34"/>
    <x v="3"/>
    <x v="0"/>
    <x v="0"/>
    <x v="0"/>
    <d v="2012-05-13T00:00:00"/>
    <d v="2012-06-22T00:00:00"/>
  </r>
  <r>
    <n v="49"/>
    <x v="0"/>
    <x v="19"/>
    <x v="48"/>
    <n v="13156"/>
    <x v="38"/>
    <m/>
    <m/>
    <x v="1"/>
    <d v="2011-01-03T00:00:00"/>
    <x v="1"/>
    <d v="2011-05-25T00:00:00"/>
    <d v="2011-10-10T00:00:00"/>
    <x v="1"/>
    <x v="0"/>
    <x v="0"/>
    <x v="12"/>
    <x v="0"/>
    <m/>
    <d v="2011-12-14T00:00:00"/>
    <x v="34"/>
    <m/>
    <n v="140000"/>
    <x v="0"/>
    <x v="0"/>
    <n v="840000"/>
    <m/>
    <x v="1"/>
    <n v="0"/>
    <x v="0"/>
    <x v="0"/>
    <d v="2013-05-13T00:00:00"/>
    <d v="2013-06-28T00:00:00"/>
    <x v="1"/>
    <d v="2014-09-22T00:00:00"/>
    <x v="0"/>
    <d v="2015-01-16T00:00:00"/>
    <x v="0"/>
    <x v="8"/>
    <s v="O"/>
    <x v="4"/>
    <x v="0"/>
    <x v="43"/>
    <s v="António-Pedro Vasconcelos"/>
    <x v="35"/>
    <x v="1"/>
    <x v="0"/>
    <x v="0"/>
    <x v="0"/>
    <d v="2013-05-13T00:00:00"/>
    <d v="2013-06-28T00:00:00"/>
  </r>
  <r>
    <n v="50"/>
    <x v="0"/>
    <x v="20"/>
    <x v="49"/>
    <m/>
    <x v="4"/>
    <m/>
    <m/>
    <x v="1"/>
    <d v="2011-01-03T00:00:00"/>
    <x v="1"/>
    <d v="2011-04-06T00:00:00"/>
    <d v="2011-10-10T00:00:00"/>
    <x v="1"/>
    <x v="0"/>
    <x v="1"/>
    <x v="7"/>
    <x v="3"/>
    <m/>
    <d v="2011-10-28T00:00:00"/>
    <x v="31"/>
    <m/>
    <m/>
    <x v="0"/>
    <x v="0"/>
    <n v="7500"/>
    <n v="0"/>
    <x v="1"/>
    <n v="0"/>
    <x v="0"/>
    <x v="0"/>
    <m/>
    <m/>
    <x v="0"/>
    <d v="2012-12-13T00:00:00"/>
    <x v="0"/>
    <d v="2013-01-09T00:00:00"/>
    <x v="4"/>
    <x v="8"/>
    <s v="V"/>
    <x v="0"/>
    <x v="0"/>
    <x v="44"/>
    <s v=""/>
    <x v="4"/>
    <x v="2"/>
    <x v="3"/>
    <x v="3"/>
    <x v="0"/>
    <d v="1899-12-30T00:00:00"/>
    <d v="1899-12-30T00:00:00"/>
  </r>
  <r>
    <n v="51"/>
    <x v="0"/>
    <x v="21"/>
    <x v="50"/>
    <n v="13557"/>
    <x v="39"/>
    <m/>
    <m/>
    <x v="1"/>
    <d v="2009-01-02T00:00:00"/>
    <x v="0"/>
    <d v="2009-09-23T00:00:00"/>
    <d v="2010-03-26T00:00:00"/>
    <x v="2"/>
    <x v="0"/>
    <x v="0"/>
    <x v="1"/>
    <x v="0"/>
    <m/>
    <d v="2010-07-19T00:00:00"/>
    <x v="35"/>
    <m/>
    <n v="15890.4"/>
    <x v="0"/>
    <x v="0"/>
    <n v="95342.399999999994"/>
    <m/>
    <x v="1"/>
    <n v="0"/>
    <x v="0"/>
    <x v="0"/>
    <m/>
    <m/>
    <x v="0"/>
    <d v="2015-02-23T00:00:00"/>
    <x v="0"/>
    <d v="2015-03-02T00:00:00"/>
    <x v="1"/>
    <x v="8"/>
    <s v="V"/>
    <x v="5"/>
    <x v="0"/>
    <x v="45"/>
    <s v="Rita Cruchinho Neves"/>
    <x v="4"/>
    <x v="4"/>
    <x v="1"/>
    <x v="1"/>
    <x v="0"/>
    <d v="1899-12-30T00:00:00"/>
    <d v="1899-12-30T00:00:00"/>
  </r>
  <r>
    <n v="52"/>
    <x v="0"/>
    <x v="22"/>
    <x v="51"/>
    <n v="12431"/>
    <x v="40"/>
    <m/>
    <m/>
    <x v="0"/>
    <d v="2009-01-02T00:00:00"/>
    <x v="0"/>
    <d v="2009-06-03T00:00:00"/>
    <d v="2010-02-09T00:00:00"/>
    <x v="2"/>
    <x v="0"/>
    <x v="0"/>
    <x v="4"/>
    <x v="0"/>
    <m/>
    <d v="2010-07-19T00:00:00"/>
    <x v="36"/>
    <m/>
    <n v="16000"/>
    <x v="0"/>
    <x v="0"/>
    <n v="96000"/>
    <m/>
    <x v="1"/>
    <n v="0"/>
    <x v="0"/>
    <x v="0"/>
    <d v="2010-09-25T00:00:00"/>
    <d v="2012-03-29T00:00:00"/>
    <x v="0"/>
    <d v="2013-06-25T00:00:00"/>
    <x v="0"/>
    <d v="2014-10-06T00:00:00"/>
    <x v="3"/>
    <x v="9"/>
    <s v="C"/>
    <x v="1"/>
    <x v="0"/>
    <x v="46"/>
    <s v="Pedro Costa"/>
    <x v="36"/>
    <x v="1"/>
    <x v="2"/>
    <x v="0"/>
    <x v="0"/>
    <d v="2010-09-25T00:00:00"/>
    <d v="2012-03-29T00:00:00"/>
  </r>
  <r>
    <n v="53"/>
    <x v="0"/>
    <x v="23"/>
    <x v="52"/>
    <n v="11163"/>
    <x v="41"/>
    <m/>
    <s v="AURORA"/>
    <x v="2"/>
    <d v="2008-01-02T00:00:00"/>
    <x v="2"/>
    <d v="2008-11-12T00:00:00"/>
    <d v="2009-05-22T00:00:00"/>
    <x v="0"/>
    <x v="0"/>
    <x v="0"/>
    <x v="0"/>
    <x v="0"/>
    <m/>
    <d v="2009-05-26T00:00:00"/>
    <x v="0"/>
    <m/>
    <n v="120000"/>
    <x v="0"/>
    <x v="0"/>
    <n v="720000"/>
    <n v="0"/>
    <x v="1"/>
    <n v="0"/>
    <x v="0"/>
    <x v="0"/>
    <d v="2010-11-01T00:00:00"/>
    <m/>
    <x v="0"/>
    <d v="2012-02-22T00:00:00"/>
    <x v="0"/>
    <d v="2012-12-03T00:00:00"/>
    <x v="0"/>
    <x v="9"/>
    <s v="T"/>
    <x v="0"/>
    <x v="0"/>
    <x v="47"/>
    <s v="Miguel Gomes"/>
    <x v="32"/>
    <x v="0"/>
    <x v="0"/>
    <x v="0"/>
    <x v="0"/>
    <d v="2010-11-01T00:00:00"/>
    <d v="1899-12-30T00:00:00"/>
  </r>
  <r>
    <n v="54"/>
    <x v="0"/>
    <x v="23"/>
    <x v="53"/>
    <n v="12228"/>
    <x v="42"/>
    <m/>
    <m/>
    <x v="0"/>
    <d v="2010-01-04T00:00:00"/>
    <x v="3"/>
    <d v="2010-06-08T00:00:00"/>
    <d v="2010-12-14T00:00:00"/>
    <x v="2"/>
    <x v="0"/>
    <x v="0"/>
    <x v="4"/>
    <x v="0"/>
    <m/>
    <d v="2011-01-26T00:00:00"/>
    <x v="14"/>
    <m/>
    <n v="13000"/>
    <x v="0"/>
    <x v="0"/>
    <n v="78000"/>
    <n v="3250"/>
    <x v="1"/>
    <n v="3250"/>
    <x v="4"/>
    <x v="0"/>
    <d v="2011-09-15T00:00:00"/>
    <d v="2011-12-12T00:00:00"/>
    <x v="1"/>
    <d v="2013-05-21T00:00:00"/>
    <x v="0"/>
    <d v="2013-09-03T00:00:00"/>
    <x v="3"/>
    <x v="9"/>
    <s v="C"/>
    <x v="1"/>
    <x v="0"/>
    <x v="48"/>
    <s v="André Príncipe"/>
    <x v="0"/>
    <x v="3"/>
    <x v="2"/>
    <x v="0"/>
    <x v="0"/>
    <d v="2011-09-15T00:00:00"/>
    <d v="2011-12-12T00:00:00"/>
  </r>
  <r>
    <n v="55"/>
    <x v="0"/>
    <x v="23"/>
    <x v="54"/>
    <n v="12471"/>
    <x v="43"/>
    <m/>
    <m/>
    <x v="1"/>
    <d v="2010-01-04T00:00:00"/>
    <x v="3"/>
    <d v="2010-09-07T00:00:00"/>
    <d v="2011-03-24T00:00:00"/>
    <x v="1"/>
    <x v="0"/>
    <x v="0"/>
    <x v="3"/>
    <x v="0"/>
    <m/>
    <d v="2011-06-06T00:00:00"/>
    <x v="9"/>
    <m/>
    <n v="9000"/>
    <x v="0"/>
    <x v="0"/>
    <n v="54000"/>
    <n v="0"/>
    <x v="0"/>
    <n v="0"/>
    <x v="0"/>
    <x v="0"/>
    <d v="2011-09-01T00:00:00"/>
    <d v="2011-09-10T00:00:00"/>
    <x v="0"/>
    <d v="2012-08-16T00:00:00"/>
    <x v="0"/>
    <d v="2013-01-09T00:00:00"/>
    <x v="2"/>
    <x v="9"/>
    <s v="E"/>
    <x v="0"/>
    <x v="0"/>
    <x v="49"/>
    <s v="João Rosas"/>
    <x v="37"/>
    <x v="0"/>
    <x v="0"/>
    <x v="1"/>
    <x v="0"/>
    <d v="2011-09-01T00:00:00"/>
    <d v="2011-09-10T00:00:00"/>
  </r>
  <r>
    <n v="56"/>
    <x v="0"/>
    <x v="23"/>
    <x v="55"/>
    <n v="12472"/>
    <x v="44"/>
    <m/>
    <m/>
    <x v="1"/>
    <d v="2010-01-04T00:00:00"/>
    <x v="3"/>
    <d v="2010-09-07T00:00:00"/>
    <d v="2011-03-24T00:00:00"/>
    <x v="1"/>
    <x v="0"/>
    <x v="0"/>
    <x v="3"/>
    <x v="0"/>
    <m/>
    <d v="2011-06-06T00:00:00"/>
    <x v="9"/>
    <m/>
    <n v="9000"/>
    <x v="0"/>
    <x v="0"/>
    <n v="54000"/>
    <m/>
    <x v="1"/>
    <n v="0"/>
    <x v="0"/>
    <x v="0"/>
    <d v="2012-06-18T00:00:00"/>
    <d v="2012-07-07T00:00:00"/>
    <x v="1"/>
    <d v="2013-05-21T00:00:00"/>
    <x v="0"/>
    <d v="2013-08-06T00:00:00"/>
    <x v="2"/>
    <x v="9"/>
    <s v="G"/>
    <x v="1"/>
    <x v="0"/>
    <x v="50"/>
    <s v="João Nicolau"/>
    <x v="22"/>
    <x v="3"/>
    <x v="0"/>
    <x v="1"/>
    <x v="0"/>
    <d v="2012-06-18T00:00:00"/>
    <d v="2012-07-07T00:00:00"/>
  </r>
  <r>
    <n v="57"/>
    <x v="0"/>
    <x v="23"/>
    <x v="56"/>
    <m/>
    <x v="4"/>
    <m/>
    <m/>
    <x v="1"/>
    <d v="2011-01-03T00:00:00"/>
    <x v="1"/>
    <d v="2011-04-06T00:00:00"/>
    <d v="2011-10-10T00:00:00"/>
    <x v="1"/>
    <x v="0"/>
    <x v="1"/>
    <x v="7"/>
    <x v="3"/>
    <m/>
    <d v="2011-12-23T00:00:00"/>
    <x v="37"/>
    <m/>
    <m/>
    <x v="0"/>
    <x v="0"/>
    <n v="8250"/>
    <m/>
    <x v="1"/>
    <n v="0"/>
    <x v="0"/>
    <x v="0"/>
    <m/>
    <m/>
    <x v="0"/>
    <d v="2013-06-30T00:00:00"/>
    <x v="0"/>
    <d v="2013-08-06T00:00:00"/>
    <x v="4"/>
    <x v="9"/>
    <s v="O"/>
    <x v="1"/>
    <x v="0"/>
    <x v="51"/>
    <s v=""/>
    <x v="4"/>
    <x v="2"/>
    <x v="3"/>
    <x v="3"/>
    <x v="0"/>
    <d v="1899-12-30T00:00:00"/>
    <d v="1899-12-30T00:00:00"/>
  </r>
  <r>
    <n v="58"/>
    <x v="0"/>
    <x v="23"/>
    <x v="57"/>
    <n v="11430"/>
    <x v="45"/>
    <m/>
    <m/>
    <x v="1"/>
    <d v="2011-01-03T00:00:00"/>
    <x v="1"/>
    <d v="2011-05-25T00:00:00"/>
    <d v="2011-10-10T00:00:00"/>
    <x v="1"/>
    <x v="0"/>
    <x v="0"/>
    <x v="12"/>
    <x v="0"/>
    <m/>
    <d v="2011-10-13T00:00:00"/>
    <x v="34"/>
    <m/>
    <n v="140000"/>
    <x v="0"/>
    <x v="0"/>
    <n v="840000"/>
    <m/>
    <x v="0"/>
    <n v="0"/>
    <x v="0"/>
    <x v="0"/>
    <d v="2011-09-22T00:00:00"/>
    <d v="2011-10-21T00:00:00"/>
    <x v="0"/>
    <d v="2012-04-19T00:00:00"/>
    <x v="0"/>
    <d v="2014-01-20T00:00:00"/>
    <x v="0"/>
    <x v="9"/>
    <s v="O"/>
    <x v="0"/>
    <x v="0"/>
    <x v="52"/>
    <s v="Manoel de Oliveira"/>
    <x v="38"/>
    <x v="0"/>
    <x v="0"/>
    <x v="0"/>
    <x v="0"/>
    <d v="2011-09-22T00:00:00"/>
    <d v="2011-10-21T00:00:00"/>
  </r>
  <r>
    <n v="59"/>
    <x v="0"/>
    <x v="23"/>
    <x v="58"/>
    <n v="12237"/>
    <x v="46"/>
    <m/>
    <m/>
    <x v="1"/>
    <d v="2010-01-04T00:00:00"/>
    <x v="3"/>
    <d v="2010-09-07T00:00:00"/>
    <d v="2011-03-24T00:00:00"/>
    <x v="1"/>
    <x v="0"/>
    <x v="0"/>
    <x v="3"/>
    <x v="0"/>
    <m/>
    <d v="2011-06-06T00:00:00"/>
    <x v="9"/>
    <m/>
    <n v="9000"/>
    <x v="0"/>
    <x v="0"/>
    <n v="54000"/>
    <m/>
    <x v="0"/>
    <n v="0"/>
    <x v="0"/>
    <x v="0"/>
    <d v="2012-03-28T00:00:00"/>
    <d v="2012-04-02T00:00:00"/>
    <x v="0"/>
    <d v="2012-11-29T00:00:00"/>
    <x v="0"/>
    <d v="2013-01-31T00:00:00"/>
    <x v="2"/>
    <x v="9"/>
    <s v="S"/>
    <x v="0"/>
    <x v="0"/>
    <x v="53"/>
    <s v="Sandro Aguilar"/>
    <x v="39"/>
    <x v="0"/>
    <x v="0"/>
    <x v="1"/>
    <x v="0"/>
    <d v="2012-03-28T00:00:00"/>
    <d v="2012-04-02T00:00:00"/>
  </r>
  <r>
    <n v="60"/>
    <x v="1"/>
    <x v="23"/>
    <x v="59"/>
    <m/>
    <x v="4"/>
    <m/>
    <m/>
    <x v="2"/>
    <d v="2010-01-04T00:00:00"/>
    <x v="3"/>
    <d v="2010-11-09T00:00:00"/>
    <d v="2011-04-27T00:00:00"/>
    <x v="1"/>
    <x v="0"/>
    <x v="0"/>
    <x v="0"/>
    <x v="0"/>
    <m/>
    <d v="2011-06-09T00:00:00"/>
    <x v="0"/>
    <m/>
    <n v="120000"/>
    <x v="0"/>
    <x v="0"/>
    <n v="720000"/>
    <n v="480000"/>
    <x v="2"/>
    <n v="600000"/>
    <x v="6"/>
    <x v="0"/>
    <m/>
    <m/>
    <x v="0"/>
    <m/>
    <x v="0"/>
    <d v="2014-01-23T00:00:00"/>
    <x v="0"/>
    <x v="9"/>
    <s v="C"/>
    <x v="3"/>
    <x v="0"/>
    <x v="54"/>
    <s v=""/>
    <x v="4"/>
    <x v="2"/>
    <x v="0"/>
    <x v="0"/>
    <x v="0"/>
    <d v="1899-12-30T00:00:00"/>
    <d v="1899-12-30T00:00:00"/>
  </r>
  <r>
    <n v="61"/>
    <x v="0"/>
    <x v="4"/>
    <x v="60"/>
    <n v="11734"/>
    <x v="47"/>
    <m/>
    <m/>
    <x v="1"/>
    <d v="2007-04-30T00:00:00"/>
    <x v="7"/>
    <d v="2007-09-26T00:00:00"/>
    <d v="2008-01-28T00:00:00"/>
    <x v="7"/>
    <x v="0"/>
    <x v="0"/>
    <x v="1"/>
    <x v="0"/>
    <m/>
    <d v="2008-03-18T00:00:00"/>
    <x v="2"/>
    <m/>
    <n v="15000"/>
    <x v="0"/>
    <x v="0"/>
    <n v="90000"/>
    <m/>
    <x v="1"/>
    <n v="0"/>
    <x v="0"/>
    <x v="0"/>
    <m/>
    <m/>
    <x v="0"/>
    <d v="2012-09-04T00:00:00"/>
    <x v="1"/>
    <d v="2013-01-31T00:00:00"/>
    <x v="1"/>
    <x v="1"/>
    <s v="O"/>
    <x v="0"/>
    <x v="0"/>
    <x v="55"/>
    <s v="André Gil Mata"/>
    <x v="40"/>
    <x v="0"/>
    <x v="1"/>
    <x v="1"/>
    <x v="0"/>
    <d v="1899-12-30T00:00:00"/>
    <d v="1899-12-30T00:00:00"/>
  </r>
  <r>
    <n v="62"/>
    <x v="0"/>
    <x v="24"/>
    <x v="61"/>
    <m/>
    <x v="4"/>
    <m/>
    <m/>
    <x v="0"/>
    <d v="2009-01-02T00:00:00"/>
    <x v="0"/>
    <d v="2009-06-03T00:00:00"/>
    <d v="2010-02-09T00:00:00"/>
    <x v="2"/>
    <x v="0"/>
    <x v="0"/>
    <x v="4"/>
    <x v="0"/>
    <m/>
    <d v="2010-04-22T00:00:00"/>
    <x v="38"/>
    <n v="23375"/>
    <m/>
    <x v="0"/>
    <x v="0"/>
    <n v="23375"/>
    <n v="0"/>
    <x v="0"/>
    <n v="0"/>
    <x v="7"/>
    <x v="0"/>
    <d v="2010-04-07T00:00:00"/>
    <m/>
    <x v="0"/>
    <m/>
    <x v="0"/>
    <d v="2013-04-19T00:00:00"/>
    <x v="3"/>
    <x v="10"/>
    <s v="A"/>
    <x v="3"/>
    <x v="0"/>
    <x v="56"/>
    <s v=""/>
    <x v="4"/>
    <x v="2"/>
    <x v="2"/>
    <x v="3"/>
    <x v="0"/>
    <d v="2010-04-07T00:00:00"/>
    <d v="1899-12-30T00:00:00"/>
  </r>
  <r>
    <n v="63"/>
    <x v="0"/>
    <x v="24"/>
    <x v="62"/>
    <n v="13048"/>
    <x v="48"/>
    <m/>
    <m/>
    <x v="1"/>
    <d v="2010-01-04T00:00:00"/>
    <x v="3"/>
    <d v="2010-07-06T00:00:00"/>
    <d v="2010-12-13T00:00:00"/>
    <x v="2"/>
    <x v="0"/>
    <x v="0"/>
    <x v="10"/>
    <x v="0"/>
    <m/>
    <d v="2011-01-24T00:00:00"/>
    <x v="39"/>
    <m/>
    <m/>
    <x v="0"/>
    <x v="0"/>
    <n v="35000"/>
    <n v="3500"/>
    <x v="1"/>
    <n v="3500"/>
    <x v="4"/>
    <x v="0"/>
    <m/>
    <m/>
    <x v="0"/>
    <d v="2014-06-17T00:00:00"/>
    <x v="0"/>
    <d v="2014-07-07T00:00:00"/>
    <x v="3"/>
    <x v="10"/>
    <s v="O"/>
    <x v="4"/>
    <x v="0"/>
    <x v="57"/>
    <s v="Jean Luc Bouvret"/>
    <x v="41"/>
    <x v="1"/>
    <x v="2"/>
    <x v="1"/>
    <x v="0"/>
    <d v="1899-12-30T00:00:00"/>
    <d v="1899-12-30T00:00:00"/>
  </r>
  <r>
    <n v="64"/>
    <x v="0"/>
    <x v="25"/>
    <x v="63"/>
    <n v="11709"/>
    <x v="49"/>
    <m/>
    <s v="ASAS"/>
    <x v="1"/>
    <d v="2010-01-04T00:00:00"/>
    <x v="3"/>
    <d v="2010-09-07T00:00:00"/>
    <d v="2011-03-24T00:00:00"/>
    <x v="1"/>
    <x v="0"/>
    <x v="0"/>
    <x v="3"/>
    <x v="0"/>
    <m/>
    <d v="2011-06-15T00:00:00"/>
    <x v="9"/>
    <m/>
    <n v="9000"/>
    <x v="0"/>
    <x v="0"/>
    <n v="54000"/>
    <n v="0"/>
    <x v="0"/>
    <n v="0"/>
    <x v="0"/>
    <x v="0"/>
    <d v="2011-10-11T00:00:00"/>
    <d v="2011-10-16T00:00:00"/>
    <x v="0"/>
    <d v="2012-04-19T00:00:00"/>
    <x v="0"/>
    <d v="2012-10-03T00:00:00"/>
    <x v="2"/>
    <x v="10"/>
    <s v="V"/>
    <x v="0"/>
    <x v="0"/>
    <x v="58"/>
    <s v="Pedro Flores"/>
    <x v="42"/>
    <x v="0"/>
    <x v="0"/>
    <x v="1"/>
    <x v="0"/>
    <d v="2011-10-11T00:00:00"/>
    <d v="2011-10-16T00:00:00"/>
  </r>
  <r>
    <n v="65"/>
    <x v="0"/>
    <x v="26"/>
    <x v="64"/>
    <n v="13015"/>
    <x v="50"/>
    <m/>
    <m/>
    <x v="1"/>
    <d v="2009-01-02T00:00:00"/>
    <x v="0"/>
    <d v="2009-09-23T00:00:00"/>
    <d v="2010-03-26T00:00:00"/>
    <x v="2"/>
    <x v="0"/>
    <x v="0"/>
    <x v="1"/>
    <x v="0"/>
    <m/>
    <d v="2010-05-10T00:00:00"/>
    <x v="40"/>
    <m/>
    <n v="25000"/>
    <x v="0"/>
    <x v="0"/>
    <n v="150000"/>
    <m/>
    <x v="1"/>
    <n v="0"/>
    <x v="0"/>
    <x v="0"/>
    <m/>
    <m/>
    <x v="0"/>
    <d v="2014-06-03T00:00:00"/>
    <x v="0"/>
    <d v="2014-06-09T00:00:00"/>
    <x v="1"/>
    <x v="10"/>
    <s v="R"/>
    <x v="4"/>
    <x v="0"/>
    <x v="59"/>
    <s v="Marina Palácio"/>
    <x v="43"/>
    <x v="1"/>
    <x v="1"/>
    <x v="1"/>
    <x v="0"/>
    <d v="1899-12-30T00:00:00"/>
    <d v="1899-12-30T00:00:00"/>
  </r>
  <r>
    <n v="66"/>
    <x v="0"/>
    <x v="26"/>
    <x v="65"/>
    <n v="11735"/>
    <x v="51"/>
    <m/>
    <m/>
    <x v="1"/>
    <d v="2010-01-04T00:00:00"/>
    <x v="3"/>
    <d v="2010-05-18T00:00:00"/>
    <d v="2010-11-02T00:00:00"/>
    <x v="2"/>
    <x v="0"/>
    <x v="0"/>
    <x v="1"/>
    <x v="0"/>
    <m/>
    <d v="2010-01-25T00:00:00"/>
    <x v="41"/>
    <m/>
    <n v="22134"/>
    <x v="0"/>
    <x v="0"/>
    <n v="132804"/>
    <n v="0"/>
    <x v="0"/>
    <n v="0"/>
    <x v="0"/>
    <x v="0"/>
    <m/>
    <m/>
    <x v="0"/>
    <d v="2012-02-10T00:00:00"/>
    <x v="0"/>
    <d v="2012-08-22T00:00:00"/>
    <x v="1"/>
    <x v="10"/>
    <s v="O"/>
    <x v="0"/>
    <x v="0"/>
    <x v="60"/>
    <s v="Luís da Matta Almeida, Júlio Vanzeler"/>
    <x v="44"/>
    <x v="0"/>
    <x v="1"/>
    <x v="1"/>
    <x v="0"/>
    <d v="1899-12-30T00:00:00"/>
    <d v="1899-12-30T00:00:00"/>
  </r>
  <r>
    <n v="67"/>
    <x v="0"/>
    <x v="27"/>
    <x v="66"/>
    <m/>
    <x v="4"/>
    <m/>
    <m/>
    <x v="1"/>
    <d v="2011-01-03T00:00:00"/>
    <x v="1"/>
    <d v="2011-04-06T00:00:00"/>
    <d v="2011-10-10T00:00:00"/>
    <x v="1"/>
    <x v="0"/>
    <x v="1"/>
    <x v="7"/>
    <x v="3"/>
    <m/>
    <d v="2011-11-22T00:00:00"/>
    <x v="37"/>
    <m/>
    <m/>
    <x v="0"/>
    <x v="0"/>
    <n v="8250"/>
    <n v="0"/>
    <x v="1"/>
    <n v="0"/>
    <x v="0"/>
    <x v="0"/>
    <m/>
    <m/>
    <x v="0"/>
    <d v="2012-12-17T00:00:00"/>
    <x v="0"/>
    <d v="2013-01-09T00:00:00"/>
    <x v="4"/>
    <x v="10"/>
    <s v="M"/>
    <x v="0"/>
    <x v="0"/>
    <x v="14"/>
    <s v=""/>
    <x v="4"/>
    <x v="2"/>
    <x v="3"/>
    <x v="3"/>
    <x v="0"/>
    <d v="1899-12-30T00:00:00"/>
    <d v="1899-12-30T00:00:00"/>
  </r>
  <r>
    <n v="68"/>
    <x v="0"/>
    <x v="28"/>
    <x v="67"/>
    <n v="12860"/>
    <x v="52"/>
    <m/>
    <m/>
    <x v="0"/>
    <d v="2010-01-04T00:00:00"/>
    <x v="3"/>
    <d v="2010-06-08T00:00:00"/>
    <d v="2010-12-14T00:00:00"/>
    <x v="2"/>
    <x v="0"/>
    <x v="0"/>
    <x v="4"/>
    <x v="0"/>
    <m/>
    <d v="2011-01-24T00:00:00"/>
    <x v="4"/>
    <m/>
    <n v="14000"/>
    <x v="0"/>
    <x v="0"/>
    <n v="84000"/>
    <n v="0"/>
    <x v="0"/>
    <n v="0"/>
    <x v="0"/>
    <x v="0"/>
    <d v="2011-10-10T00:00:00"/>
    <d v="2011-11-26T00:00:00"/>
    <x v="4"/>
    <d v="2012-11-08T00:00:00"/>
    <x v="0"/>
    <d v="2013-01-09T00:00:00"/>
    <x v="3"/>
    <x v="11"/>
    <s v="G"/>
    <x v="0"/>
    <x v="0"/>
    <x v="61"/>
    <s v="Rui Simões"/>
    <x v="16"/>
    <x v="0"/>
    <x v="2"/>
    <x v="0"/>
    <x v="0"/>
    <d v="2011-10-10T00:00:00"/>
    <d v="2011-11-26T00:00:00"/>
  </r>
  <r>
    <n v="69"/>
    <x v="0"/>
    <x v="28"/>
    <x v="68"/>
    <n v="11713"/>
    <x v="53"/>
    <m/>
    <m/>
    <x v="1"/>
    <d v="2010-01-04T00:00:00"/>
    <x v="3"/>
    <d v="2010-07-27T00:00:00"/>
    <d v="2010-01-03T00:00:00"/>
    <x v="2"/>
    <x v="0"/>
    <x v="0"/>
    <x v="8"/>
    <x v="0"/>
    <m/>
    <d v="2011-01-25T00:00:00"/>
    <x v="3"/>
    <m/>
    <n v="4000"/>
    <x v="0"/>
    <x v="0"/>
    <n v="24000"/>
    <m/>
    <x v="1"/>
    <n v="0"/>
    <x v="0"/>
    <x v="0"/>
    <d v="2011-04-15T00:00:00"/>
    <d v="2011-04-28T00:00:00"/>
    <x v="0"/>
    <d v="2012-03-07T00:00:00"/>
    <x v="0"/>
    <d v="2012-06-01T00:00:00"/>
    <x v="3"/>
    <x v="11"/>
    <s v="B"/>
    <x v="0"/>
    <x v="0"/>
    <x v="62"/>
    <s v="Silas Tiny"/>
    <x v="45"/>
    <x v="0"/>
    <x v="2"/>
    <x v="0"/>
    <x v="0"/>
    <d v="2011-04-15T00:00:00"/>
    <d v="2011-04-28T00:00:00"/>
  </r>
  <r>
    <n v="70"/>
    <x v="0"/>
    <x v="29"/>
    <x v="69"/>
    <n v="13231"/>
    <x v="54"/>
    <m/>
    <m/>
    <x v="2"/>
    <d v="2010-01-04T00:00:00"/>
    <x v="3"/>
    <d v="2010-12-06T00:00:00"/>
    <d v="2011-04-27T00:00:00"/>
    <x v="1"/>
    <x v="0"/>
    <x v="0"/>
    <x v="4"/>
    <x v="0"/>
    <m/>
    <d v="2011-06-15T00:00:00"/>
    <x v="42"/>
    <m/>
    <n v="13200"/>
    <x v="0"/>
    <x v="0"/>
    <n v="79200"/>
    <n v="3300"/>
    <x v="1"/>
    <n v="3300"/>
    <x v="4"/>
    <x v="0"/>
    <d v="2012-10-02T00:00:00"/>
    <d v="2013-02-02T00:00:00"/>
    <x v="0"/>
    <d v="2014-09-25T00:00:00"/>
    <x v="0"/>
    <d v="2014-11-06T00:00:00"/>
    <x v="3"/>
    <x v="11"/>
    <s v="J"/>
    <x v="4"/>
    <x v="0"/>
    <x v="63"/>
    <s v="Manuel Mozos"/>
    <x v="46"/>
    <x v="1"/>
    <x v="2"/>
    <x v="0"/>
    <x v="0"/>
    <d v="2012-10-02T00:00:00"/>
    <d v="2013-02-02T00:00:00"/>
  </r>
  <r>
    <n v="71"/>
    <x v="0"/>
    <x v="30"/>
    <x v="70"/>
    <n v="11736"/>
    <x v="55"/>
    <m/>
    <m/>
    <x v="1"/>
    <d v="2010-01-04T00:00:00"/>
    <x v="3"/>
    <d v="2010-05-18T00:00:00"/>
    <d v="2010-11-02T00:00:00"/>
    <x v="2"/>
    <x v="0"/>
    <x v="0"/>
    <x v="1"/>
    <x v="0"/>
    <m/>
    <d v="2011-01-19T00:00:00"/>
    <x v="40"/>
    <m/>
    <n v="25000"/>
    <x v="0"/>
    <x v="0"/>
    <n v="150000"/>
    <m/>
    <x v="1"/>
    <n v="0"/>
    <x v="0"/>
    <x v="0"/>
    <m/>
    <m/>
    <x v="0"/>
    <d v="2012-01-10T00:00:00"/>
    <x v="0"/>
    <d v="2012-03-29T00:00:00"/>
    <x v="1"/>
    <x v="12"/>
    <s v="P"/>
    <x v="0"/>
    <x v="0"/>
    <x v="64"/>
    <s v="José Miguel Ribeiro"/>
    <x v="47"/>
    <x v="0"/>
    <x v="1"/>
    <x v="1"/>
    <x v="0"/>
    <d v="1899-12-30T00:00:00"/>
    <d v="1899-12-30T00:00:00"/>
  </r>
  <r>
    <n v="72"/>
    <x v="0"/>
    <x v="31"/>
    <x v="71"/>
    <n v="12602"/>
    <x v="56"/>
    <m/>
    <m/>
    <x v="1"/>
    <d v="2010-01-04T00:00:00"/>
    <x v="3"/>
    <d v="2010-05-24T00:00:00"/>
    <d v="2010-09-03T00:00:00"/>
    <x v="2"/>
    <x v="0"/>
    <x v="0"/>
    <x v="6"/>
    <x v="0"/>
    <m/>
    <d v="2010-11-25T00:00:00"/>
    <x v="43"/>
    <m/>
    <m/>
    <x v="0"/>
    <x v="0"/>
    <n v="116877.04"/>
    <n v="23375.41"/>
    <x v="1"/>
    <n v="23375.41"/>
    <x v="4"/>
    <x v="0"/>
    <d v="2011-02-07T00:00:00"/>
    <d v="2011-03-21T00:00:00"/>
    <x v="0"/>
    <d v="2013-11-12T00:00:00"/>
    <x v="0"/>
    <d v="2014-01-23T00:00:00"/>
    <x v="0"/>
    <x v="12"/>
    <s v="A"/>
    <x v="1"/>
    <x v="0"/>
    <x v="65"/>
    <s v="Vicente Ferraz"/>
    <x v="48"/>
    <x v="3"/>
    <x v="0"/>
    <x v="0"/>
    <x v="0"/>
    <d v="2011-02-07T00:00:00"/>
    <d v="2011-03-21T00:00:00"/>
  </r>
  <r>
    <n v="73"/>
    <x v="1"/>
    <x v="31"/>
    <x v="72"/>
    <m/>
    <x v="4"/>
    <m/>
    <s v="A grande Jogada"/>
    <x v="0"/>
    <d v="2010-01-04T00:00:00"/>
    <x v="3"/>
    <d v="2010-04-27T00:00:00"/>
    <d v="2010-11-16T00:00:00"/>
    <x v="2"/>
    <x v="0"/>
    <x v="0"/>
    <x v="0"/>
    <x v="0"/>
    <m/>
    <d v="2011-02-21T00:00:00"/>
    <x v="0"/>
    <m/>
    <n v="120000"/>
    <x v="0"/>
    <x v="0"/>
    <n v="720000"/>
    <n v="60000"/>
    <x v="2"/>
    <n v="180000"/>
    <x v="1"/>
    <x v="0"/>
    <d v="2014-11-08T00:00:00"/>
    <m/>
    <x v="0"/>
    <m/>
    <x v="0"/>
    <d v="2014-12-02T00:00:00"/>
    <x v="0"/>
    <x v="12"/>
    <s v="O"/>
    <x v="3"/>
    <x v="0"/>
    <x v="66"/>
    <s v=""/>
    <x v="4"/>
    <x v="2"/>
    <x v="0"/>
    <x v="0"/>
    <x v="0"/>
    <d v="2014-11-08T00:00:00"/>
    <d v="1899-12-30T00:00:00"/>
  </r>
  <r>
    <n v="74"/>
    <x v="0"/>
    <x v="32"/>
    <x v="73"/>
    <n v="12611"/>
    <x v="57"/>
    <m/>
    <s v="ESQUECIMENTO"/>
    <x v="0"/>
    <d v="2009-01-02T00:00:00"/>
    <x v="0"/>
    <d v="2009-06-03T00:00:00"/>
    <d v="2010-02-09T00:00:00"/>
    <x v="2"/>
    <x v="0"/>
    <x v="0"/>
    <x v="4"/>
    <x v="0"/>
    <m/>
    <d v="2010-05-27T00:00:00"/>
    <x v="4"/>
    <m/>
    <n v="14000"/>
    <x v="0"/>
    <x v="0"/>
    <n v="84000"/>
    <n v="0"/>
    <x v="0"/>
    <n v="0"/>
    <x v="0"/>
    <x v="0"/>
    <d v="2010-08-23T00:00:00"/>
    <d v="2011-04-24T00:00:00"/>
    <x v="0"/>
    <d v="2012-06-08T00:00:00"/>
    <x v="0"/>
    <d v="2013-01-09T00:00:00"/>
    <x v="3"/>
    <x v="13"/>
    <s v="L"/>
    <x v="0"/>
    <x v="0"/>
    <x v="67"/>
    <s v="João Vladimiro"/>
    <x v="49"/>
    <x v="0"/>
    <x v="2"/>
    <x v="0"/>
    <x v="0"/>
    <d v="2010-08-23T00:00:00"/>
    <d v="2011-04-24T00:00:00"/>
  </r>
  <r>
    <n v="75"/>
    <x v="0"/>
    <x v="32"/>
    <x v="74"/>
    <n v="12855"/>
    <x v="58"/>
    <m/>
    <m/>
    <x v="2"/>
    <d v="2009-01-02T00:00:00"/>
    <x v="0"/>
    <d v="2009-12-02T00:00:00"/>
    <d v="2010-11-02T00:00:00"/>
    <x v="2"/>
    <x v="0"/>
    <x v="0"/>
    <x v="4"/>
    <x v="0"/>
    <m/>
    <d v="2011-01-21T00:00:00"/>
    <x v="3"/>
    <m/>
    <n v="4000"/>
    <x v="0"/>
    <x v="0"/>
    <n v="24000"/>
    <m/>
    <x v="1"/>
    <n v="0"/>
    <x v="0"/>
    <x v="0"/>
    <d v="2011-01-10T00:00:00"/>
    <d v="2011-06-30T00:00:00"/>
    <x v="0"/>
    <d v="2014-03-05T00:00:00"/>
    <x v="0"/>
    <d v="2014-06-09T00:00:00"/>
    <x v="3"/>
    <x v="13"/>
    <s v="R"/>
    <x v="4"/>
    <x v="0"/>
    <x v="68"/>
    <s v="Frederico Lobo, Tiago Hespanha"/>
    <x v="50"/>
    <x v="1"/>
    <x v="2"/>
    <x v="0"/>
    <x v="0"/>
    <d v="2011-01-10T00:00:00"/>
    <d v="2011-06-30T00:00:00"/>
  </r>
  <r>
    <n v="76"/>
    <x v="0"/>
    <x v="32"/>
    <x v="75"/>
    <n v="11729"/>
    <x v="59"/>
    <m/>
    <m/>
    <x v="0"/>
    <d v="2010-01-04T00:00:00"/>
    <x v="3"/>
    <d v="2010-06-08T00:00:00"/>
    <d v="2010-12-14T00:00:00"/>
    <x v="2"/>
    <x v="0"/>
    <x v="0"/>
    <x v="4"/>
    <x v="0"/>
    <m/>
    <d v="2011-01-25T00:00:00"/>
    <x v="3"/>
    <m/>
    <n v="4000"/>
    <x v="0"/>
    <x v="0"/>
    <n v="24000"/>
    <m/>
    <x v="0"/>
    <n v="0"/>
    <x v="0"/>
    <x v="0"/>
    <d v="2011-02-14T00:00:00"/>
    <d v="2011-12-15T00:00:00"/>
    <x v="0"/>
    <d v="2012-08-17T00:00:00"/>
    <x v="0"/>
    <d v="2013-01-31T00:00:00"/>
    <x v="3"/>
    <x v="13"/>
    <s v="A"/>
    <x v="0"/>
    <x v="0"/>
    <x v="69"/>
    <s v="Pedro Pinho, Luísa Homem"/>
    <x v="51"/>
    <x v="0"/>
    <x v="2"/>
    <x v="1"/>
    <x v="0"/>
    <d v="2011-02-14T00:00:00"/>
    <d v="2011-12-15T00:00:00"/>
  </r>
  <r>
    <n v="77"/>
    <x v="0"/>
    <x v="32"/>
    <x v="76"/>
    <n v="11664"/>
    <x v="60"/>
    <m/>
    <m/>
    <x v="1"/>
    <d v="2010-01-04T00:00:00"/>
    <x v="3"/>
    <d v="2010-09-07T00:00:00"/>
    <d v="2011-03-24T00:00:00"/>
    <x v="1"/>
    <x v="0"/>
    <x v="0"/>
    <x v="3"/>
    <x v="0"/>
    <m/>
    <d v="2011-06-06T00:00:00"/>
    <x v="9"/>
    <m/>
    <n v="9000"/>
    <x v="0"/>
    <x v="0"/>
    <n v="54000"/>
    <n v="0"/>
    <x v="0"/>
    <n v="0"/>
    <x v="0"/>
    <x v="0"/>
    <d v="2011-08-13T00:00:00"/>
    <d v="2011-08-19T00:00:00"/>
    <x v="1"/>
    <d v="2012-07-11T00:00:00"/>
    <x v="0"/>
    <d v="2013-01-09T00:00:00"/>
    <x v="2"/>
    <x v="13"/>
    <s v="A"/>
    <x v="0"/>
    <x v="0"/>
    <x v="16"/>
    <s v="Leonor Noivo"/>
    <x v="52"/>
    <x v="0"/>
    <x v="0"/>
    <x v="1"/>
    <x v="0"/>
    <d v="2011-08-13T00:00:00"/>
    <d v="2011-08-19T00:00:00"/>
  </r>
  <r>
    <n v="78"/>
    <x v="0"/>
    <x v="32"/>
    <x v="77"/>
    <n v="13526"/>
    <x v="61"/>
    <m/>
    <m/>
    <x v="0"/>
    <d v="2011-01-03T00:00:00"/>
    <x v="1"/>
    <d v="2011-04-27T00:00:00"/>
    <d v="2011-08-18T00:00:00"/>
    <x v="1"/>
    <x v="0"/>
    <x v="0"/>
    <x v="0"/>
    <x v="0"/>
    <m/>
    <d v="2011-11-09T00:00:00"/>
    <x v="44"/>
    <m/>
    <n v="111000"/>
    <x v="0"/>
    <x v="0"/>
    <n v="666000"/>
    <n v="27750"/>
    <x v="1"/>
    <n v="27750"/>
    <x v="4"/>
    <x v="0"/>
    <d v="2013-03-01T00:00:00"/>
    <d v="2013-04-12T00:00:00"/>
    <x v="0"/>
    <d v="2015-01-29T00:00:00"/>
    <x v="0"/>
    <d v="2015-03-02T00:00:00"/>
    <x v="0"/>
    <x v="13"/>
    <s v="F"/>
    <x v="5"/>
    <x v="0"/>
    <x v="70"/>
    <s v="Pedro Pinho"/>
    <x v="53"/>
    <x v="4"/>
    <x v="0"/>
    <x v="0"/>
    <x v="0"/>
    <d v="2013-03-01T00:00:00"/>
    <d v="2013-04-12T00:00:00"/>
  </r>
  <r>
    <n v="79"/>
    <x v="0"/>
    <x v="33"/>
    <x v="78"/>
    <m/>
    <x v="4"/>
    <m/>
    <m/>
    <x v="1"/>
    <d v="2010-01-04T00:00:00"/>
    <x v="3"/>
    <d v="2010-06-22T00:00:00"/>
    <d v="2010-10-18T00:00:00"/>
    <x v="2"/>
    <x v="0"/>
    <x v="1"/>
    <x v="2"/>
    <x v="1"/>
    <m/>
    <d v="2011-01-24T00:00:00"/>
    <x v="45"/>
    <m/>
    <m/>
    <x v="0"/>
    <x v="0"/>
    <n v="10000"/>
    <n v="0"/>
    <x v="1"/>
    <n v="0"/>
    <x v="0"/>
    <x v="0"/>
    <m/>
    <m/>
    <x v="0"/>
    <d v="2012-01-24T00:00:00"/>
    <x v="0"/>
    <d v="2012-03-29T00:00:00"/>
    <x v="1"/>
    <x v="13"/>
    <s v="R"/>
    <x v="0"/>
    <x v="0"/>
    <x v="71"/>
    <s v=""/>
    <x v="4"/>
    <x v="2"/>
    <x v="1"/>
    <x v="2"/>
    <x v="0"/>
    <d v="1899-12-30T00:00:00"/>
    <d v="1899-12-30T00:00:00"/>
  </r>
  <r>
    <n v="80"/>
    <x v="0"/>
    <x v="0"/>
    <x v="79"/>
    <n v="11074"/>
    <x v="62"/>
    <m/>
    <m/>
    <x v="1"/>
    <d v="2010-01-04T00:00:00"/>
    <x v="3"/>
    <d v="2010-05-25T00:00:00"/>
    <d v="2010-10-08T00:00:00"/>
    <x v="2"/>
    <x v="0"/>
    <x v="0"/>
    <x v="12"/>
    <x v="0"/>
    <m/>
    <d v="2010-10-25T00:00:00"/>
    <x v="46"/>
    <m/>
    <n v="126000"/>
    <x v="0"/>
    <x v="0"/>
    <n v="756000"/>
    <n v="0"/>
    <x v="0"/>
    <n v="0"/>
    <x v="0"/>
    <x v="0"/>
    <d v="2011-04-11T00:00:00"/>
    <d v="2011-06-30T00:00:00"/>
    <x v="1"/>
    <d v="2011-12-20T00:00:00"/>
    <x v="0"/>
    <d v="2013-01-09T00:00:00"/>
    <x v="0"/>
    <x v="0"/>
    <s v="E"/>
    <x v="2"/>
    <x v="0"/>
    <x v="72"/>
    <s v="Fernando Lopes"/>
    <x v="50"/>
    <x v="5"/>
    <x v="0"/>
    <x v="0"/>
    <x v="0"/>
    <d v="2011-04-11T00:00:00"/>
    <d v="2011-06-30T00:00:00"/>
  </r>
  <r>
    <n v="81"/>
    <x v="0"/>
    <x v="2"/>
    <x v="80"/>
    <n v="11627"/>
    <x v="63"/>
    <m/>
    <m/>
    <x v="1"/>
    <d v="2007-04-30T00:00:00"/>
    <x v="7"/>
    <d v="2007-09-26T00:00:00"/>
    <d v="2008-01-28T00:00:00"/>
    <x v="7"/>
    <x v="0"/>
    <x v="0"/>
    <x v="1"/>
    <x v="0"/>
    <m/>
    <d v="2008-07-12T00:00:00"/>
    <x v="47"/>
    <m/>
    <n v="18000"/>
    <x v="0"/>
    <x v="0"/>
    <n v="108000"/>
    <m/>
    <x v="1"/>
    <n v="0"/>
    <x v="0"/>
    <x v="0"/>
    <m/>
    <m/>
    <x v="0"/>
    <d v="2011-12-29T00:00:00"/>
    <x v="0"/>
    <d v="2012-06-01T00:00:00"/>
    <x v="1"/>
    <x v="0"/>
    <s v="O"/>
    <x v="2"/>
    <x v="0"/>
    <x v="73"/>
    <s v="Rui Cardoso"/>
    <x v="54"/>
    <x v="5"/>
    <x v="1"/>
    <x v="1"/>
    <x v="0"/>
    <d v="1899-12-30T00:00:00"/>
    <d v="1899-12-30T00:00:00"/>
  </r>
  <r>
    <n v="82"/>
    <x v="0"/>
    <x v="3"/>
    <x v="81"/>
    <n v="11608"/>
    <x v="64"/>
    <m/>
    <m/>
    <x v="1"/>
    <d v="2008-01-02T00:00:00"/>
    <x v="2"/>
    <d v="2008-09-24T00:00:00"/>
    <d v="2009-07-20T00:00:00"/>
    <x v="0"/>
    <x v="0"/>
    <x v="0"/>
    <x v="1"/>
    <x v="0"/>
    <m/>
    <d v="2009-11-18T00:00:00"/>
    <x v="48"/>
    <m/>
    <n v="6205.27"/>
    <x v="0"/>
    <x v="0"/>
    <n v="37231.630000000005"/>
    <n v="0"/>
    <x v="0"/>
    <n v="0"/>
    <x v="0"/>
    <x v="0"/>
    <m/>
    <m/>
    <x v="0"/>
    <d v="2011-09-02T00:00:00"/>
    <x v="0"/>
    <d v="2012-11-26T00:00:00"/>
    <x v="1"/>
    <x v="0"/>
    <s v="M"/>
    <x v="2"/>
    <x v="0"/>
    <x v="74"/>
    <s v="Joana Imaginário"/>
    <x v="55"/>
    <x v="5"/>
    <x v="1"/>
    <x v="1"/>
    <x v="0"/>
    <d v="1899-12-30T00:00:00"/>
    <d v="1899-12-30T00:00:00"/>
  </r>
  <r>
    <n v="83"/>
    <x v="0"/>
    <x v="34"/>
    <x v="82"/>
    <n v="11782"/>
    <x v="65"/>
    <m/>
    <m/>
    <x v="1"/>
    <d v="2005-07-01T00:00:00"/>
    <x v="6"/>
    <m/>
    <d v="2006-04-24T00:00:00"/>
    <x v="4"/>
    <x v="0"/>
    <x v="0"/>
    <x v="3"/>
    <x v="0"/>
    <m/>
    <d v="2007-10-29T00:00:00"/>
    <x v="9"/>
    <n v="42500"/>
    <m/>
    <x v="0"/>
    <x v="0"/>
    <n v="42500"/>
    <m/>
    <x v="1"/>
    <n v="0"/>
    <x v="0"/>
    <x v="2"/>
    <m/>
    <m/>
    <x v="0"/>
    <d v="2009-05-08T00:00:00"/>
    <x v="0"/>
    <d v="2013-01-28T00:00:00"/>
    <x v="2"/>
    <x v="0"/>
    <s v="A"/>
    <x v="6"/>
    <x v="0"/>
    <x v="75"/>
    <s v="Miguel Seabra Lopes"/>
    <x v="56"/>
    <x v="6"/>
    <x v="0"/>
    <x v="1"/>
    <x v="0"/>
    <d v="1899-12-30T00:00:00"/>
    <d v="1899-12-30T00:00:00"/>
  </r>
  <r>
    <n v="84"/>
    <x v="0"/>
    <x v="4"/>
    <x v="83"/>
    <n v="11575"/>
    <x v="66"/>
    <m/>
    <m/>
    <x v="1"/>
    <d v="2009-01-02T00:00:00"/>
    <x v="0"/>
    <d v="2010-03-26T00:00:00"/>
    <d v="2009-03-26T00:00:00"/>
    <x v="0"/>
    <x v="0"/>
    <x v="0"/>
    <x v="3"/>
    <x v="0"/>
    <m/>
    <d v="2010-07-19T00:00:00"/>
    <x v="5"/>
    <m/>
    <n v="7800"/>
    <x v="0"/>
    <x v="0"/>
    <n v="46800"/>
    <n v="0"/>
    <x v="0"/>
    <n v="0"/>
    <x v="0"/>
    <x v="0"/>
    <d v="2010-02-07T00:00:00"/>
    <d v="2010-10-30T00:00:00"/>
    <x v="1"/>
    <d v="2011-11-07T00:00:00"/>
    <x v="0"/>
    <d v="2012-10-30T00:00:00"/>
    <x v="2"/>
    <x v="1"/>
    <s v="B"/>
    <x v="2"/>
    <x v="0"/>
    <x v="76"/>
    <s v="Paulo Abreu"/>
    <x v="57"/>
    <x v="5"/>
    <x v="0"/>
    <x v="1"/>
    <x v="0"/>
    <d v="2010-02-07T00:00:00"/>
    <d v="2010-10-30T00:00:00"/>
  </r>
  <r>
    <n v="85"/>
    <x v="0"/>
    <x v="5"/>
    <x v="84"/>
    <n v="11968"/>
    <x v="67"/>
    <m/>
    <m/>
    <x v="2"/>
    <d v="2007-04-30T00:00:00"/>
    <x v="7"/>
    <d v="2007-11-26T00:00:00"/>
    <d v="2008-09-11T00:00:00"/>
    <x v="7"/>
    <x v="0"/>
    <x v="0"/>
    <x v="4"/>
    <x v="0"/>
    <m/>
    <d v="2008-11-10T00:00:00"/>
    <x v="14"/>
    <m/>
    <n v="13000"/>
    <x v="0"/>
    <x v="0"/>
    <n v="78000"/>
    <n v="0"/>
    <x v="0"/>
    <n v="0"/>
    <x v="0"/>
    <x v="0"/>
    <d v="2009-12-15T00:00:00"/>
    <m/>
    <x v="0"/>
    <d v="2012-01-06T00:00:00"/>
    <x v="0"/>
    <d v="2013-01-09T00:00:00"/>
    <x v="3"/>
    <x v="1"/>
    <s v="A"/>
    <x v="0"/>
    <x v="0"/>
    <x v="77"/>
    <s v="João Pedro Rodrigues, João Rui Guerra da Mata"/>
    <x v="26"/>
    <x v="0"/>
    <x v="2"/>
    <x v="0"/>
    <x v="0"/>
    <d v="2009-12-15T00:00:00"/>
    <d v="1899-12-30T00:00:00"/>
  </r>
  <r>
    <n v="86"/>
    <x v="0"/>
    <x v="5"/>
    <x v="85"/>
    <n v="10941"/>
    <x v="68"/>
    <m/>
    <m/>
    <x v="1"/>
    <d v="2008-01-02T00:00:00"/>
    <x v="2"/>
    <d v="2008-04-23T00:00:00"/>
    <d v="2008-11-12T00:00:00"/>
    <x v="7"/>
    <x v="0"/>
    <x v="0"/>
    <x v="11"/>
    <x v="0"/>
    <m/>
    <d v="2009-03-18T00:00:00"/>
    <x v="27"/>
    <m/>
    <n v="100000"/>
    <x v="0"/>
    <x v="0"/>
    <n v="600000"/>
    <n v="25000"/>
    <x v="1"/>
    <n v="25000"/>
    <x v="4"/>
    <x v="0"/>
    <d v="2009-07-06T00:00:00"/>
    <m/>
    <x v="0"/>
    <d v="2010-07-16T00:00:00"/>
    <x v="0"/>
    <d v="2014-01-23T00:00:00"/>
    <x v="0"/>
    <x v="1"/>
    <s v="G"/>
    <x v="7"/>
    <x v="0"/>
    <x v="78"/>
    <s v="Pedro Caldas"/>
    <x v="46"/>
    <x v="7"/>
    <x v="0"/>
    <x v="0"/>
    <x v="0"/>
    <d v="2009-07-06T00:00:00"/>
    <d v="1899-12-30T00:00:00"/>
  </r>
  <r>
    <n v="87"/>
    <x v="0"/>
    <x v="5"/>
    <x v="86"/>
    <n v="11760"/>
    <x v="69"/>
    <m/>
    <m/>
    <x v="1"/>
    <d v="2007-04-30T00:00:00"/>
    <x v="7"/>
    <d v="2007-09-17T00:00:00"/>
    <d v="2008-06-03T00:00:00"/>
    <x v="7"/>
    <x v="0"/>
    <x v="0"/>
    <x v="3"/>
    <x v="0"/>
    <m/>
    <d v="2008-11-17T00:00:00"/>
    <x v="9"/>
    <m/>
    <n v="9000"/>
    <x v="0"/>
    <x v="0"/>
    <n v="54000"/>
    <n v="0"/>
    <x v="1"/>
    <n v="0"/>
    <x v="0"/>
    <x v="0"/>
    <d v="2009-04-05T00:00:00"/>
    <d v="2009-04-22T00:00:00"/>
    <x v="1"/>
    <d v="2010-05-17T00:00:00"/>
    <x v="0"/>
    <d v="2013-01-09T00:00:00"/>
    <x v="2"/>
    <x v="1"/>
    <s v="V"/>
    <x v="7"/>
    <x v="0"/>
    <x v="79"/>
    <s v="Pedro Palma"/>
    <x v="58"/>
    <x v="7"/>
    <x v="0"/>
    <x v="1"/>
    <x v="0"/>
    <d v="2009-04-05T00:00:00"/>
    <d v="2009-04-22T00:00:00"/>
  </r>
  <r>
    <n v="88"/>
    <x v="0"/>
    <x v="35"/>
    <x v="87"/>
    <n v="11761"/>
    <x v="70"/>
    <m/>
    <m/>
    <x v="2"/>
    <d v="2006-10-16T00:00:00"/>
    <x v="4"/>
    <m/>
    <d v="2007-05-11T00:00:00"/>
    <x v="3"/>
    <x v="0"/>
    <x v="0"/>
    <x v="3"/>
    <x v="0"/>
    <m/>
    <d v="2008-06-15T00:00:00"/>
    <x v="49"/>
    <m/>
    <n v="3000"/>
    <x v="0"/>
    <x v="0"/>
    <n v="5000"/>
    <n v="2000"/>
    <x v="7"/>
    <n v="5000"/>
    <x v="4"/>
    <x v="0"/>
    <m/>
    <m/>
    <x v="0"/>
    <d v="2009-09-15T00:00:00"/>
    <x v="0"/>
    <d v="2014-01-23T00:00:00"/>
    <x v="2"/>
    <x v="1"/>
    <s v="A"/>
    <x v="6"/>
    <x v="0"/>
    <x v="80"/>
    <s v="Fernando Centeio"/>
    <x v="59"/>
    <x v="6"/>
    <x v="0"/>
    <x v="1"/>
    <x v="0"/>
    <d v="1899-12-30T00:00:00"/>
    <d v="1899-12-30T00:00:00"/>
  </r>
  <r>
    <n v="89"/>
    <x v="0"/>
    <x v="36"/>
    <x v="88"/>
    <n v="11646"/>
    <x v="71"/>
    <m/>
    <s v="2º PRÉMIO DE POESIA"/>
    <x v="2"/>
    <d v="2006-10-16T00:00:00"/>
    <x v="4"/>
    <m/>
    <d v="2007-05-11T00:00:00"/>
    <x v="3"/>
    <x v="0"/>
    <x v="0"/>
    <x v="3"/>
    <x v="0"/>
    <m/>
    <d v="2008-11-13T00:00:00"/>
    <x v="50"/>
    <m/>
    <n v="2942.16"/>
    <x v="0"/>
    <x v="0"/>
    <n v="22556.16"/>
    <m/>
    <x v="1"/>
    <n v="0"/>
    <x v="0"/>
    <x v="0"/>
    <d v="2011-09-10T00:00:00"/>
    <m/>
    <x v="1"/>
    <d v="2011-12-30T00:00:00"/>
    <x v="0"/>
    <d v="2013-01-28T00:00:00"/>
    <x v="2"/>
    <x v="1"/>
    <s v="P"/>
    <x v="2"/>
    <x v="0"/>
    <x v="81"/>
    <s v="Miguel Ribeiro"/>
    <x v="20"/>
    <x v="5"/>
    <x v="0"/>
    <x v="1"/>
    <x v="0"/>
    <d v="2011-09-10T00:00:00"/>
    <d v="1899-12-30T00:00:00"/>
  </r>
  <r>
    <n v="90"/>
    <x v="0"/>
    <x v="8"/>
    <x v="89"/>
    <n v="11572"/>
    <x v="72"/>
    <m/>
    <s v="CAL"/>
    <x v="2"/>
    <d v="2007-04-30T00:00:00"/>
    <x v="7"/>
    <d v="2007-11-26T00:00:00"/>
    <d v="2008-09-11T00:00:00"/>
    <x v="7"/>
    <x v="0"/>
    <x v="0"/>
    <x v="4"/>
    <x v="0"/>
    <m/>
    <d v="2008-09-19T00:00:00"/>
    <x v="51"/>
    <m/>
    <n v="13500"/>
    <x v="0"/>
    <x v="0"/>
    <n v="81000"/>
    <m/>
    <x v="1"/>
    <n v="0"/>
    <x v="0"/>
    <x v="0"/>
    <d v="2011-02-21T00:00:00"/>
    <d v="2011-06-01T00:00:00"/>
    <x v="1"/>
    <d v="2011-09-19T00:00:00"/>
    <x v="0"/>
    <d v="2012-03-29T00:00:00"/>
    <x v="3"/>
    <x v="2"/>
    <s v="A"/>
    <x v="2"/>
    <x v="0"/>
    <x v="22"/>
    <s v="João Mário Grilo"/>
    <x v="60"/>
    <x v="5"/>
    <x v="2"/>
    <x v="1"/>
    <x v="0"/>
    <d v="2011-02-21T00:00:00"/>
    <d v="2011-06-01T00:00:00"/>
  </r>
  <r>
    <n v="91"/>
    <x v="0"/>
    <x v="9"/>
    <x v="90"/>
    <n v="12294"/>
    <x v="73"/>
    <m/>
    <m/>
    <x v="0"/>
    <d v="2009-01-02T00:00:00"/>
    <x v="0"/>
    <d v="2009-04-30T00:00:00"/>
    <d v="2009-08-06T00:00:00"/>
    <x v="0"/>
    <x v="0"/>
    <x v="0"/>
    <x v="0"/>
    <x v="0"/>
    <m/>
    <d v="2009-09-15T00:00:00"/>
    <x v="0"/>
    <m/>
    <n v="120000"/>
    <x v="0"/>
    <x v="0"/>
    <n v="720000"/>
    <m/>
    <x v="1"/>
    <n v="0"/>
    <x v="0"/>
    <x v="0"/>
    <d v="2010-11-22T00:00:00"/>
    <d v="2011-01-30T00:00:00"/>
    <x v="1"/>
    <d v="2011-11-10T00:00:00"/>
    <x v="0"/>
    <d v="2012-05-03T00:00:00"/>
    <x v="0"/>
    <x v="3"/>
    <s v="E"/>
    <x v="2"/>
    <x v="0"/>
    <x v="82"/>
    <s v="Catarina Ruivo"/>
    <x v="61"/>
    <x v="5"/>
    <x v="0"/>
    <x v="0"/>
    <x v="0"/>
    <d v="2010-11-22T00:00:00"/>
    <d v="2011-01-30T00:00:00"/>
  </r>
  <r>
    <n v="92"/>
    <x v="0"/>
    <x v="9"/>
    <x v="91"/>
    <n v="11610"/>
    <x v="74"/>
    <m/>
    <m/>
    <x v="1"/>
    <d v="2006-08-18T00:00:00"/>
    <x v="4"/>
    <m/>
    <d v="2007-01-29T00:00:00"/>
    <x v="3"/>
    <x v="0"/>
    <x v="0"/>
    <x v="8"/>
    <x v="0"/>
    <m/>
    <d v="2008-04-03T00:00:00"/>
    <x v="21"/>
    <m/>
    <n v="67500"/>
    <x v="0"/>
    <x v="0"/>
    <n v="517500"/>
    <m/>
    <x v="0"/>
    <n v="0"/>
    <x v="0"/>
    <x v="0"/>
    <d v="2010-07-24T00:00:00"/>
    <d v="2010-08-23T00:00:00"/>
    <x v="1"/>
    <d v="2011-10-10T00:00:00"/>
    <x v="0"/>
    <d v="2012-10-30T00:00:00"/>
    <x v="0"/>
    <x v="3"/>
    <s v="O"/>
    <x v="2"/>
    <x v="0"/>
    <x v="83"/>
    <s v="Zézé Gamboa"/>
    <x v="21"/>
    <x v="5"/>
    <x v="0"/>
    <x v="0"/>
    <x v="0"/>
    <d v="2010-07-24T00:00:00"/>
    <d v="2010-08-23T00:00:00"/>
  </r>
  <r>
    <n v="93"/>
    <x v="0"/>
    <x v="37"/>
    <x v="92"/>
    <n v="11570"/>
    <x v="75"/>
    <m/>
    <m/>
    <x v="1"/>
    <d v="2009-01-02T00:00:00"/>
    <x v="0"/>
    <d v="2009-09-02T00:00:00"/>
    <d v="2010-03-26T00:00:00"/>
    <x v="2"/>
    <x v="0"/>
    <x v="0"/>
    <x v="3"/>
    <x v="0"/>
    <m/>
    <d v="2010-05-18T00:00:00"/>
    <x v="52"/>
    <m/>
    <n v="8600"/>
    <x v="0"/>
    <x v="0"/>
    <n v="51600"/>
    <m/>
    <x v="0"/>
    <n v="0"/>
    <x v="0"/>
    <x v="0"/>
    <d v="2010-10-06T00:00:00"/>
    <d v="2011-04-04T00:00:00"/>
    <x v="0"/>
    <d v="2011-12-20T00:00:00"/>
    <x v="0"/>
    <d v="2013-03-27T00:00:00"/>
    <x v="2"/>
    <x v="3"/>
    <s v="A"/>
    <x v="2"/>
    <x v="0"/>
    <x v="84"/>
    <s v="Teresa Garcia"/>
    <x v="62"/>
    <x v="5"/>
    <x v="0"/>
    <x v="1"/>
    <x v="0"/>
    <d v="2010-10-06T00:00:00"/>
    <d v="2011-04-04T00:00:00"/>
  </r>
  <r>
    <n v="94"/>
    <x v="0"/>
    <x v="10"/>
    <x v="93"/>
    <n v="10812"/>
    <x v="76"/>
    <m/>
    <s v="VÓRTICE"/>
    <x v="1"/>
    <d v="2007-04-30T00:00:00"/>
    <x v="7"/>
    <d v="2007-08-31T00:00:00"/>
    <d v="2007-11-19T00:00:00"/>
    <x v="3"/>
    <x v="0"/>
    <x v="0"/>
    <x v="6"/>
    <x v="0"/>
    <m/>
    <d v="2008-02-07T00:00:00"/>
    <x v="53"/>
    <m/>
    <m/>
    <x v="0"/>
    <x v="0"/>
    <n v="110295"/>
    <n v="0"/>
    <x v="1"/>
    <n v="0"/>
    <x v="0"/>
    <x v="0"/>
    <m/>
    <m/>
    <x v="0"/>
    <d v="2009-02-19T00:00:00"/>
    <x v="0"/>
    <d v="2012-10-30T00:00:00"/>
    <x v="0"/>
    <x v="4"/>
    <s v="N"/>
    <x v="6"/>
    <x v="0"/>
    <x v="85"/>
    <s v="Eduardo Valente"/>
    <x v="32"/>
    <x v="6"/>
    <x v="0"/>
    <x v="0"/>
    <x v="0"/>
    <d v="1899-12-30T00:00:00"/>
    <d v="1899-12-30T00:00:00"/>
  </r>
  <r>
    <n v="95"/>
    <x v="0"/>
    <x v="10"/>
    <x v="94"/>
    <n v="11057"/>
    <x v="77"/>
    <m/>
    <m/>
    <x v="1"/>
    <d v="2010-01-04T00:00:00"/>
    <x v="3"/>
    <d v="2010-05-24T00:00:00"/>
    <d v="2010-09-03T00:00:00"/>
    <x v="2"/>
    <x v="0"/>
    <x v="0"/>
    <x v="6"/>
    <x v="0"/>
    <m/>
    <d v="2010-10-20T00:00:00"/>
    <x v="43"/>
    <m/>
    <m/>
    <x v="0"/>
    <x v="0"/>
    <n v="116877.04"/>
    <m/>
    <x v="1"/>
    <n v="0"/>
    <x v="0"/>
    <x v="0"/>
    <d v="2010-10-05T00:00:00"/>
    <d v="2010-11-02T00:00:00"/>
    <x v="5"/>
    <d v="2011-10-13T00:00:00"/>
    <x v="0"/>
    <d v="2012-05-03T00:00:00"/>
    <x v="0"/>
    <x v="4"/>
    <s v="O"/>
    <x v="2"/>
    <x v="0"/>
    <x v="86"/>
    <s v="Paulo Caldas"/>
    <x v="63"/>
    <x v="0"/>
    <x v="0"/>
    <x v="0"/>
    <x v="0"/>
    <d v="2010-10-05T00:00:00"/>
    <d v="2010-11-02T00:00:00"/>
  </r>
  <r>
    <n v="96"/>
    <x v="0"/>
    <x v="38"/>
    <x v="95"/>
    <n v="11750"/>
    <x v="78"/>
    <m/>
    <m/>
    <x v="1"/>
    <d v="2008-01-02T00:00:00"/>
    <x v="2"/>
    <d v="2008-09-22T00:00:00"/>
    <d v="2009-03-11T00:00:00"/>
    <x v="0"/>
    <x v="0"/>
    <x v="0"/>
    <x v="6"/>
    <x v="0"/>
    <m/>
    <d v="2009-08-12T00:00:00"/>
    <x v="54"/>
    <m/>
    <m/>
    <x v="0"/>
    <x v="0"/>
    <n v="102944"/>
    <n v="20588.8"/>
    <x v="1"/>
    <n v="20588.8"/>
    <x v="4"/>
    <x v="0"/>
    <d v="2009-08-18T00:00:00"/>
    <d v="2009-09-28T00:00:00"/>
    <x v="0"/>
    <d v="2010-11-12T00:00:00"/>
    <x v="0"/>
    <d v="2014-01-23T00:00:00"/>
    <x v="0"/>
    <x v="4"/>
    <s v="A"/>
    <x v="7"/>
    <x v="0"/>
    <x v="87"/>
    <s v="Luiz Alberto Pereira"/>
    <x v="21"/>
    <x v="7"/>
    <x v="0"/>
    <x v="0"/>
    <x v="0"/>
    <d v="2009-08-18T00:00:00"/>
    <d v="2009-09-28T00:00:00"/>
  </r>
  <r>
    <n v="97"/>
    <x v="0"/>
    <x v="13"/>
    <x v="96"/>
    <n v="11569"/>
    <x v="79"/>
    <m/>
    <m/>
    <x v="0"/>
    <d v="2008-01-02T00:00:00"/>
    <x v="2"/>
    <d v="2008-06-26T00:00:00"/>
    <d v="2009-03-11T00:00:00"/>
    <x v="0"/>
    <x v="0"/>
    <x v="0"/>
    <x v="4"/>
    <x v="0"/>
    <m/>
    <d v="2009-04-22T00:00:00"/>
    <x v="9"/>
    <m/>
    <n v="9000"/>
    <x v="0"/>
    <x v="0"/>
    <n v="54000"/>
    <n v="0"/>
    <x v="1"/>
    <n v="0"/>
    <x v="0"/>
    <x v="0"/>
    <d v="2009-07-27T00:00:00"/>
    <d v="2011-08-15T00:00:00"/>
    <x v="6"/>
    <d v="2011-12-29T00:00:00"/>
    <x v="0"/>
    <d v="2012-10-30T00:00:00"/>
    <x v="3"/>
    <x v="4"/>
    <s v="A"/>
    <x v="2"/>
    <x v="0"/>
    <x v="88"/>
    <s v="Kiluanje Liberdade, Inês Gonçalves"/>
    <x v="64"/>
    <x v="5"/>
    <x v="2"/>
    <x v="0"/>
    <x v="0"/>
    <d v="2009-07-27T00:00:00"/>
    <d v="2011-08-15T00:00:00"/>
  </r>
  <r>
    <n v="98"/>
    <x v="0"/>
    <x v="13"/>
    <x v="97"/>
    <n v="12217"/>
    <x v="80"/>
    <m/>
    <m/>
    <x v="1"/>
    <d v="2005-07-01T00:00:00"/>
    <x v="6"/>
    <m/>
    <d v="2006-03-13T00:00:00"/>
    <x v="4"/>
    <x v="0"/>
    <x v="0"/>
    <x v="8"/>
    <x v="0"/>
    <m/>
    <d v="2007-12-14T00:00:00"/>
    <x v="21"/>
    <m/>
    <m/>
    <x v="0"/>
    <x v="0"/>
    <n v="450000"/>
    <m/>
    <x v="1"/>
    <n v="0"/>
    <x v="0"/>
    <x v="0"/>
    <d v="2010-04-05T00:00:00"/>
    <d v="2010-05-31T00:00:00"/>
    <x v="7"/>
    <d v="2011-11-17T00:00:00"/>
    <x v="0"/>
    <d v="2013-09-03T00:00:00"/>
    <x v="0"/>
    <x v="4"/>
    <s v="A"/>
    <x v="2"/>
    <x v="0"/>
    <x v="89"/>
    <s v="Flora Gomes"/>
    <x v="65"/>
    <x v="0"/>
    <x v="0"/>
    <x v="0"/>
    <x v="0"/>
    <d v="2010-04-05T00:00:00"/>
    <d v="2010-05-31T00:00:00"/>
  </r>
  <r>
    <n v="99"/>
    <x v="0"/>
    <x v="13"/>
    <x v="98"/>
    <n v="11674"/>
    <x v="81"/>
    <m/>
    <s v="CANÇÃO DA MANHÃ"/>
    <x v="1"/>
    <d v="2009-01-02T00:00:00"/>
    <x v="0"/>
    <d v="2009-09-02T00:00:00"/>
    <d v="2010-03-26T00:00:00"/>
    <x v="2"/>
    <x v="0"/>
    <x v="0"/>
    <x v="3"/>
    <x v="0"/>
    <m/>
    <d v="2010-04-12T00:00:00"/>
    <x v="55"/>
    <m/>
    <n v="8800"/>
    <x v="0"/>
    <x v="0"/>
    <n v="52800"/>
    <n v="0"/>
    <x v="0"/>
    <n v="0"/>
    <x v="0"/>
    <x v="0"/>
    <d v="2011-06-24T00:00:00"/>
    <d v="2011-07-05T00:00:00"/>
    <x v="0"/>
    <d v="2012-05-07T00:00:00"/>
    <x v="0"/>
    <d v="2012-10-30T00:00:00"/>
    <x v="2"/>
    <x v="4"/>
    <s v="L"/>
    <x v="0"/>
    <x v="0"/>
    <x v="90"/>
    <s v="Cláudia Varejão"/>
    <x v="66"/>
    <x v="0"/>
    <x v="0"/>
    <x v="1"/>
    <x v="0"/>
    <d v="2011-06-24T00:00:00"/>
    <d v="2011-07-05T00:00:00"/>
  </r>
  <r>
    <n v="100"/>
    <x v="0"/>
    <x v="13"/>
    <x v="99"/>
    <n v="11222"/>
    <x v="82"/>
    <m/>
    <m/>
    <x v="1"/>
    <d v="2009-01-02T00:00:00"/>
    <x v="0"/>
    <d v="2009-09-02T00:00:00"/>
    <d v="2010-03-26T00:00:00"/>
    <x v="2"/>
    <x v="0"/>
    <x v="0"/>
    <x v="3"/>
    <x v="0"/>
    <m/>
    <d v="2010-05-14T00:00:00"/>
    <x v="55"/>
    <m/>
    <n v="8800"/>
    <x v="0"/>
    <x v="0"/>
    <n v="52800"/>
    <n v="0"/>
    <x v="1"/>
    <n v="0"/>
    <x v="0"/>
    <x v="0"/>
    <d v="2011-07-07T00:00:00"/>
    <d v="2011-07-15T00:00:00"/>
    <x v="1"/>
    <d v="2011-11-14T00:00:00"/>
    <x v="0"/>
    <d v="2012-10-30T00:00:00"/>
    <x v="2"/>
    <x v="4"/>
    <s v="R"/>
    <x v="2"/>
    <x v="0"/>
    <x v="33"/>
    <s v="João Salaviza"/>
    <x v="67"/>
    <x v="0"/>
    <x v="0"/>
    <x v="1"/>
    <x v="0"/>
    <d v="2011-07-07T00:00:00"/>
    <d v="2011-07-15T00:00:00"/>
  </r>
  <r>
    <n v="101"/>
    <x v="0"/>
    <x v="39"/>
    <x v="100"/>
    <n v="11651"/>
    <x v="83"/>
    <m/>
    <s v="OLHOS VERMELHOS"/>
    <x v="2"/>
    <d v="2007-04-30T00:00:00"/>
    <x v="7"/>
    <d v="2007-11-19T00:00:00"/>
    <d v="2008-06-16T00:00:00"/>
    <x v="7"/>
    <x v="0"/>
    <x v="0"/>
    <x v="0"/>
    <x v="0"/>
    <m/>
    <d v="2008-09-16T00:00:00"/>
    <x v="0"/>
    <m/>
    <n v="120000"/>
    <x v="0"/>
    <x v="0"/>
    <n v="720000"/>
    <n v="30000"/>
    <x v="1"/>
    <n v="30000"/>
    <x v="4"/>
    <x v="0"/>
    <d v="2010-02-22T00:00:00"/>
    <d v="2010-05-29T00:00:00"/>
    <x v="1"/>
    <d v="2011-08-16T00:00:00"/>
    <x v="0"/>
    <d v="2014-01-23T00:00:00"/>
    <x v="0"/>
    <x v="5"/>
    <s v="S"/>
    <x v="2"/>
    <x v="0"/>
    <x v="91"/>
    <s v="Paulo Rocha"/>
    <x v="21"/>
    <x v="5"/>
    <x v="0"/>
    <x v="0"/>
    <x v="0"/>
    <d v="2010-02-22T00:00:00"/>
    <d v="2010-05-29T00:00:00"/>
  </r>
  <r>
    <n v="102"/>
    <x v="0"/>
    <x v="19"/>
    <x v="101"/>
    <n v="11097"/>
    <x v="84"/>
    <m/>
    <m/>
    <x v="1"/>
    <d v="2008-01-02T00:00:00"/>
    <x v="2"/>
    <d v="2008-09-22T00:00:00"/>
    <d v="2009-03-11T00:00:00"/>
    <x v="0"/>
    <x v="0"/>
    <x v="0"/>
    <x v="6"/>
    <x v="0"/>
    <m/>
    <d v="2009-07-21T00:00:00"/>
    <x v="56"/>
    <m/>
    <m/>
    <x v="0"/>
    <x v="0"/>
    <n v="102071.64"/>
    <n v="0"/>
    <x v="1"/>
    <n v="0"/>
    <x v="0"/>
    <x v="0"/>
    <d v="2009-05-17T00:00:00"/>
    <d v="2009-06-29T00:00:00"/>
    <x v="5"/>
    <d v="2011-10-21T00:00:00"/>
    <x v="0"/>
    <d v="2012-11-26T00:00:00"/>
    <x v="0"/>
    <x v="8"/>
    <s v="C"/>
    <x v="2"/>
    <x v="0"/>
    <x v="92"/>
    <s v="Cecília Amado, Guy Gonçalves"/>
    <x v="68"/>
    <x v="5"/>
    <x v="0"/>
    <x v="0"/>
    <x v="0"/>
    <d v="2009-05-17T00:00:00"/>
    <d v="2009-06-29T00:00:00"/>
  </r>
  <r>
    <n v="103"/>
    <x v="0"/>
    <x v="18"/>
    <x v="102"/>
    <n v="10802"/>
    <x v="85"/>
    <m/>
    <s v="POR DENTRO DA REPRESENTAÇÃO"/>
    <x v="2"/>
    <d v="2009-01-02T00:00:00"/>
    <x v="0"/>
    <d v="2009-12-02T00:00:00"/>
    <d v="2010-11-02T00:00:00"/>
    <x v="2"/>
    <x v="0"/>
    <x v="0"/>
    <x v="4"/>
    <x v="0"/>
    <m/>
    <d v="2010-11-11T00:00:00"/>
    <x v="4"/>
    <m/>
    <n v="14000"/>
    <x v="0"/>
    <x v="0"/>
    <n v="84000"/>
    <m/>
    <x v="1"/>
    <n v="0"/>
    <x v="0"/>
    <x v="0"/>
    <d v="2009-09-01T00:00:00"/>
    <d v="2010-09-01T00:00:00"/>
    <x v="1"/>
    <d v="2011-05-03T00:00:00"/>
    <x v="0"/>
    <d v="2012-01-26T00:00:00"/>
    <x v="3"/>
    <x v="8"/>
    <s v="T"/>
    <x v="2"/>
    <x v="0"/>
    <x v="39"/>
    <s v="João Canijo"/>
    <x v="69"/>
    <x v="5"/>
    <x v="2"/>
    <x v="0"/>
    <x v="0"/>
    <d v="2009-09-01T00:00:00"/>
    <d v="2010-09-01T00:00:00"/>
  </r>
  <r>
    <n v="104"/>
    <x v="0"/>
    <x v="23"/>
    <x v="103"/>
    <n v="10052"/>
    <x v="86"/>
    <m/>
    <m/>
    <x v="1"/>
    <d v="2007-04-30T00:00:00"/>
    <x v="7"/>
    <d v="2007-05-28T00:00:00"/>
    <d v="2007-10-10T00:00:00"/>
    <x v="3"/>
    <x v="0"/>
    <x v="0"/>
    <x v="11"/>
    <x v="0"/>
    <m/>
    <d v="2008-02-25T00:00:00"/>
    <x v="27"/>
    <m/>
    <n v="100000"/>
    <x v="0"/>
    <x v="0"/>
    <n v="600000"/>
    <m/>
    <x v="1"/>
    <n v="0"/>
    <x v="0"/>
    <x v="0"/>
    <d v="2009-08-18T00:00:00"/>
    <d v="2009-10-06T00:00:00"/>
    <x v="1"/>
    <d v="2010-09-10T00:00:00"/>
    <x v="0"/>
    <d v="2012-03-29T00:00:00"/>
    <x v="0"/>
    <x v="9"/>
    <s v="A"/>
    <x v="7"/>
    <x v="0"/>
    <x v="50"/>
    <s v="João Nicolau"/>
    <x v="70"/>
    <x v="7"/>
    <x v="0"/>
    <x v="0"/>
    <x v="0"/>
    <d v="2009-08-18T00:00:00"/>
    <d v="2009-10-06T00:00:00"/>
  </r>
  <r>
    <n v="105"/>
    <x v="0"/>
    <x v="23"/>
    <x v="104"/>
    <n v="12093"/>
    <x v="87"/>
    <m/>
    <m/>
    <x v="1"/>
    <d v="2009-01-02T00:00:00"/>
    <x v="0"/>
    <d v="2009-09-02T00:00:00"/>
    <d v="2010-03-26T00:00:00"/>
    <x v="2"/>
    <x v="0"/>
    <x v="0"/>
    <x v="3"/>
    <x v="0"/>
    <m/>
    <d v="2010-05-14T00:00:00"/>
    <x v="52"/>
    <m/>
    <n v="8600"/>
    <x v="0"/>
    <x v="0"/>
    <n v="51600"/>
    <n v="0"/>
    <x v="1"/>
    <n v="0"/>
    <x v="0"/>
    <x v="0"/>
    <d v="2011-09-26T00:00:00"/>
    <d v="2011-10-01T00:00:00"/>
    <x v="1"/>
    <d v="2011-12-12T00:00:00"/>
    <x v="0"/>
    <d v="2012-12-03T00:00:00"/>
    <x v="2"/>
    <x v="9"/>
    <s v="A"/>
    <x v="2"/>
    <x v="0"/>
    <x v="93"/>
    <s v="Miguel Fonseca"/>
    <x v="57"/>
    <x v="0"/>
    <x v="0"/>
    <x v="1"/>
    <x v="0"/>
    <d v="2011-09-26T00:00:00"/>
    <d v="2011-10-01T00:00:00"/>
  </r>
  <r>
    <n v="106"/>
    <x v="0"/>
    <x v="23"/>
    <x v="105"/>
    <n v="11653"/>
    <x v="88"/>
    <m/>
    <s v="O APELO"/>
    <x v="1"/>
    <d v="2009-01-02T00:00:00"/>
    <x v="0"/>
    <d v="2009-09-02T00:00:00"/>
    <d v="2009-03-26T00:00:00"/>
    <x v="0"/>
    <x v="0"/>
    <x v="0"/>
    <x v="3"/>
    <x v="0"/>
    <m/>
    <d v="2010-05-19T00:00:00"/>
    <x v="12"/>
    <m/>
    <n v="9000"/>
    <x v="0"/>
    <x v="0"/>
    <n v="50000"/>
    <n v="0"/>
    <x v="1"/>
    <n v="0"/>
    <x v="0"/>
    <x v="0"/>
    <d v="2010-10-27T00:00:00"/>
    <d v="2010-11-01T00:00:00"/>
    <x v="1"/>
    <d v="2011-12-09T00:00:00"/>
    <x v="0"/>
    <d v="2012-12-03T00:00:00"/>
    <x v="2"/>
    <x v="9"/>
    <s v="S"/>
    <x v="2"/>
    <x v="0"/>
    <x v="94"/>
    <s v="Mariana Gaivão"/>
    <x v="57"/>
    <x v="5"/>
    <x v="0"/>
    <x v="1"/>
    <x v="0"/>
    <d v="2010-10-27T00:00:00"/>
    <d v="2010-11-01T00:00:00"/>
  </r>
  <r>
    <n v="107"/>
    <x v="0"/>
    <x v="40"/>
    <x v="106"/>
    <n v="12262"/>
    <x v="89"/>
    <m/>
    <s v="DE BOLAMA A TABATÔ"/>
    <x v="2"/>
    <d v="2009-01-02T00:00:00"/>
    <x v="0"/>
    <d v="2009-12-02T00:00:00"/>
    <d v="2010-11-03T00:00:00"/>
    <x v="2"/>
    <x v="0"/>
    <x v="0"/>
    <x v="4"/>
    <x v="0"/>
    <m/>
    <d v="2010-11-17T00:00:00"/>
    <x v="14"/>
    <m/>
    <n v="13000"/>
    <x v="0"/>
    <x v="0"/>
    <n v="78000"/>
    <m/>
    <x v="0"/>
    <n v="0"/>
    <x v="0"/>
    <x v="0"/>
    <d v="2011-03-18T00:00:00"/>
    <d v="2011-08-15T00:00:00"/>
    <x v="8"/>
    <d v="2011-11-10T00:00:00"/>
    <x v="0"/>
    <d v="2012-02-23T00:00:00"/>
    <x v="3"/>
    <x v="10"/>
    <s v="A"/>
    <x v="2"/>
    <x v="0"/>
    <x v="95"/>
    <s v="João Viana"/>
    <x v="65"/>
    <x v="5"/>
    <x v="2"/>
    <x v="0"/>
    <x v="0"/>
    <d v="2011-03-18T00:00:00"/>
    <d v="2011-08-15T00:00:00"/>
  </r>
  <r>
    <n v="108"/>
    <x v="0"/>
    <x v="29"/>
    <x v="107"/>
    <n v="11563"/>
    <x v="90"/>
    <m/>
    <m/>
    <x v="1"/>
    <d v="2009-01-02T00:00:00"/>
    <x v="0"/>
    <d v="2009-03-18T00:00:00"/>
    <d v="2009-09-14T00:00:00"/>
    <x v="0"/>
    <x v="0"/>
    <x v="0"/>
    <x v="11"/>
    <x v="0"/>
    <m/>
    <d v="2009-09-22T00:00:00"/>
    <x v="57"/>
    <m/>
    <n v="92000"/>
    <x v="0"/>
    <x v="0"/>
    <n v="552000"/>
    <n v="0"/>
    <x v="0"/>
    <n v="0"/>
    <x v="0"/>
    <x v="0"/>
    <d v="2011-07-15T00:00:00"/>
    <d v="2011-09-10T00:00:00"/>
    <x v="1"/>
    <d v="2011-12-10T00:00:00"/>
    <x v="0"/>
    <d v="2012-10-30T00:00:00"/>
    <x v="0"/>
    <x v="11"/>
    <s v="A"/>
    <x v="2"/>
    <x v="0"/>
    <x v="96"/>
    <s v="Hugo Martins"/>
    <x v="71"/>
    <x v="5"/>
    <x v="0"/>
    <x v="0"/>
    <x v="0"/>
    <d v="2011-07-15T00:00:00"/>
    <d v="2011-09-10T00:00:00"/>
  </r>
  <r>
    <n v="109"/>
    <x v="0"/>
    <x v="41"/>
    <x v="108"/>
    <n v="11832"/>
    <x v="91"/>
    <m/>
    <m/>
    <x v="1"/>
    <d v="2008-01-02T00:00:00"/>
    <x v="2"/>
    <d v="2008-09-02T00:00:00"/>
    <d v="2009-04-28T00:00:00"/>
    <x v="0"/>
    <x v="0"/>
    <x v="0"/>
    <x v="3"/>
    <x v="0"/>
    <m/>
    <d v="2009-08-12T00:00:00"/>
    <x v="58"/>
    <m/>
    <n v="7100"/>
    <x v="0"/>
    <x v="0"/>
    <n v="42600"/>
    <n v="1775"/>
    <x v="1"/>
    <n v="1775"/>
    <x v="4"/>
    <x v="0"/>
    <m/>
    <m/>
    <x v="0"/>
    <d v="2010-08-17T00:00:00"/>
    <x v="0"/>
    <d v="2014-01-23T00:00:00"/>
    <x v="2"/>
    <x v="13"/>
    <s v="N"/>
    <x v="7"/>
    <x v="0"/>
    <x v="31"/>
    <s v="Fernando Matos Silva"/>
    <x v="72"/>
    <x v="7"/>
    <x v="0"/>
    <x v="1"/>
    <x v="0"/>
    <d v="1899-12-30T00:00:00"/>
    <d v="1899-12-30T00:00:00"/>
  </r>
  <r>
    <n v="110"/>
    <x v="0"/>
    <x v="32"/>
    <x v="109"/>
    <n v="11141"/>
    <x v="92"/>
    <m/>
    <s v="POVO UNIDO"/>
    <x v="0"/>
    <d v="2008-01-02T00:00:00"/>
    <x v="2"/>
    <d v="2008-06-26T00:00:00"/>
    <d v="2009-03-11T00:00:00"/>
    <x v="0"/>
    <x v="0"/>
    <x v="0"/>
    <x v="4"/>
    <x v="0"/>
    <m/>
    <d v="2009-09-22T00:00:00"/>
    <x v="9"/>
    <m/>
    <n v="9000"/>
    <x v="0"/>
    <x v="0"/>
    <n v="54000"/>
    <m/>
    <x v="1"/>
    <n v="0"/>
    <x v="0"/>
    <x v="0"/>
    <d v="2009-03-16T00:00:00"/>
    <d v="2009-10-30T00:00:00"/>
    <x v="1"/>
    <d v="2011-06-03T00:00:00"/>
    <x v="0"/>
    <d v="2012-03-29T00:00:00"/>
    <x v="3"/>
    <x v="13"/>
    <s v="L"/>
    <x v="2"/>
    <x v="0"/>
    <x v="97"/>
    <s v="José Filipe Costa"/>
    <x v="73"/>
    <x v="5"/>
    <x v="2"/>
    <x v="0"/>
    <x v="0"/>
    <d v="2009-03-16T00:00:00"/>
    <d v="2009-10-30T00:00:00"/>
  </r>
  <r>
    <n v="111"/>
    <x v="0"/>
    <x v="32"/>
    <x v="110"/>
    <n v="11577"/>
    <x v="93"/>
    <m/>
    <m/>
    <x v="2"/>
    <d v="2006-09-22T00:00:00"/>
    <x v="4"/>
    <d v="2006-11-03T00:00:00"/>
    <d v="2007-04-19T00:00:00"/>
    <x v="3"/>
    <x v="0"/>
    <x v="0"/>
    <x v="4"/>
    <x v="0"/>
    <m/>
    <d v="2007-10-24T00:00:00"/>
    <x v="59"/>
    <m/>
    <n v="7497.6"/>
    <x v="0"/>
    <x v="0"/>
    <n v="64979.199999999997"/>
    <m/>
    <x v="1"/>
    <n v="0"/>
    <x v="0"/>
    <x v="0"/>
    <d v="2011-02-07T00:00:00"/>
    <d v="2011-03-11T00:00:00"/>
    <x v="1"/>
    <d v="2011-09-29T00:00:00"/>
    <x v="0"/>
    <d v="2012-01-30T00:00:00"/>
    <x v="3"/>
    <x v="13"/>
    <s v="C"/>
    <x v="2"/>
    <x v="0"/>
    <x v="98"/>
    <s v="Luís Miguel Correia"/>
    <x v="74"/>
    <x v="5"/>
    <x v="2"/>
    <x v="1"/>
    <x v="0"/>
    <d v="2011-02-07T00:00:00"/>
    <d v="2011-03-11T00:00:00"/>
  </r>
  <r>
    <n v="112"/>
    <x v="0"/>
    <x v="42"/>
    <x v="111"/>
    <n v="12642"/>
    <x v="94"/>
    <m/>
    <m/>
    <x v="1"/>
    <d v="2007-04-30T00:00:00"/>
    <x v="7"/>
    <d v="2007-07-30T00:00:00"/>
    <d v="2008-01-10T00:00:00"/>
    <x v="7"/>
    <x v="0"/>
    <x v="0"/>
    <x v="10"/>
    <x v="0"/>
    <m/>
    <d v="2008-01-16T00:00:00"/>
    <x v="60"/>
    <m/>
    <m/>
    <x v="0"/>
    <x v="0"/>
    <n v="130000"/>
    <m/>
    <x v="1"/>
    <n v="0"/>
    <x v="0"/>
    <x v="0"/>
    <d v="2008-12-08T00:00:00"/>
    <d v="2009-10-14T00:00:00"/>
    <x v="9"/>
    <d v="2011-01-27T00:00:00"/>
    <x v="0"/>
    <d v="2013-01-09T00:00:00"/>
    <x v="0"/>
    <x v="14"/>
    <s v="J"/>
    <x v="2"/>
    <x v="0"/>
    <x v="99"/>
    <s v="Menelaos Karamaghiolis"/>
    <x v="75"/>
    <x v="5"/>
    <x v="0"/>
    <x v="0"/>
    <x v="0"/>
    <d v="2008-12-08T00:00:00"/>
    <d v="2009-10-14T00:00:00"/>
  </r>
  <r>
    <n v="113"/>
    <x v="0"/>
    <x v="43"/>
    <x v="112"/>
    <n v="8929"/>
    <x v="95"/>
    <m/>
    <s v="PROPHETA"/>
    <x v="2"/>
    <d v="2004-12-03T00:00:00"/>
    <x v="5"/>
    <d v="2005-01-24T00:00:00"/>
    <d v="2005-06-01T00:00:00"/>
    <x v="6"/>
    <x v="0"/>
    <x v="0"/>
    <x v="0"/>
    <x v="0"/>
    <m/>
    <d v="2007-01-25T00:00:00"/>
    <x v="23"/>
    <n v="642712.30000000005"/>
    <m/>
    <x v="0"/>
    <x v="0"/>
    <n v="642712.30000000005"/>
    <m/>
    <x v="1"/>
    <n v="0"/>
    <x v="0"/>
    <x v="0"/>
    <m/>
    <m/>
    <x v="0"/>
    <d v="2010-01-20T00:00:00"/>
    <x v="0"/>
    <d v="2014-07-07T00:00:00"/>
    <x v="0"/>
    <x v="15"/>
    <s v="C"/>
    <x v="7"/>
    <x v="0"/>
    <x v="100"/>
    <s v="Fernando Fragata"/>
    <x v="21"/>
    <x v="7"/>
    <x v="0"/>
    <x v="0"/>
    <x v="0"/>
    <d v="1899-12-30T00:00:00"/>
    <d v="1899-12-30T00:00:00"/>
  </r>
  <r>
    <n v="114"/>
    <x v="0"/>
    <x v="44"/>
    <x v="113"/>
    <n v="11609"/>
    <x v="96"/>
    <m/>
    <m/>
    <x v="1"/>
    <d v="2010-01-04T00:00:00"/>
    <x v="3"/>
    <d v="2010-05-18T00:00:00"/>
    <d v="2010-11-02T00:00:00"/>
    <x v="2"/>
    <x v="0"/>
    <x v="0"/>
    <x v="1"/>
    <x v="0"/>
    <m/>
    <d v="2010-01-25T00:00:00"/>
    <x v="40"/>
    <m/>
    <n v="24843"/>
    <x v="0"/>
    <x v="0"/>
    <n v="149843"/>
    <m/>
    <x v="1"/>
    <n v="0"/>
    <x v="0"/>
    <x v="0"/>
    <m/>
    <m/>
    <x v="0"/>
    <d v="2011-10-10T00:00:00"/>
    <x v="0"/>
    <d v="2012-05-03T00:00:00"/>
    <x v="1"/>
    <x v="16"/>
    <s v="O"/>
    <x v="2"/>
    <x v="0"/>
    <x v="101"/>
    <s v="Luís da Matta Almeida, Pedro Lino"/>
    <x v="76"/>
    <x v="5"/>
    <x v="1"/>
    <x v="1"/>
    <x v="0"/>
    <d v="1899-12-30T00:00:00"/>
    <d v="1899-12-30T00:00:00"/>
  </r>
  <r>
    <n v="115"/>
    <x v="0"/>
    <x v="28"/>
    <x v="114"/>
    <m/>
    <x v="4"/>
    <m/>
    <m/>
    <x v="1"/>
    <d v="2010-01-04T00:00:00"/>
    <x v="3"/>
    <d v="2010-05-04T00:00:00"/>
    <d v="2011-01-03T00:00:00"/>
    <x v="1"/>
    <x v="0"/>
    <x v="1"/>
    <x v="5"/>
    <x v="2"/>
    <m/>
    <d v="2011-01-24T00:00:00"/>
    <x v="61"/>
    <m/>
    <m/>
    <x v="0"/>
    <x v="0"/>
    <n v="2500"/>
    <n v="0"/>
    <x v="1"/>
    <n v="0"/>
    <x v="0"/>
    <x v="0"/>
    <m/>
    <m/>
    <x v="0"/>
    <m/>
    <x v="0"/>
    <d v="2012-03-01T00:00:00"/>
    <x v="3"/>
    <x v="11"/>
    <s v="C"/>
    <x v="3"/>
    <x v="0"/>
    <x v="102"/>
    <s v=""/>
    <x v="4"/>
    <x v="2"/>
    <x v="2"/>
    <x v="3"/>
    <x v="0"/>
    <d v="1899-12-30T00:00:00"/>
    <d v="1899-12-30T00:00:00"/>
  </r>
  <r>
    <n v="116"/>
    <x v="0"/>
    <x v="10"/>
    <x v="115"/>
    <n v="10655"/>
    <x v="97"/>
    <m/>
    <m/>
    <x v="0"/>
    <d v="2010-01-04T00:00:00"/>
    <x v="3"/>
    <d v="2010-04-27T00:00:00"/>
    <d v="2010-11-16T00:00:00"/>
    <x v="2"/>
    <x v="0"/>
    <x v="0"/>
    <x v="0"/>
    <x v="0"/>
    <m/>
    <d v="2010-12-09T00:00:00"/>
    <x v="0"/>
    <m/>
    <n v="120000"/>
    <x v="0"/>
    <x v="0"/>
    <n v="720000"/>
    <n v="0"/>
    <x v="1"/>
    <n v="0"/>
    <x v="0"/>
    <x v="0"/>
    <d v="2011-03-07T00:00:00"/>
    <d v="2011-04-16T00:00:00"/>
    <x v="1"/>
    <d v="2011-09-12T00:00:00"/>
    <x v="0"/>
    <d v="2012-10-25T00:00:00"/>
    <x v="0"/>
    <x v="4"/>
    <s v="A"/>
    <x v="2"/>
    <x v="0"/>
    <x v="24"/>
    <s v="Solveig Nordlund"/>
    <x v="77"/>
    <x v="5"/>
    <x v="0"/>
    <x v="0"/>
    <x v="0"/>
    <d v="2011-03-07T00:00:00"/>
    <d v="2011-04-16T00:00:00"/>
  </r>
  <r>
    <n v="117"/>
    <x v="0"/>
    <x v="14"/>
    <x v="116"/>
    <n v="11731"/>
    <x v="98"/>
    <m/>
    <m/>
    <x v="1"/>
    <d v="2007-04-30T00:00:00"/>
    <x v="7"/>
    <d v="2007-09-26T00:00:00"/>
    <d v="2008-01-28T00:00:00"/>
    <x v="7"/>
    <x v="0"/>
    <x v="0"/>
    <x v="1"/>
    <x v="0"/>
    <m/>
    <d v="2008-10-17T00:00:00"/>
    <x v="62"/>
    <m/>
    <n v="6117.83"/>
    <x v="0"/>
    <x v="0"/>
    <n v="36707"/>
    <n v="1529.49"/>
    <x v="0"/>
    <n v="1529.49"/>
    <x v="4"/>
    <x v="0"/>
    <m/>
    <m/>
    <x v="0"/>
    <d v="2012-10-17T00:00:00"/>
    <x v="0"/>
    <d v="2014-01-23T00:00:00"/>
    <x v="1"/>
    <x v="4"/>
    <s v="A"/>
    <x v="0"/>
    <x v="0"/>
    <x v="103"/>
    <s v="Artur Correia"/>
    <x v="78"/>
    <x v="0"/>
    <x v="1"/>
    <x v="1"/>
    <x v="0"/>
    <d v="1899-12-30T00:00:00"/>
    <d v="1899-12-30T00:00:00"/>
  </r>
  <r>
    <n v="118"/>
    <x v="0"/>
    <x v="14"/>
    <x v="117"/>
    <n v="13111"/>
    <x v="99"/>
    <m/>
    <m/>
    <x v="1"/>
    <d v="2010-01-04T00:00:00"/>
    <x v="3"/>
    <d v="2010-07-27T00:00:00"/>
    <d v="2011-01-03T00:00:00"/>
    <x v="1"/>
    <x v="0"/>
    <x v="0"/>
    <x v="8"/>
    <x v="0"/>
    <m/>
    <d v="2011-02-21T00:00:00"/>
    <x v="3"/>
    <m/>
    <n v="4000"/>
    <x v="0"/>
    <x v="0"/>
    <n v="24000"/>
    <m/>
    <x v="1"/>
    <n v="0"/>
    <x v="0"/>
    <x v="0"/>
    <d v="2011-05-10T00:00:00"/>
    <m/>
    <x v="0"/>
    <d v="2014-08-05T00:00:00"/>
    <x v="0"/>
    <d v="2015-01-16T00:00:00"/>
    <x v="3"/>
    <x v="4"/>
    <s v="Á"/>
    <x v="4"/>
    <x v="0"/>
    <x v="104"/>
    <s v="Aminata Embaló"/>
    <x v="79"/>
    <x v="1"/>
    <x v="2"/>
    <x v="1"/>
    <x v="0"/>
    <d v="2011-05-10T00:00:00"/>
    <d v="1899-12-30T00:00:00"/>
  </r>
  <r>
    <n v="119"/>
    <x v="0"/>
    <x v="25"/>
    <x v="118"/>
    <m/>
    <x v="4"/>
    <m/>
    <m/>
    <x v="1"/>
    <d v="2011-01-03T00:00:00"/>
    <x v="1"/>
    <d v="2011-05-31T00:00:00"/>
    <d v="2011-12-28T00:00:00"/>
    <x v="1"/>
    <x v="0"/>
    <x v="0"/>
    <x v="6"/>
    <x v="0"/>
    <m/>
    <m/>
    <x v="63"/>
    <m/>
    <m/>
    <x v="0"/>
    <x v="0"/>
    <n v="114731.53"/>
    <n v="114731.53"/>
    <x v="1"/>
    <n v="114731.53"/>
    <x v="7"/>
    <x v="2"/>
    <m/>
    <m/>
    <x v="0"/>
    <m/>
    <x v="0"/>
    <d v="2013-09-03T00:00:00"/>
    <x v="0"/>
    <x v="10"/>
    <s v="C"/>
    <x v="3"/>
    <x v="0"/>
    <x v="105"/>
    <s v=""/>
    <x v="4"/>
    <x v="2"/>
    <x v="0"/>
    <x v="0"/>
    <x v="0"/>
    <d v="1899-12-30T00:00:00"/>
    <d v="1899-12-30T00:00:00"/>
  </r>
  <r>
    <n v="120"/>
    <x v="0"/>
    <x v="42"/>
    <x v="119"/>
    <n v="11048"/>
    <x v="100"/>
    <m/>
    <s v="NÃO SOU DE NINGUÉM"/>
    <x v="1"/>
    <d v="2010-01-04T00:00:00"/>
    <x v="3"/>
    <d v="2010-03-16T00:00:00"/>
    <d v="2010-10-11T00:00:00"/>
    <x v="2"/>
    <x v="0"/>
    <x v="0"/>
    <x v="11"/>
    <x v="0"/>
    <m/>
    <d v="2010-12-03T00:00:00"/>
    <x v="27"/>
    <m/>
    <n v="100000"/>
    <x v="0"/>
    <x v="0"/>
    <n v="600000"/>
    <m/>
    <x v="1"/>
    <n v="0"/>
    <x v="0"/>
    <x v="0"/>
    <d v="2011-05-23T00:00:00"/>
    <d v="2011-07-19T00:00:00"/>
    <x v="1"/>
    <d v="2011-12-12T00:00:00"/>
    <x v="0"/>
    <d v="2012-02-17T00:00:00"/>
    <x v="0"/>
    <x v="14"/>
    <s v="F"/>
    <x v="2"/>
    <x v="0"/>
    <x v="106"/>
    <s v="Vicente Alves do Ó"/>
    <x v="80"/>
    <x v="5"/>
    <x v="0"/>
    <x v="0"/>
    <x v="0"/>
    <d v="2011-05-23T00:00:00"/>
    <d v="2011-07-19T00:00:00"/>
  </r>
  <r>
    <n v="121"/>
    <x v="0"/>
    <x v="8"/>
    <x v="120"/>
    <n v="12097"/>
    <x v="101"/>
    <m/>
    <m/>
    <x v="1"/>
    <d v="2010-01-04T00:00:00"/>
    <x v="3"/>
    <d v="2010-07-06T00:00:00"/>
    <d v="2010-12-13T00:00:00"/>
    <x v="2"/>
    <x v="0"/>
    <x v="0"/>
    <x v="10"/>
    <x v="0"/>
    <m/>
    <d v="2011-02-21T00:00:00"/>
    <x v="64"/>
    <m/>
    <m/>
    <x v="0"/>
    <x v="0"/>
    <n v="195000"/>
    <m/>
    <x v="1"/>
    <n v="0"/>
    <x v="0"/>
    <x v="0"/>
    <d v="2012-03-11T00:00:00"/>
    <d v="2012-05-19T00:00:00"/>
    <x v="10"/>
    <d v="2013-03-22T00:00:00"/>
    <x v="0"/>
    <d v="2013-08-28T00:00:00"/>
    <x v="0"/>
    <x v="2"/>
    <s v="N"/>
    <x v="1"/>
    <x v="0"/>
    <x v="107"/>
    <s v="Bille August"/>
    <x v="81"/>
    <x v="3"/>
    <x v="0"/>
    <x v="0"/>
    <x v="0"/>
    <d v="2012-03-11T00:00:00"/>
    <d v="2012-05-19T00:00:00"/>
  </r>
  <r>
    <n v="122"/>
    <x v="0"/>
    <x v="10"/>
    <x v="93"/>
    <m/>
    <x v="4"/>
    <m/>
    <s v="VÓRTICE"/>
    <x v="1"/>
    <d v="2011-04-03T00:00:00"/>
    <x v="1"/>
    <d v="2011-12-31T00:00:00"/>
    <d v="2011-11-04T00:00:00"/>
    <x v="1"/>
    <x v="1"/>
    <x v="2"/>
    <x v="13"/>
    <x v="0"/>
    <m/>
    <d v="2011-11-04T00:00:00"/>
    <x v="65"/>
    <m/>
    <m/>
    <x v="0"/>
    <x v="0"/>
    <n v="1000"/>
    <n v="0"/>
    <x v="1"/>
    <n v="0"/>
    <x v="0"/>
    <x v="0"/>
    <m/>
    <m/>
    <x v="0"/>
    <m/>
    <x v="0"/>
    <d v="2013-04-23T00:00:00"/>
    <x v="5"/>
    <x v="4"/>
    <s v="N"/>
    <x v="3"/>
    <x v="0"/>
    <x v="108"/>
    <s v=""/>
    <x v="4"/>
    <x v="2"/>
    <x v="4"/>
    <x v="3"/>
    <x v="0"/>
    <d v="1899-12-30T00:00:00"/>
    <d v="1899-12-30T00:00:00"/>
  </r>
  <r>
    <n v="123"/>
    <x v="0"/>
    <x v="18"/>
    <x v="121"/>
    <n v="13267"/>
    <x v="102"/>
    <m/>
    <s v="Os Últimos Dias de Getúlio"/>
    <x v="1"/>
    <d v="2011-01-03T00:00:00"/>
    <x v="1"/>
    <d v="2011-05-31T00:00:00"/>
    <d v="2011-12-28T00:00:00"/>
    <x v="1"/>
    <x v="0"/>
    <x v="0"/>
    <x v="6"/>
    <x v="0"/>
    <m/>
    <d v="2012-02-03T00:00:00"/>
    <x v="63"/>
    <m/>
    <m/>
    <x v="0"/>
    <x v="0"/>
    <n v="114731.53"/>
    <m/>
    <x v="1"/>
    <n v="0"/>
    <x v="0"/>
    <x v="0"/>
    <d v="2013-06-01T00:00:00"/>
    <m/>
    <x v="5"/>
    <d v="2014-04-08T00:00:00"/>
    <x v="0"/>
    <d v="2014-11-06T00:00:00"/>
    <x v="0"/>
    <x v="8"/>
    <s v="G"/>
    <x v="4"/>
    <x v="0"/>
    <x v="109"/>
    <s v="João Jardim"/>
    <x v="82"/>
    <x v="1"/>
    <x v="0"/>
    <x v="0"/>
    <x v="0"/>
    <d v="2013-06-01T00:00:00"/>
    <d v="1899-12-30T00:00:00"/>
  </r>
  <r>
    <n v="124"/>
    <x v="0"/>
    <x v="45"/>
    <x v="122"/>
    <m/>
    <x v="4"/>
    <s v="AMÁLIA, O FILME  - APOIO AUTOMÁTICO 2009"/>
    <m/>
    <x v="1"/>
    <d v="2009-01-02T00:00:00"/>
    <x v="0"/>
    <d v="2009-01-30T00:00:00"/>
    <d v="2009-03-13T00:00:00"/>
    <x v="0"/>
    <x v="0"/>
    <x v="0"/>
    <x v="14"/>
    <x v="0"/>
    <m/>
    <m/>
    <x v="66"/>
    <m/>
    <m/>
    <x v="0"/>
    <x v="0"/>
    <n v="109875"/>
    <m/>
    <x v="1"/>
    <n v="0"/>
    <x v="7"/>
    <x v="0"/>
    <m/>
    <m/>
    <x v="0"/>
    <m/>
    <x v="0"/>
    <d v="2014-01-23T00:00:00"/>
    <x v="0"/>
    <x v="15"/>
    <s v="A"/>
    <x v="3"/>
    <x v="0"/>
    <x v="110"/>
    <s v=""/>
    <x v="4"/>
    <x v="2"/>
    <x v="0"/>
    <x v="0"/>
    <x v="0"/>
    <d v="1899-12-30T00:00:00"/>
    <d v="1899-12-30T00:00:00"/>
  </r>
  <r>
    <n v="125"/>
    <x v="0"/>
    <x v="19"/>
    <x v="123"/>
    <m/>
    <x v="4"/>
    <s v="CALL GIRL - APOIO AUTOMÁTICO 2008"/>
    <m/>
    <x v="3"/>
    <m/>
    <x v="8"/>
    <m/>
    <m/>
    <x v="8"/>
    <x v="0"/>
    <x v="1"/>
    <x v="15"/>
    <x v="3"/>
    <m/>
    <d v="2010-12-23T00:00:00"/>
    <x v="45"/>
    <m/>
    <m/>
    <x v="0"/>
    <x v="0"/>
    <n v="10000"/>
    <n v="0"/>
    <x v="1"/>
    <n v="0"/>
    <x v="0"/>
    <x v="0"/>
    <m/>
    <m/>
    <x v="0"/>
    <d v="2011-02-09T00:00:00"/>
    <x v="0"/>
    <d v="2012-11-06T00:00:00"/>
    <x v="4"/>
    <x v="8"/>
    <s v="F"/>
    <x v="2"/>
    <x v="0"/>
    <x v="111"/>
    <s v=""/>
    <x v="4"/>
    <x v="2"/>
    <x v="3"/>
    <x v="3"/>
    <x v="0"/>
    <d v="1899-12-30T00:00:00"/>
    <d v="1899-12-30T00:00:00"/>
  </r>
  <r>
    <n v="126"/>
    <x v="0"/>
    <x v="23"/>
    <x v="124"/>
    <n v="8657"/>
    <x v="103"/>
    <m/>
    <s v="A FREIRA PORTUGUESA"/>
    <x v="2"/>
    <d v="2007-04-30T00:00:00"/>
    <x v="7"/>
    <d v="2007-11-19T00:00:00"/>
    <d v="2008-06-16T00:00:00"/>
    <x v="7"/>
    <x v="0"/>
    <x v="0"/>
    <x v="0"/>
    <x v="0"/>
    <m/>
    <d v="2008-07-17T00:00:00"/>
    <x v="0"/>
    <n v="570000"/>
    <n v="120000"/>
    <x v="0"/>
    <x v="0"/>
    <n v="690000"/>
    <m/>
    <x v="1"/>
    <n v="0"/>
    <x v="0"/>
    <x v="0"/>
    <d v="2008-09-07T00:00:00"/>
    <d v="2008-10-16T00:00:00"/>
    <x v="1"/>
    <d v="2009-03-17T00:00:00"/>
    <x v="0"/>
    <m/>
    <x v="0"/>
    <x v="9"/>
    <s v="A"/>
    <x v="6"/>
    <x v="0"/>
    <x v="112"/>
    <s v="Eugène Green"/>
    <x v="53"/>
    <x v="6"/>
    <x v="0"/>
    <x v="0"/>
    <x v="0"/>
    <d v="2008-09-07T00:00:00"/>
    <d v="2008-10-16T00:00:00"/>
  </r>
  <r>
    <n v="127"/>
    <x v="0"/>
    <x v="19"/>
    <x v="48"/>
    <m/>
    <x v="4"/>
    <s v="A ESPERANÇA ESTÁ ONDE MENOS SE ESPERA - APOIO AUTOMÁTICO 2010"/>
    <m/>
    <x v="1"/>
    <d v="2010-01-04T00:00:00"/>
    <x v="3"/>
    <d v="2010-01-29T00:00:00"/>
    <d v="2011-02-18T00:00:00"/>
    <x v="1"/>
    <x v="0"/>
    <x v="1"/>
    <x v="15"/>
    <x v="4"/>
    <m/>
    <m/>
    <x v="67"/>
    <m/>
    <m/>
    <x v="0"/>
    <x v="0"/>
    <n v="75877.77"/>
    <m/>
    <x v="1"/>
    <n v="0"/>
    <x v="0"/>
    <x v="0"/>
    <m/>
    <m/>
    <x v="0"/>
    <m/>
    <x v="0"/>
    <d v="2013-12-05T00:00:00"/>
    <x v="0"/>
    <x v="8"/>
    <s v="O"/>
    <x v="3"/>
    <x v="0"/>
    <x v="110"/>
    <s v=""/>
    <x v="4"/>
    <x v="2"/>
    <x v="0"/>
    <x v="0"/>
    <x v="0"/>
    <d v="1899-12-30T00:00:00"/>
    <d v="1899-12-30T00:00:00"/>
  </r>
  <r>
    <n v="128"/>
    <x v="0"/>
    <x v="45"/>
    <x v="122"/>
    <m/>
    <x v="4"/>
    <s v="AMÁLIA, O FILME  - APOIO AUTOMÁTICO 2010"/>
    <m/>
    <x v="1"/>
    <d v="2010-01-04T00:00:00"/>
    <x v="3"/>
    <d v="2010-01-29T00:00:00"/>
    <d v="2011-02-18T00:00:00"/>
    <x v="1"/>
    <x v="0"/>
    <x v="0"/>
    <x v="14"/>
    <x v="0"/>
    <m/>
    <m/>
    <x v="68"/>
    <m/>
    <m/>
    <x v="0"/>
    <x v="0"/>
    <n v="64216.14"/>
    <m/>
    <x v="1"/>
    <n v="0"/>
    <x v="7"/>
    <x v="0"/>
    <m/>
    <m/>
    <x v="0"/>
    <m/>
    <x v="0"/>
    <d v="2014-01-23T00:00:00"/>
    <x v="0"/>
    <x v="15"/>
    <s v="A"/>
    <x v="3"/>
    <x v="0"/>
    <x v="110"/>
    <s v=""/>
    <x v="4"/>
    <x v="2"/>
    <x v="0"/>
    <x v="0"/>
    <x v="0"/>
    <d v="1899-12-30T00:00:00"/>
    <d v="1899-12-30T00:00:00"/>
  </r>
  <r>
    <n v="129"/>
    <x v="0"/>
    <x v="45"/>
    <x v="122"/>
    <m/>
    <x v="4"/>
    <s v="UMA AVENTURA NA CASA ASSOMBRADA - APOIO AUTOMÁTICO 2010"/>
    <m/>
    <x v="1"/>
    <d v="2010-01-04T00:00:00"/>
    <x v="3"/>
    <d v="2010-01-29T00:00:00"/>
    <d v="2011-02-18T00:00:00"/>
    <x v="1"/>
    <x v="0"/>
    <x v="0"/>
    <x v="14"/>
    <x v="0"/>
    <m/>
    <m/>
    <x v="69"/>
    <m/>
    <m/>
    <x v="0"/>
    <x v="0"/>
    <n v="94543.58"/>
    <m/>
    <x v="1"/>
    <n v="0"/>
    <x v="7"/>
    <x v="0"/>
    <m/>
    <m/>
    <x v="0"/>
    <m/>
    <x v="0"/>
    <d v="2014-01-23T00:00:00"/>
    <x v="0"/>
    <x v="15"/>
    <s v="A"/>
    <x v="3"/>
    <x v="0"/>
    <x v="110"/>
    <s v=""/>
    <x v="4"/>
    <x v="2"/>
    <x v="0"/>
    <x v="0"/>
    <x v="0"/>
    <d v="1899-12-30T00:00:00"/>
    <d v="1899-12-30T00:00:00"/>
  </r>
  <r>
    <n v="130"/>
    <x v="1"/>
    <x v="19"/>
    <x v="125"/>
    <m/>
    <x v="4"/>
    <s v="A BELA E O PAPARAZZO - APOIO AUTOMÁTICO 2011"/>
    <m/>
    <x v="1"/>
    <d v="2011-01-03T00:00:00"/>
    <x v="1"/>
    <d v="2011-01-31T00:00:00"/>
    <d v="2011-08-19T00:00:00"/>
    <x v="1"/>
    <x v="0"/>
    <x v="1"/>
    <x v="15"/>
    <x v="3"/>
    <m/>
    <d v="2014-07-22T00:00:00"/>
    <x v="70"/>
    <m/>
    <m/>
    <x v="0"/>
    <x v="0"/>
    <n v="6000"/>
    <n v="1200"/>
    <x v="1"/>
    <n v="1200"/>
    <x v="8"/>
    <x v="0"/>
    <m/>
    <m/>
    <x v="0"/>
    <m/>
    <x v="0"/>
    <d v="2014-08-06T00:00:00"/>
    <x v="4"/>
    <x v="8"/>
    <s v="Í"/>
    <x v="3"/>
    <x v="0"/>
    <x v="113"/>
    <s v=""/>
    <x v="4"/>
    <x v="2"/>
    <x v="3"/>
    <x v="3"/>
    <x v="0"/>
    <d v="1899-12-30T00:00:00"/>
    <d v="1899-12-30T00:00:00"/>
  </r>
  <r>
    <n v="131"/>
    <x v="1"/>
    <x v="19"/>
    <x v="126"/>
    <m/>
    <x v="4"/>
    <s v="A BELA E O PAPARAZZO - APOIO AUTOMÁTICO 2011"/>
    <m/>
    <x v="1"/>
    <d v="2011-01-04T00:00:00"/>
    <x v="1"/>
    <d v="2011-01-31T00:00:00"/>
    <d v="2011-08-19T00:00:00"/>
    <x v="1"/>
    <x v="0"/>
    <x v="1"/>
    <x v="15"/>
    <x v="3"/>
    <m/>
    <d v="2014-07-22T00:00:00"/>
    <x v="13"/>
    <m/>
    <m/>
    <x v="0"/>
    <x v="0"/>
    <n v="8000"/>
    <n v="1600"/>
    <x v="1"/>
    <n v="1600"/>
    <x v="8"/>
    <x v="0"/>
    <m/>
    <m/>
    <x v="0"/>
    <m/>
    <x v="0"/>
    <d v="2014-08-06T00:00:00"/>
    <x v="4"/>
    <x v="8"/>
    <s v="O"/>
    <x v="3"/>
    <x v="0"/>
    <x v="114"/>
    <s v=""/>
    <x v="4"/>
    <x v="2"/>
    <x v="3"/>
    <x v="3"/>
    <x v="0"/>
    <d v="1899-12-30T00:00:00"/>
    <d v="1899-12-30T00:00:00"/>
  </r>
  <r>
    <n v="132"/>
    <x v="1"/>
    <x v="19"/>
    <x v="127"/>
    <m/>
    <x v="4"/>
    <s v="A BELA E O PAPARAZZO - APOIO AUTOMÁTICO 2011"/>
    <m/>
    <x v="1"/>
    <d v="2011-01-05T00:00:00"/>
    <x v="1"/>
    <d v="2011-01-31T00:00:00"/>
    <d v="2011-08-19T00:00:00"/>
    <x v="1"/>
    <x v="0"/>
    <x v="1"/>
    <x v="15"/>
    <x v="3"/>
    <m/>
    <d v="2014-07-22T00:00:00"/>
    <x v="71"/>
    <m/>
    <m/>
    <x v="0"/>
    <x v="0"/>
    <n v="6354.6"/>
    <n v="1270.92"/>
    <x v="1"/>
    <n v="1270.92"/>
    <x v="8"/>
    <x v="0"/>
    <m/>
    <m/>
    <x v="0"/>
    <m/>
    <x v="0"/>
    <d v="2014-08-06T00:00:00"/>
    <x v="6"/>
    <x v="8"/>
    <s v="A"/>
    <x v="3"/>
    <x v="0"/>
    <x v="115"/>
    <s v=""/>
    <x v="4"/>
    <x v="2"/>
    <x v="3"/>
    <x v="0"/>
    <x v="0"/>
    <d v="1899-12-30T00:00:00"/>
    <d v="1899-12-30T00:00:00"/>
  </r>
  <r>
    <n v="133"/>
    <x v="0"/>
    <x v="43"/>
    <x v="122"/>
    <m/>
    <x v="4"/>
    <s v="CONTRALUZ - APOIO AUTOMÁTICO 2011"/>
    <m/>
    <x v="1"/>
    <d v="2011-01-03T00:00:00"/>
    <x v="1"/>
    <d v="2011-01-31T00:00:00"/>
    <d v="2011-08-19T00:00:00"/>
    <x v="1"/>
    <x v="0"/>
    <x v="0"/>
    <x v="14"/>
    <x v="0"/>
    <m/>
    <m/>
    <x v="72"/>
    <m/>
    <m/>
    <x v="0"/>
    <x v="0"/>
    <n v="75761.87"/>
    <m/>
    <x v="1"/>
    <n v="0"/>
    <x v="7"/>
    <x v="0"/>
    <m/>
    <m/>
    <x v="0"/>
    <m/>
    <x v="0"/>
    <d v="2014-01-23T00:00:00"/>
    <x v="0"/>
    <x v="15"/>
    <s v="A"/>
    <x v="3"/>
    <x v="0"/>
    <x v="110"/>
    <s v=""/>
    <x v="4"/>
    <x v="2"/>
    <x v="0"/>
    <x v="0"/>
    <x v="0"/>
    <d v="1899-12-30T00:00:00"/>
    <d v="1899-12-30T00:00:00"/>
  </r>
  <r>
    <n v="134"/>
    <x v="0"/>
    <x v="46"/>
    <x v="128"/>
    <m/>
    <x v="4"/>
    <s v="CONTRATO - APOIO AUTOMÁTICO 2011"/>
    <m/>
    <x v="1"/>
    <d v="2011-01-03T00:00:00"/>
    <x v="1"/>
    <d v="2011-01-31T00:00:00"/>
    <d v="2011-08-19T00:00:00"/>
    <x v="1"/>
    <x v="0"/>
    <x v="1"/>
    <x v="15"/>
    <x v="3"/>
    <m/>
    <d v="2014-12-03T00:00:00"/>
    <x v="73"/>
    <m/>
    <m/>
    <x v="0"/>
    <x v="0"/>
    <n v="1312.3"/>
    <n v="262.45999999999998"/>
    <x v="1"/>
    <n v="262.45999999999998"/>
    <x v="4"/>
    <x v="0"/>
    <m/>
    <m/>
    <x v="0"/>
    <m/>
    <x v="0"/>
    <d v="2015-01-16T00:00:00"/>
    <x v="0"/>
    <x v="17"/>
    <s v="O"/>
    <x v="3"/>
    <x v="0"/>
    <x v="110"/>
    <s v=""/>
    <x v="4"/>
    <x v="2"/>
    <x v="0"/>
    <x v="0"/>
    <x v="0"/>
    <d v="1899-12-30T00:00:00"/>
    <d v="1899-12-30T00:00:00"/>
  </r>
  <r>
    <n v="135"/>
    <x v="0"/>
    <x v="10"/>
    <x v="129"/>
    <m/>
    <x v="4"/>
    <s v="FADOS - APOIO AUTOMÁTICO 2011"/>
    <m/>
    <x v="1"/>
    <d v="2011-01-03T00:00:00"/>
    <x v="1"/>
    <d v="2011-01-31T00:00:00"/>
    <d v="2011-08-19T00:00:00"/>
    <x v="1"/>
    <x v="0"/>
    <x v="1"/>
    <x v="15"/>
    <x v="3"/>
    <m/>
    <d v="2011-11-23T00:00:00"/>
    <x v="74"/>
    <m/>
    <m/>
    <x v="0"/>
    <x v="0"/>
    <n v="3487.71"/>
    <n v="0"/>
    <x v="1"/>
    <n v="0"/>
    <x v="0"/>
    <x v="0"/>
    <m/>
    <m/>
    <x v="0"/>
    <m/>
    <x v="0"/>
    <d v="2012-11-06T00:00:00"/>
    <x v="4"/>
    <x v="4"/>
    <s v="I"/>
    <x v="3"/>
    <x v="0"/>
    <x v="116"/>
    <s v=""/>
    <x v="4"/>
    <x v="2"/>
    <x v="3"/>
    <x v="3"/>
    <x v="0"/>
    <d v="1899-12-30T00:00:00"/>
    <d v="1899-12-30T00:00:00"/>
  </r>
  <r>
    <n v="136"/>
    <x v="0"/>
    <x v="10"/>
    <x v="115"/>
    <m/>
    <x v="4"/>
    <m/>
    <m/>
    <x v="3"/>
    <d v="2011-01-03T00:00:00"/>
    <x v="1"/>
    <d v="2011-12-30T00:00:00"/>
    <d v="2011-09-26T00:00:00"/>
    <x v="1"/>
    <x v="1"/>
    <x v="2"/>
    <x v="13"/>
    <x v="0"/>
    <m/>
    <d v="2011-09-26T00:00:00"/>
    <x v="19"/>
    <m/>
    <m/>
    <x v="0"/>
    <x v="0"/>
    <n v="9000"/>
    <n v="0"/>
    <x v="1"/>
    <n v="0"/>
    <x v="0"/>
    <x v="0"/>
    <m/>
    <m/>
    <x v="0"/>
    <m/>
    <x v="0"/>
    <d v="2011-04-23T00:00:00"/>
    <x v="5"/>
    <x v="4"/>
    <s v="A"/>
    <x v="3"/>
    <x v="0"/>
    <x v="110"/>
    <s v=""/>
    <x v="4"/>
    <x v="2"/>
    <x v="4"/>
    <x v="3"/>
    <x v="0"/>
    <d v="1899-12-30T00:00:00"/>
    <d v="1899-12-30T00:00:00"/>
  </r>
  <r>
    <n v="137"/>
    <x v="0"/>
    <x v="43"/>
    <x v="112"/>
    <m/>
    <x v="4"/>
    <s v="Distribuição Portugal"/>
    <s v="PROPHETA"/>
    <x v="3"/>
    <d v="2010-01-04T00:00:00"/>
    <x v="3"/>
    <d v="2010-12-31T00:00:00"/>
    <d v="2010-04-27T00:00:00"/>
    <x v="2"/>
    <x v="1"/>
    <x v="2"/>
    <x v="13"/>
    <x v="0"/>
    <m/>
    <d v="2010-04-27T00:00:00"/>
    <x v="75"/>
    <n v="25178.17"/>
    <m/>
    <x v="0"/>
    <x v="0"/>
    <n v="25178.17"/>
    <m/>
    <x v="1"/>
    <n v="0"/>
    <x v="0"/>
    <x v="0"/>
    <m/>
    <m/>
    <x v="0"/>
    <m/>
    <x v="0"/>
    <d v="2014-07-07T00:00:00"/>
    <x v="5"/>
    <x v="15"/>
    <s v="C"/>
    <x v="3"/>
    <x v="0"/>
    <x v="110"/>
    <s v=""/>
    <x v="4"/>
    <x v="2"/>
    <x v="4"/>
    <x v="3"/>
    <x v="0"/>
    <d v="1899-12-30T00:00:00"/>
    <d v="1899-12-30T00:00:00"/>
  </r>
  <r>
    <n v="138"/>
    <x v="0"/>
    <x v="47"/>
    <x v="130"/>
    <m/>
    <x v="4"/>
    <m/>
    <m/>
    <x v="1"/>
    <d v="2011-01-03T00:00:00"/>
    <x v="1"/>
    <d v="2011-12-31T00:00:00"/>
    <d v="2011-08-19T00:00:00"/>
    <x v="1"/>
    <x v="1"/>
    <x v="2"/>
    <x v="13"/>
    <x v="0"/>
    <m/>
    <m/>
    <x v="76"/>
    <m/>
    <m/>
    <x v="0"/>
    <x v="0"/>
    <n v="4000"/>
    <m/>
    <x v="1"/>
    <n v="0"/>
    <x v="0"/>
    <x v="0"/>
    <m/>
    <m/>
    <x v="0"/>
    <m/>
    <x v="0"/>
    <d v="2013-04-23T00:00:00"/>
    <x v="5"/>
    <x v="0"/>
    <s v="D"/>
    <x v="3"/>
    <x v="0"/>
    <x v="110"/>
    <s v=""/>
    <x v="4"/>
    <x v="2"/>
    <x v="4"/>
    <x v="3"/>
    <x v="0"/>
    <d v="1899-12-30T00:00:00"/>
    <d v="1899-12-30T00:00:00"/>
  </r>
  <r>
    <n v="139"/>
    <x v="0"/>
    <x v="48"/>
    <x v="131"/>
    <m/>
    <x v="4"/>
    <m/>
    <m/>
    <x v="3"/>
    <m/>
    <x v="8"/>
    <m/>
    <m/>
    <x v="8"/>
    <x v="1"/>
    <x v="2"/>
    <x v="13"/>
    <x v="0"/>
    <m/>
    <m/>
    <x v="77"/>
    <m/>
    <m/>
    <x v="0"/>
    <x v="0"/>
    <n v="5575"/>
    <m/>
    <x v="1"/>
    <n v="0"/>
    <x v="7"/>
    <x v="0"/>
    <m/>
    <m/>
    <x v="0"/>
    <m/>
    <x v="0"/>
    <d v="2012-07-17T00:00:00"/>
    <x v="5"/>
    <x v="1"/>
    <s v="O"/>
    <x v="3"/>
    <x v="0"/>
    <x v="110"/>
    <s v=""/>
    <x v="4"/>
    <x v="2"/>
    <x v="4"/>
    <x v="3"/>
    <x v="0"/>
    <d v="1899-12-30T00:00:00"/>
    <d v="1899-12-30T00:00:00"/>
  </r>
  <r>
    <n v="140"/>
    <x v="0"/>
    <x v="23"/>
    <x v="103"/>
    <m/>
    <x v="4"/>
    <s v="Distribuição França"/>
    <m/>
    <x v="1"/>
    <d v="2011-01-03T00:00:00"/>
    <x v="1"/>
    <d v="2011-12-31T00:00:00"/>
    <d v="2011-09-02T00:00:00"/>
    <x v="1"/>
    <x v="1"/>
    <x v="2"/>
    <x v="16"/>
    <x v="0"/>
    <m/>
    <m/>
    <x v="78"/>
    <m/>
    <m/>
    <x v="0"/>
    <x v="0"/>
    <n v="12500"/>
    <m/>
    <x v="1"/>
    <n v="0"/>
    <x v="0"/>
    <x v="0"/>
    <m/>
    <m/>
    <x v="0"/>
    <m/>
    <x v="0"/>
    <d v="2013-04-23T00:00:00"/>
    <x v="5"/>
    <x v="9"/>
    <s v="A"/>
    <x v="3"/>
    <x v="0"/>
    <x v="110"/>
    <s v=""/>
    <x v="4"/>
    <x v="2"/>
    <x v="4"/>
    <x v="3"/>
    <x v="0"/>
    <d v="1899-12-30T00:00:00"/>
    <d v="1899-12-30T00:00:00"/>
  </r>
  <r>
    <n v="141"/>
    <x v="0"/>
    <x v="10"/>
    <x v="132"/>
    <m/>
    <x v="4"/>
    <s v="ITÁLIA"/>
    <m/>
    <x v="1"/>
    <d v="2011-01-03T00:00:00"/>
    <x v="1"/>
    <d v="2011-12-31T00:00:00"/>
    <d v="2011-04-08T00:00:00"/>
    <x v="1"/>
    <x v="1"/>
    <x v="2"/>
    <x v="16"/>
    <x v="0"/>
    <m/>
    <d v="2011-08-19T00:00:00"/>
    <x v="78"/>
    <m/>
    <m/>
    <x v="0"/>
    <x v="0"/>
    <n v="12500"/>
    <n v="0"/>
    <x v="1"/>
    <n v="0"/>
    <x v="0"/>
    <x v="0"/>
    <m/>
    <m/>
    <x v="0"/>
    <m/>
    <x v="0"/>
    <d v="2013-04-23T00:00:00"/>
    <x v="5"/>
    <x v="4"/>
    <s v="D"/>
    <x v="3"/>
    <x v="0"/>
    <x v="110"/>
    <s v=""/>
    <x v="4"/>
    <x v="2"/>
    <x v="4"/>
    <x v="3"/>
    <x v="0"/>
    <d v="1899-12-30T00:00:00"/>
    <d v="1899-12-30T00:00:00"/>
  </r>
  <r>
    <n v="142"/>
    <x v="0"/>
    <x v="10"/>
    <x v="133"/>
    <m/>
    <x v="4"/>
    <s v="ESPANHA"/>
    <m/>
    <x v="1"/>
    <d v="2011-01-03T00:00:00"/>
    <x v="1"/>
    <d v="2011-12-31T00:00:00"/>
    <d v="2011-10-10T00:00:00"/>
    <x v="1"/>
    <x v="1"/>
    <x v="2"/>
    <x v="16"/>
    <x v="0"/>
    <m/>
    <m/>
    <x v="78"/>
    <m/>
    <m/>
    <x v="0"/>
    <x v="0"/>
    <n v="12500"/>
    <n v="0"/>
    <x v="1"/>
    <n v="0"/>
    <x v="0"/>
    <x v="0"/>
    <m/>
    <m/>
    <x v="0"/>
    <m/>
    <x v="0"/>
    <d v="2013-04-23T00:00:00"/>
    <x v="5"/>
    <x v="4"/>
    <s v="O"/>
    <x v="3"/>
    <x v="0"/>
    <x v="110"/>
    <s v=""/>
    <x v="4"/>
    <x v="2"/>
    <x v="4"/>
    <x v="3"/>
    <x v="0"/>
    <d v="1899-12-30T00:00:00"/>
    <d v="1899-12-30T00:00:00"/>
  </r>
  <r>
    <n v="143"/>
    <x v="0"/>
    <x v="28"/>
    <x v="134"/>
    <m/>
    <x v="4"/>
    <m/>
    <m/>
    <x v="3"/>
    <m/>
    <x v="8"/>
    <m/>
    <m/>
    <x v="8"/>
    <x v="1"/>
    <x v="2"/>
    <x v="17"/>
    <x v="0"/>
    <m/>
    <d v="2010-07-16T00:00:00"/>
    <x v="79"/>
    <m/>
    <m/>
    <x v="0"/>
    <x v="0"/>
    <n v="35926.239999999998"/>
    <m/>
    <x v="1"/>
    <n v="0"/>
    <x v="0"/>
    <x v="0"/>
    <m/>
    <m/>
    <x v="0"/>
    <m/>
    <x v="0"/>
    <d v="2012-07-27T00:00:00"/>
    <x v="5"/>
    <x v="11"/>
    <s v="5"/>
    <x v="3"/>
    <x v="0"/>
    <x v="110"/>
    <s v=""/>
    <x v="4"/>
    <x v="2"/>
    <x v="4"/>
    <x v="3"/>
    <x v="0"/>
    <d v="1899-12-30T00:00:00"/>
    <d v="1899-12-30T00:00:00"/>
  </r>
  <r>
    <n v="144"/>
    <x v="0"/>
    <x v="49"/>
    <x v="135"/>
    <m/>
    <x v="4"/>
    <m/>
    <n v="7"/>
    <x v="0"/>
    <d v="2011-01-03T00:00:00"/>
    <x v="1"/>
    <d v="2011-05-15T00:00:00"/>
    <d v="2011-08-19T00:00:00"/>
    <x v="1"/>
    <x v="1"/>
    <x v="2"/>
    <x v="17"/>
    <x v="0"/>
    <m/>
    <d v="2011-12-14T00:00:00"/>
    <x v="80"/>
    <m/>
    <m/>
    <x v="0"/>
    <x v="0"/>
    <n v="50000"/>
    <n v="0"/>
    <x v="1"/>
    <n v="0"/>
    <x v="0"/>
    <x v="0"/>
    <m/>
    <m/>
    <x v="0"/>
    <m/>
    <x v="0"/>
    <d v="2013-04-23T00:00:00"/>
    <x v="5"/>
    <x v="0"/>
    <s v="D"/>
    <x v="3"/>
    <x v="0"/>
    <x v="110"/>
    <s v=""/>
    <x v="4"/>
    <x v="2"/>
    <x v="4"/>
    <x v="3"/>
    <x v="0"/>
    <d v="1899-12-30T00:00:00"/>
    <d v="1899-12-30T00:00:00"/>
  </r>
  <r>
    <n v="145"/>
    <x v="0"/>
    <x v="48"/>
    <x v="136"/>
    <m/>
    <x v="4"/>
    <m/>
    <m/>
    <x v="3"/>
    <m/>
    <x v="8"/>
    <m/>
    <m/>
    <x v="8"/>
    <x v="1"/>
    <x v="2"/>
    <x v="17"/>
    <x v="0"/>
    <m/>
    <m/>
    <x v="81"/>
    <m/>
    <m/>
    <x v="0"/>
    <x v="0"/>
    <n v="15000"/>
    <m/>
    <x v="1"/>
    <n v="0"/>
    <x v="0"/>
    <x v="2"/>
    <m/>
    <m/>
    <x v="0"/>
    <m/>
    <x v="0"/>
    <d v="2012-10-25T00:00:00"/>
    <x v="5"/>
    <x v="1"/>
    <s v="D"/>
    <x v="3"/>
    <x v="0"/>
    <x v="110"/>
    <s v=""/>
    <x v="4"/>
    <x v="2"/>
    <x v="4"/>
    <x v="3"/>
    <x v="0"/>
    <d v="1899-12-30T00:00:00"/>
    <d v="1899-12-30T00:00:00"/>
  </r>
  <r>
    <n v="146"/>
    <x v="0"/>
    <x v="50"/>
    <x v="136"/>
    <m/>
    <x v="4"/>
    <m/>
    <n v="7"/>
    <x v="0"/>
    <d v="2011-01-03T00:00:00"/>
    <x v="1"/>
    <d v="2011-05-15T00:00:00"/>
    <d v="2011-08-19T00:00:00"/>
    <x v="1"/>
    <x v="1"/>
    <x v="2"/>
    <x v="17"/>
    <x v="0"/>
    <m/>
    <m/>
    <x v="80"/>
    <m/>
    <m/>
    <x v="0"/>
    <x v="0"/>
    <n v="50000"/>
    <m/>
    <x v="1"/>
    <n v="0"/>
    <x v="0"/>
    <x v="0"/>
    <m/>
    <m/>
    <x v="0"/>
    <m/>
    <x v="0"/>
    <d v="2013-04-23T00:00:00"/>
    <x v="5"/>
    <x v="7"/>
    <s v="D"/>
    <x v="3"/>
    <x v="0"/>
    <x v="110"/>
    <s v=""/>
    <x v="4"/>
    <x v="2"/>
    <x v="4"/>
    <x v="3"/>
    <x v="0"/>
    <d v="1899-12-30T00:00:00"/>
    <d v="1899-12-30T00:00:00"/>
  </r>
  <r>
    <n v="147"/>
    <x v="0"/>
    <x v="18"/>
    <x v="137"/>
    <m/>
    <x v="4"/>
    <m/>
    <n v="6"/>
    <x v="2"/>
    <d v="2011-01-03T00:00:00"/>
    <x v="1"/>
    <d v="2011-08-10T00:00:00"/>
    <d v="2011-12-28T00:00:00"/>
    <x v="1"/>
    <x v="1"/>
    <x v="2"/>
    <x v="17"/>
    <x v="0"/>
    <m/>
    <d v="2012-06-04T00:00:00"/>
    <x v="9"/>
    <m/>
    <m/>
    <x v="0"/>
    <x v="0"/>
    <n v="45000"/>
    <m/>
    <x v="1"/>
    <n v="0"/>
    <x v="0"/>
    <x v="0"/>
    <m/>
    <m/>
    <x v="0"/>
    <m/>
    <x v="0"/>
    <d v="2013-04-23T00:00:00"/>
    <x v="5"/>
    <x v="8"/>
    <s v="D"/>
    <x v="3"/>
    <x v="0"/>
    <x v="110"/>
    <s v=""/>
    <x v="4"/>
    <x v="2"/>
    <x v="4"/>
    <x v="3"/>
    <x v="0"/>
    <d v="1899-12-30T00:00:00"/>
    <d v="1899-12-30T00:00:00"/>
  </r>
  <r>
    <n v="148"/>
    <x v="0"/>
    <x v="51"/>
    <x v="138"/>
    <m/>
    <x v="4"/>
    <m/>
    <n v="8"/>
    <x v="2"/>
    <d v="2011-01-03T00:00:00"/>
    <x v="1"/>
    <d v="2011-08-10T00:00:00"/>
    <d v="2011-12-28T00:00:00"/>
    <x v="1"/>
    <x v="1"/>
    <x v="2"/>
    <x v="17"/>
    <x v="0"/>
    <m/>
    <d v="2012-06-04T00:00:00"/>
    <x v="82"/>
    <m/>
    <m/>
    <x v="0"/>
    <x v="0"/>
    <n v="48000"/>
    <m/>
    <x v="1"/>
    <n v="0"/>
    <x v="0"/>
    <x v="0"/>
    <m/>
    <m/>
    <x v="0"/>
    <m/>
    <x v="0"/>
    <d v="2013-08-06T00:00:00"/>
    <x v="5"/>
    <x v="7"/>
    <s v="P"/>
    <x v="3"/>
    <x v="0"/>
    <x v="110"/>
    <s v=""/>
    <x v="4"/>
    <x v="2"/>
    <x v="4"/>
    <x v="3"/>
    <x v="0"/>
    <d v="1899-12-30T00:00:00"/>
    <d v="1899-12-30T00:00:00"/>
  </r>
  <r>
    <n v="149"/>
    <x v="0"/>
    <x v="52"/>
    <x v="139"/>
    <m/>
    <x v="4"/>
    <m/>
    <m/>
    <x v="4"/>
    <d v="2010-08-02T00:00:00"/>
    <x v="3"/>
    <d v="2010-12-31T00:00:00"/>
    <d v="2011-04-27T00:00:00"/>
    <x v="1"/>
    <x v="1"/>
    <x v="2"/>
    <x v="17"/>
    <x v="0"/>
    <m/>
    <m/>
    <x v="78"/>
    <m/>
    <m/>
    <x v="0"/>
    <x v="0"/>
    <n v="12500"/>
    <n v="12500"/>
    <x v="1"/>
    <n v="12500"/>
    <x v="7"/>
    <x v="0"/>
    <m/>
    <m/>
    <x v="0"/>
    <m/>
    <x v="0"/>
    <d v="2013-01-29T00:00:00"/>
    <x v="5"/>
    <x v="2"/>
    <s v="O"/>
    <x v="3"/>
    <x v="0"/>
    <x v="110"/>
    <s v=""/>
    <x v="4"/>
    <x v="2"/>
    <x v="4"/>
    <x v="3"/>
    <x v="0"/>
    <d v="1899-12-30T00:00:00"/>
    <d v="1899-12-30T00:00:00"/>
  </r>
  <r>
    <n v="150"/>
    <x v="0"/>
    <x v="53"/>
    <x v="140"/>
    <m/>
    <x v="4"/>
    <m/>
    <m/>
    <x v="3"/>
    <m/>
    <x v="8"/>
    <m/>
    <m/>
    <x v="8"/>
    <x v="1"/>
    <x v="2"/>
    <x v="17"/>
    <x v="0"/>
    <m/>
    <d v="2010-10-29T00:00:00"/>
    <x v="80"/>
    <m/>
    <m/>
    <x v="0"/>
    <x v="0"/>
    <n v="50000"/>
    <m/>
    <x v="1"/>
    <n v="0"/>
    <x v="0"/>
    <x v="0"/>
    <m/>
    <m/>
    <x v="0"/>
    <m/>
    <x v="0"/>
    <d v="2012-03-01T00:00:00"/>
    <x v="5"/>
    <x v="15"/>
    <s v="P"/>
    <x v="3"/>
    <x v="0"/>
    <x v="110"/>
    <s v=""/>
    <x v="4"/>
    <x v="2"/>
    <x v="4"/>
    <x v="3"/>
    <x v="0"/>
    <d v="1899-12-30T00:00:00"/>
    <d v="1899-12-30T00:00:00"/>
  </r>
  <r>
    <n v="151"/>
    <x v="0"/>
    <x v="54"/>
    <x v="141"/>
    <m/>
    <x v="4"/>
    <m/>
    <m/>
    <x v="1"/>
    <d v="2011-01-03T00:00:00"/>
    <x v="1"/>
    <d v="2011-02-02T00:00:00"/>
    <d v="2011-05-18T00:00:00"/>
    <x v="1"/>
    <x v="2"/>
    <x v="3"/>
    <x v="18"/>
    <x v="0"/>
    <m/>
    <d v="2011-07-29T00:00:00"/>
    <x v="83"/>
    <m/>
    <m/>
    <x v="0"/>
    <x v="0"/>
    <n v="4960"/>
    <n v="0"/>
    <x v="1"/>
    <n v="0"/>
    <x v="0"/>
    <x v="0"/>
    <m/>
    <m/>
    <x v="0"/>
    <m/>
    <x v="0"/>
    <d v="2012-10-25T00:00:00"/>
    <x v="5"/>
    <x v="2"/>
    <s v="R"/>
    <x v="3"/>
    <x v="0"/>
    <x v="110"/>
    <s v=""/>
    <x v="4"/>
    <x v="2"/>
    <x v="4"/>
    <x v="3"/>
    <x v="0"/>
    <d v="1899-12-30T00:00:00"/>
    <d v="1899-12-30T00:00:00"/>
  </r>
  <r>
    <n v="152"/>
    <x v="0"/>
    <x v="55"/>
    <x v="142"/>
    <m/>
    <x v="4"/>
    <m/>
    <m/>
    <x v="1"/>
    <d v="2011-01-03T00:00:00"/>
    <x v="1"/>
    <d v="2011-02-02T00:00:00"/>
    <d v="2011-05-18T00:00:00"/>
    <x v="1"/>
    <x v="2"/>
    <x v="3"/>
    <x v="18"/>
    <x v="0"/>
    <m/>
    <d v="2011-07-29T00:00:00"/>
    <x v="84"/>
    <m/>
    <m/>
    <x v="0"/>
    <x v="0"/>
    <n v="5240"/>
    <n v="0"/>
    <x v="1"/>
    <n v="0"/>
    <x v="0"/>
    <x v="0"/>
    <m/>
    <m/>
    <x v="0"/>
    <m/>
    <x v="0"/>
    <d v="2012-10-30T00:00:00"/>
    <x v="5"/>
    <x v="2"/>
    <s v="R"/>
    <x v="3"/>
    <x v="0"/>
    <x v="110"/>
    <s v=""/>
    <x v="4"/>
    <x v="2"/>
    <x v="4"/>
    <x v="3"/>
    <x v="0"/>
    <d v="1899-12-30T00:00:00"/>
    <d v="1899-12-30T00:00:00"/>
  </r>
  <r>
    <n v="153"/>
    <x v="0"/>
    <x v="56"/>
    <x v="143"/>
    <m/>
    <x v="4"/>
    <m/>
    <m/>
    <x v="1"/>
    <d v="2011-01-03T00:00:00"/>
    <x v="1"/>
    <d v="2011-02-02T00:00:00"/>
    <d v="2011-05-18T00:00:00"/>
    <x v="1"/>
    <x v="2"/>
    <x v="3"/>
    <x v="18"/>
    <x v="0"/>
    <m/>
    <d v="2011-07-28T00:00:00"/>
    <x v="85"/>
    <m/>
    <m/>
    <x v="0"/>
    <x v="0"/>
    <n v="4700"/>
    <n v="0"/>
    <x v="1"/>
    <n v="0"/>
    <x v="0"/>
    <x v="0"/>
    <m/>
    <m/>
    <x v="0"/>
    <m/>
    <x v="0"/>
    <d v="2012-12-03T00:00:00"/>
    <x v="5"/>
    <x v="2"/>
    <s v="R"/>
    <x v="3"/>
    <x v="0"/>
    <x v="110"/>
    <s v=""/>
    <x v="4"/>
    <x v="2"/>
    <x v="4"/>
    <x v="3"/>
    <x v="0"/>
    <d v="1899-12-30T00:00:00"/>
    <d v="1899-12-30T00:00:00"/>
  </r>
  <r>
    <n v="154"/>
    <x v="0"/>
    <x v="57"/>
    <x v="144"/>
    <m/>
    <x v="4"/>
    <m/>
    <m/>
    <x v="1"/>
    <d v="2011-01-03T00:00:00"/>
    <x v="1"/>
    <d v="2011-02-02T00:00:00"/>
    <d v="2011-05-18T00:00:00"/>
    <x v="1"/>
    <x v="2"/>
    <x v="3"/>
    <x v="18"/>
    <x v="0"/>
    <m/>
    <d v="2011-07-29T00:00:00"/>
    <x v="86"/>
    <m/>
    <m/>
    <x v="0"/>
    <x v="0"/>
    <n v="4600"/>
    <n v="0"/>
    <x v="1"/>
    <n v="0"/>
    <x v="0"/>
    <x v="0"/>
    <m/>
    <m/>
    <x v="0"/>
    <m/>
    <x v="0"/>
    <d v="2012-10-03T00:00:00"/>
    <x v="5"/>
    <x v="2"/>
    <s v="R"/>
    <x v="3"/>
    <x v="0"/>
    <x v="110"/>
    <s v=""/>
    <x v="4"/>
    <x v="2"/>
    <x v="4"/>
    <x v="3"/>
    <x v="0"/>
    <d v="1899-12-30T00:00:00"/>
    <d v="1899-12-30T00:00:00"/>
  </r>
  <r>
    <n v="155"/>
    <x v="0"/>
    <x v="58"/>
    <x v="145"/>
    <m/>
    <x v="4"/>
    <m/>
    <m/>
    <x v="1"/>
    <d v="2011-01-03T00:00:00"/>
    <x v="1"/>
    <d v="2011-02-02T00:00:00"/>
    <d v="2011-05-18T00:00:00"/>
    <x v="1"/>
    <x v="2"/>
    <x v="3"/>
    <x v="18"/>
    <x v="0"/>
    <m/>
    <d v="2011-07-29T00:00:00"/>
    <x v="87"/>
    <m/>
    <m/>
    <x v="0"/>
    <x v="0"/>
    <n v="4690"/>
    <n v="0"/>
    <x v="1"/>
    <n v="0"/>
    <x v="0"/>
    <x v="0"/>
    <m/>
    <m/>
    <x v="0"/>
    <m/>
    <x v="0"/>
    <d v="2012-10-03T00:00:00"/>
    <x v="5"/>
    <x v="4"/>
    <s v="R"/>
    <x v="3"/>
    <x v="0"/>
    <x v="110"/>
    <s v=""/>
    <x v="4"/>
    <x v="2"/>
    <x v="4"/>
    <x v="3"/>
    <x v="0"/>
    <d v="1899-12-30T00:00:00"/>
    <d v="1899-12-30T00:00:00"/>
  </r>
  <r>
    <n v="156"/>
    <x v="0"/>
    <x v="59"/>
    <x v="146"/>
    <m/>
    <x v="4"/>
    <m/>
    <m/>
    <x v="1"/>
    <d v="2011-01-03T00:00:00"/>
    <x v="1"/>
    <d v="2011-02-02T00:00:00"/>
    <d v="2011-05-18T00:00:00"/>
    <x v="1"/>
    <x v="2"/>
    <x v="3"/>
    <x v="18"/>
    <x v="0"/>
    <m/>
    <d v="2011-07-31T00:00:00"/>
    <x v="84"/>
    <m/>
    <m/>
    <x v="0"/>
    <x v="0"/>
    <n v="5240"/>
    <n v="0"/>
    <x v="1"/>
    <n v="0"/>
    <x v="0"/>
    <x v="0"/>
    <m/>
    <m/>
    <x v="0"/>
    <m/>
    <x v="0"/>
    <d v="2013-01-09T00:00:00"/>
    <x v="5"/>
    <x v="0"/>
    <s v="R"/>
    <x v="3"/>
    <x v="0"/>
    <x v="110"/>
    <s v=""/>
    <x v="4"/>
    <x v="2"/>
    <x v="4"/>
    <x v="3"/>
    <x v="0"/>
    <d v="1899-12-30T00:00:00"/>
    <d v="1899-12-30T00:00:00"/>
  </r>
  <r>
    <n v="157"/>
    <x v="0"/>
    <x v="60"/>
    <x v="147"/>
    <m/>
    <x v="4"/>
    <m/>
    <m/>
    <x v="1"/>
    <d v="2011-01-03T00:00:00"/>
    <x v="1"/>
    <d v="2011-02-02T00:00:00"/>
    <d v="2011-05-18T00:00:00"/>
    <x v="1"/>
    <x v="2"/>
    <x v="3"/>
    <x v="18"/>
    <x v="0"/>
    <m/>
    <d v="2011-07-29T00:00:00"/>
    <x v="84"/>
    <m/>
    <m/>
    <x v="0"/>
    <x v="0"/>
    <n v="5240"/>
    <n v="0"/>
    <x v="1"/>
    <n v="0"/>
    <x v="0"/>
    <x v="0"/>
    <m/>
    <m/>
    <x v="0"/>
    <m/>
    <x v="0"/>
    <d v="2012-10-03T00:00:00"/>
    <x v="5"/>
    <x v="2"/>
    <s v="R"/>
    <x v="3"/>
    <x v="0"/>
    <x v="110"/>
    <s v=""/>
    <x v="4"/>
    <x v="2"/>
    <x v="4"/>
    <x v="3"/>
    <x v="0"/>
    <d v="1899-12-30T00:00:00"/>
    <d v="1899-12-30T00:00:00"/>
  </r>
  <r>
    <n v="158"/>
    <x v="0"/>
    <x v="61"/>
    <x v="148"/>
    <m/>
    <x v="4"/>
    <m/>
    <m/>
    <x v="1"/>
    <d v="2011-01-03T00:00:00"/>
    <x v="1"/>
    <d v="2011-02-02T00:00:00"/>
    <d v="2011-05-18T00:00:00"/>
    <x v="1"/>
    <x v="2"/>
    <x v="3"/>
    <x v="18"/>
    <x v="0"/>
    <m/>
    <d v="2011-07-29T00:00:00"/>
    <x v="88"/>
    <m/>
    <m/>
    <x v="0"/>
    <x v="0"/>
    <n v="5040"/>
    <m/>
    <x v="1"/>
    <n v="0"/>
    <x v="0"/>
    <x v="0"/>
    <m/>
    <m/>
    <x v="0"/>
    <m/>
    <x v="0"/>
    <d v="2012-10-25T00:00:00"/>
    <x v="5"/>
    <x v="2"/>
    <s v="R"/>
    <x v="3"/>
    <x v="0"/>
    <x v="110"/>
    <s v=""/>
    <x v="4"/>
    <x v="2"/>
    <x v="4"/>
    <x v="3"/>
    <x v="0"/>
    <d v="1899-12-30T00:00:00"/>
    <d v="1899-12-30T00:00:00"/>
  </r>
  <r>
    <n v="159"/>
    <x v="0"/>
    <x v="62"/>
    <x v="149"/>
    <m/>
    <x v="4"/>
    <m/>
    <m/>
    <x v="1"/>
    <d v="2011-01-03T00:00:00"/>
    <x v="1"/>
    <d v="2011-02-02T00:00:00"/>
    <d v="2011-05-18T00:00:00"/>
    <x v="1"/>
    <x v="2"/>
    <x v="3"/>
    <x v="18"/>
    <x v="0"/>
    <m/>
    <d v="2011-07-29T00:00:00"/>
    <x v="89"/>
    <m/>
    <m/>
    <x v="0"/>
    <x v="0"/>
    <n v="4870"/>
    <n v="243.5"/>
    <x v="1"/>
    <n v="243.5"/>
    <x v="4"/>
    <x v="0"/>
    <m/>
    <m/>
    <x v="0"/>
    <m/>
    <x v="0"/>
    <d v="2014-01-23T00:00:00"/>
    <x v="5"/>
    <x v="2"/>
    <s v="R"/>
    <x v="3"/>
    <x v="0"/>
    <x v="110"/>
    <s v=""/>
    <x v="4"/>
    <x v="2"/>
    <x v="4"/>
    <x v="3"/>
    <x v="0"/>
    <d v="1899-12-30T00:00:00"/>
    <d v="1899-12-30T00:00:00"/>
  </r>
  <r>
    <n v="160"/>
    <x v="0"/>
    <x v="63"/>
    <x v="150"/>
    <m/>
    <x v="4"/>
    <m/>
    <m/>
    <x v="1"/>
    <d v="2011-01-03T00:00:00"/>
    <x v="1"/>
    <d v="2011-02-02T00:00:00"/>
    <d v="2011-05-18T00:00:00"/>
    <x v="1"/>
    <x v="2"/>
    <x v="3"/>
    <x v="18"/>
    <x v="0"/>
    <m/>
    <d v="2011-07-29T00:00:00"/>
    <x v="88"/>
    <m/>
    <m/>
    <x v="0"/>
    <x v="0"/>
    <n v="5040"/>
    <n v="0"/>
    <x v="1"/>
    <n v="0"/>
    <x v="0"/>
    <x v="0"/>
    <m/>
    <m/>
    <x v="0"/>
    <m/>
    <x v="0"/>
    <d v="2012-12-03T00:00:00"/>
    <x v="5"/>
    <x v="2"/>
    <s v="R"/>
    <x v="3"/>
    <x v="0"/>
    <x v="110"/>
    <s v=""/>
    <x v="4"/>
    <x v="2"/>
    <x v="4"/>
    <x v="3"/>
    <x v="0"/>
    <d v="1899-12-30T00:00:00"/>
    <d v="1899-12-30T00:00:00"/>
  </r>
  <r>
    <n v="161"/>
    <x v="0"/>
    <x v="64"/>
    <x v="151"/>
    <m/>
    <x v="4"/>
    <m/>
    <m/>
    <x v="1"/>
    <d v="2011-01-03T00:00:00"/>
    <x v="1"/>
    <d v="2011-02-02T00:00:00"/>
    <d v="2011-05-18T00:00:00"/>
    <x v="1"/>
    <x v="2"/>
    <x v="3"/>
    <x v="18"/>
    <x v="0"/>
    <m/>
    <d v="2011-07-31T00:00:00"/>
    <x v="90"/>
    <m/>
    <m/>
    <x v="0"/>
    <x v="0"/>
    <n v="3880"/>
    <n v="0"/>
    <x v="1"/>
    <n v="0"/>
    <x v="0"/>
    <x v="0"/>
    <m/>
    <m/>
    <x v="0"/>
    <m/>
    <x v="0"/>
    <d v="2012-10-03T00:00:00"/>
    <x v="5"/>
    <x v="2"/>
    <s v="R"/>
    <x v="3"/>
    <x v="0"/>
    <x v="110"/>
    <s v=""/>
    <x v="4"/>
    <x v="2"/>
    <x v="4"/>
    <x v="3"/>
    <x v="0"/>
    <d v="1899-12-30T00:00:00"/>
    <d v="1899-12-30T00:00:00"/>
  </r>
  <r>
    <n v="162"/>
    <x v="0"/>
    <x v="65"/>
    <x v="152"/>
    <m/>
    <x v="4"/>
    <m/>
    <m/>
    <x v="1"/>
    <d v="2011-01-03T00:00:00"/>
    <x v="1"/>
    <d v="2011-02-02T00:00:00"/>
    <d v="2011-05-18T00:00:00"/>
    <x v="1"/>
    <x v="2"/>
    <x v="3"/>
    <x v="18"/>
    <x v="0"/>
    <m/>
    <d v="2011-07-29T00:00:00"/>
    <x v="91"/>
    <m/>
    <m/>
    <x v="0"/>
    <x v="0"/>
    <n v="4770"/>
    <n v="0"/>
    <x v="1"/>
    <n v="0"/>
    <x v="0"/>
    <x v="0"/>
    <m/>
    <m/>
    <x v="0"/>
    <m/>
    <x v="0"/>
    <d v="2012-10-03T00:00:00"/>
    <x v="5"/>
    <x v="2"/>
    <s v="R"/>
    <x v="3"/>
    <x v="0"/>
    <x v="110"/>
    <s v=""/>
    <x v="4"/>
    <x v="2"/>
    <x v="4"/>
    <x v="3"/>
    <x v="0"/>
    <d v="1899-12-30T00:00:00"/>
    <d v="1899-12-30T00:00:00"/>
  </r>
  <r>
    <n v="163"/>
    <x v="0"/>
    <x v="66"/>
    <x v="153"/>
    <m/>
    <x v="4"/>
    <m/>
    <m/>
    <x v="1"/>
    <d v="2011-01-03T00:00:00"/>
    <x v="1"/>
    <d v="2011-02-02T00:00:00"/>
    <d v="2011-05-18T00:00:00"/>
    <x v="1"/>
    <x v="2"/>
    <x v="3"/>
    <x v="18"/>
    <x v="0"/>
    <m/>
    <d v="2011-07-29T00:00:00"/>
    <x v="88"/>
    <m/>
    <m/>
    <x v="0"/>
    <x v="0"/>
    <n v="5040"/>
    <n v="252"/>
    <x v="1"/>
    <n v="252"/>
    <x v="4"/>
    <x v="0"/>
    <m/>
    <m/>
    <x v="0"/>
    <m/>
    <x v="0"/>
    <d v="2014-01-23T00:00:00"/>
    <x v="5"/>
    <x v="2"/>
    <s v="R"/>
    <x v="3"/>
    <x v="0"/>
    <x v="110"/>
    <s v=""/>
    <x v="4"/>
    <x v="2"/>
    <x v="4"/>
    <x v="3"/>
    <x v="0"/>
    <d v="1899-12-30T00:00:00"/>
    <d v="1899-12-30T00:00:00"/>
  </r>
  <r>
    <n v="164"/>
    <x v="0"/>
    <x v="67"/>
    <x v="154"/>
    <m/>
    <x v="4"/>
    <m/>
    <m/>
    <x v="1"/>
    <d v="2011-01-03T00:00:00"/>
    <x v="1"/>
    <d v="2011-02-02T00:00:00"/>
    <d v="2011-05-18T00:00:00"/>
    <x v="1"/>
    <x v="2"/>
    <x v="3"/>
    <x v="18"/>
    <x v="0"/>
    <m/>
    <d v="2011-07-29T00:00:00"/>
    <x v="83"/>
    <m/>
    <m/>
    <x v="0"/>
    <x v="0"/>
    <n v="4960"/>
    <n v="0"/>
    <x v="1"/>
    <n v="0"/>
    <x v="0"/>
    <x v="0"/>
    <m/>
    <m/>
    <x v="0"/>
    <m/>
    <x v="0"/>
    <d v="2012-10-30T00:00:00"/>
    <x v="5"/>
    <x v="2"/>
    <s v="R"/>
    <x v="3"/>
    <x v="0"/>
    <x v="110"/>
    <s v=""/>
    <x v="4"/>
    <x v="2"/>
    <x v="4"/>
    <x v="3"/>
    <x v="0"/>
    <d v="1899-12-30T00:00:00"/>
    <d v="1899-12-30T00:00:00"/>
  </r>
  <r>
    <n v="165"/>
    <x v="0"/>
    <x v="68"/>
    <x v="155"/>
    <m/>
    <x v="4"/>
    <m/>
    <m/>
    <x v="1"/>
    <d v="2011-01-03T00:00:00"/>
    <x v="1"/>
    <d v="2011-02-02T00:00:00"/>
    <d v="2011-05-18T00:00:00"/>
    <x v="1"/>
    <x v="2"/>
    <x v="3"/>
    <x v="18"/>
    <x v="0"/>
    <m/>
    <d v="2011-07-29T00:00:00"/>
    <x v="89"/>
    <m/>
    <m/>
    <x v="0"/>
    <x v="0"/>
    <n v="4870"/>
    <n v="0"/>
    <x v="1"/>
    <n v="0"/>
    <x v="0"/>
    <x v="0"/>
    <m/>
    <m/>
    <x v="0"/>
    <m/>
    <x v="0"/>
    <d v="2013-01-09T00:00:00"/>
    <x v="5"/>
    <x v="2"/>
    <s v="R"/>
    <x v="3"/>
    <x v="0"/>
    <x v="110"/>
    <s v=""/>
    <x v="4"/>
    <x v="2"/>
    <x v="4"/>
    <x v="3"/>
    <x v="0"/>
    <d v="1899-12-30T00:00:00"/>
    <d v="1899-12-30T00:00:00"/>
  </r>
  <r>
    <n v="166"/>
    <x v="0"/>
    <x v="69"/>
    <x v="156"/>
    <m/>
    <x v="4"/>
    <m/>
    <m/>
    <x v="1"/>
    <d v="2011-01-03T00:00:00"/>
    <x v="1"/>
    <d v="2011-02-02T00:00:00"/>
    <d v="2011-05-18T00:00:00"/>
    <x v="1"/>
    <x v="2"/>
    <x v="3"/>
    <x v="18"/>
    <x v="0"/>
    <m/>
    <d v="2011-07-29T00:00:00"/>
    <x v="92"/>
    <m/>
    <m/>
    <x v="0"/>
    <x v="0"/>
    <n v="3690"/>
    <n v="0"/>
    <x v="1"/>
    <n v="0"/>
    <x v="0"/>
    <x v="0"/>
    <m/>
    <m/>
    <x v="0"/>
    <m/>
    <x v="0"/>
    <d v="2013-01-09T00:00:00"/>
    <x v="5"/>
    <x v="2"/>
    <s v="R"/>
    <x v="3"/>
    <x v="0"/>
    <x v="110"/>
    <s v=""/>
    <x v="4"/>
    <x v="2"/>
    <x v="4"/>
    <x v="3"/>
    <x v="0"/>
    <d v="1899-12-30T00:00:00"/>
    <d v="1899-12-30T00:00:00"/>
  </r>
  <r>
    <n v="167"/>
    <x v="0"/>
    <x v="70"/>
    <x v="157"/>
    <m/>
    <x v="4"/>
    <m/>
    <m/>
    <x v="1"/>
    <d v="2011-01-03T00:00:00"/>
    <x v="1"/>
    <d v="2011-02-02T00:00:00"/>
    <d v="2011-05-18T00:00:00"/>
    <x v="1"/>
    <x v="2"/>
    <x v="3"/>
    <x v="18"/>
    <x v="0"/>
    <m/>
    <d v="2011-07-29T00:00:00"/>
    <x v="90"/>
    <m/>
    <m/>
    <x v="0"/>
    <x v="0"/>
    <n v="3880"/>
    <n v="0"/>
    <x v="1"/>
    <n v="0"/>
    <x v="0"/>
    <x v="0"/>
    <m/>
    <m/>
    <x v="0"/>
    <m/>
    <x v="0"/>
    <d v="2012-10-30T00:00:00"/>
    <x v="5"/>
    <x v="8"/>
    <s v="R"/>
    <x v="3"/>
    <x v="0"/>
    <x v="110"/>
    <s v=""/>
    <x v="4"/>
    <x v="2"/>
    <x v="4"/>
    <x v="3"/>
    <x v="0"/>
    <d v="1899-12-30T00:00:00"/>
    <d v="1899-12-30T00:00:00"/>
  </r>
  <r>
    <n v="168"/>
    <x v="0"/>
    <x v="71"/>
    <x v="158"/>
    <m/>
    <x v="4"/>
    <m/>
    <m/>
    <x v="1"/>
    <d v="2011-01-03T00:00:00"/>
    <x v="1"/>
    <d v="2011-02-02T00:00:00"/>
    <d v="2011-05-18T00:00:00"/>
    <x v="1"/>
    <x v="2"/>
    <x v="3"/>
    <x v="18"/>
    <x v="0"/>
    <m/>
    <d v="2011-07-29T00:00:00"/>
    <x v="88"/>
    <m/>
    <m/>
    <x v="0"/>
    <x v="0"/>
    <n v="5040"/>
    <n v="0"/>
    <x v="1"/>
    <n v="0"/>
    <x v="0"/>
    <x v="0"/>
    <m/>
    <m/>
    <x v="0"/>
    <m/>
    <x v="0"/>
    <d v="2012-10-03T00:00:00"/>
    <x v="5"/>
    <x v="10"/>
    <s v="R"/>
    <x v="3"/>
    <x v="0"/>
    <x v="110"/>
    <s v=""/>
    <x v="4"/>
    <x v="2"/>
    <x v="4"/>
    <x v="3"/>
    <x v="0"/>
    <d v="1899-12-30T00:00:00"/>
    <d v="1899-12-30T00:00:00"/>
  </r>
  <r>
    <n v="169"/>
    <x v="0"/>
    <x v="72"/>
    <x v="159"/>
    <m/>
    <x v="4"/>
    <m/>
    <m/>
    <x v="1"/>
    <d v="2011-01-03T00:00:00"/>
    <x v="1"/>
    <d v="2011-02-02T00:00:00"/>
    <d v="2011-05-18T00:00:00"/>
    <x v="1"/>
    <x v="2"/>
    <x v="3"/>
    <x v="18"/>
    <x v="0"/>
    <m/>
    <d v="2011-07-29T00:00:00"/>
    <x v="91"/>
    <m/>
    <m/>
    <x v="0"/>
    <x v="0"/>
    <n v="4770"/>
    <m/>
    <x v="1"/>
    <n v="0"/>
    <x v="0"/>
    <x v="0"/>
    <m/>
    <m/>
    <x v="0"/>
    <m/>
    <x v="0"/>
    <d v="2013-01-31T00:00:00"/>
    <x v="5"/>
    <x v="9"/>
    <s v="R"/>
    <x v="3"/>
    <x v="0"/>
    <x v="110"/>
    <s v=""/>
    <x v="4"/>
    <x v="2"/>
    <x v="4"/>
    <x v="3"/>
    <x v="0"/>
    <d v="1899-12-30T00:00:00"/>
    <d v="1899-12-30T00:00:00"/>
  </r>
  <r>
    <n v="170"/>
    <x v="0"/>
    <x v="73"/>
    <x v="160"/>
    <m/>
    <x v="4"/>
    <m/>
    <m/>
    <x v="1"/>
    <d v="2011-01-03T00:00:00"/>
    <x v="1"/>
    <d v="2011-02-02T00:00:00"/>
    <d v="2011-05-18T00:00:00"/>
    <x v="1"/>
    <x v="2"/>
    <x v="3"/>
    <x v="18"/>
    <x v="0"/>
    <m/>
    <d v="2011-07-29T00:00:00"/>
    <x v="93"/>
    <m/>
    <m/>
    <x v="0"/>
    <x v="0"/>
    <n v="5150"/>
    <n v="0"/>
    <x v="1"/>
    <n v="0"/>
    <x v="0"/>
    <x v="0"/>
    <m/>
    <m/>
    <x v="0"/>
    <m/>
    <x v="0"/>
    <d v="2012-12-03T00:00:00"/>
    <x v="5"/>
    <x v="0"/>
    <s v="R"/>
    <x v="3"/>
    <x v="0"/>
    <x v="110"/>
    <s v=""/>
    <x v="4"/>
    <x v="2"/>
    <x v="4"/>
    <x v="3"/>
    <x v="0"/>
    <d v="1899-12-30T00:00:00"/>
    <d v="1899-12-30T00:00:00"/>
  </r>
  <r>
    <n v="171"/>
    <x v="0"/>
    <x v="74"/>
    <x v="161"/>
    <m/>
    <x v="4"/>
    <m/>
    <m/>
    <x v="1"/>
    <d v="2011-01-03T00:00:00"/>
    <x v="1"/>
    <d v="2011-02-02T00:00:00"/>
    <d v="2011-05-18T00:00:00"/>
    <x v="1"/>
    <x v="2"/>
    <x v="3"/>
    <x v="18"/>
    <x v="0"/>
    <m/>
    <d v="2011-07-29T00:00:00"/>
    <x v="94"/>
    <m/>
    <m/>
    <x v="0"/>
    <x v="0"/>
    <n v="4330"/>
    <m/>
    <x v="1"/>
    <n v="0"/>
    <x v="0"/>
    <x v="0"/>
    <m/>
    <m/>
    <x v="0"/>
    <m/>
    <x v="0"/>
    <d v="2013-03-04T00:00:00"/>
    <x v="5"/>
    <x v="12"/>
    <s v="R"/>
    <x v="3"/>
    <x v="0"/>
    <x v="110"/>
    <s v=""/>
    <x v="4"/>
    <x v="2"/>
    <x v="4"/>
    <x v="3"/>
    <x v="0"/>
    <d v="1899-12-30T00:00:00"/>
    <d v="1899-12-30T00:00:00"/>
  </r>
  <r>
    <n v="172"/>
    <x v="0"/>
    <x v="75"/>
    <x v="162"/>
    <m/>
    <x v="4"/>
    <m/>
    <m/>
    <x v="1"/>
    <d v="2010-01-04T00:00:00"/>
    <x v="3"/>
    <d v="2011-01-31T00:00:00"/>
    <d v="2011-04-27T00:00:00"/>
    <x v="1"/>
    <x v="2"/>
    <x v="3"/>
    <x v="19"/>
    <x v="0"/>
    <m/>
    <m/>
    <x v="95"/>
    <m/>
    <m/>
    <x v="0"/>
    <x v="0"/>
    <n v="25000"/>
    <m/>
    <x v="1"/>
    <n v="0"/>
    <x v="0"/>
    <x v="0"/>
    <m/>
    <m/>
    <x v="0"/>
    <m/>
    <x v="0"/>
    <d v="2013-01-31T00:00:00"/>
    <x v="5"/>
    <x v="8"/>
    <s v="C"/>
    <x v="3"/>
    <x v="0"/>
    <x v="110"/>
    <s v=""/>
    <x v="4"/>
    <x v="2"/>
    <x v="4"/>
    <x v="3"/>
    <x v="0"/>
    <d v="1899-12-30T00:00:00"/>
    <d v="1899-12-30T00:00:00"/>
  </r>
  <r>
    <n v="173"/>
    <x v="0"/>
    <x v="75"/>
    <x v="163"/>
    <m/>
    <x v="4"/>
    <m/>
    <m/>
    <x v="1"/>
    <d v="2010-01-04T00:00:00"/>
    <x v="3"/>
    <d v="2011-01-31T00:00:00"/>
    <d v="2011-04-27T00:00:00"/>
    <x v="1"/>
    <x v="2"/>
    <x v="3"/>
    <x v="19"/>
    <x v="0"/>
    <m/>
    <m/>
    <x v="95"/>
    <m/>
    <m/>
    <x v="0"/>
    <x v="0"/>
    <n v="25000"/>
    <m/>
    <x v="1"/>
    <n v="0"/>
    <x v="0"/>
    <x v="0"/>
    <m/>
    <m/>
    <x v="0"/>
    <m/>
    <x v="0"/>
    <d v="2013-01-31T00:00:00"/>
    <x v="5"/>
    <x v="8"/>
    <s v="C"/>
    <x v="3"/>
    <x v="0"/>
    <x v="110"/>
    <s v=""/>
    <x v="4"/>
    <x v="2"/>
    <x v="4"/>
    <x v="3"/>
    <x v="0"/>
    <d v="1899-12-30T00:00:00"/>
    <d v="1899-12-30T00:00:00"/>
  </r>
  <r>
    <n v="174"/>
    <x v="0"/>
    <x v="75"/>
    <x v="164"/>
    <m/>
    <x v="4"/>
    <m/>
    <m/>
    <x v="1"/>
    <d v="2010-01-04T00:00:00"/>
    <x v="3"/>
    <d v="2011-01-31T00:00:00"/>
    <d v="2011-04-27T00:00:00"/>
    <x v="1"/>
    <x v="2"/>
    <x v="3"/>
    <x v="19"/>
    <x v="0"/>
    <m/>
    <m/>
    <x v="95"/>
    <m/>
    <m/>
    <x v="0"/>
    <x v="0"/>
    <n v="25000"/>
    <m/>
    <x v="1"/>
    <n v="0"/>
    <x v="0"/>
    <x v="0"/>
    <m/>
    <m/>
    <x v="0"/>
    <m/>
    <x v="0"/>
    <d v="2013-01-31T00:00:00"/>
    <x v="5"/>
    <x v="8"/>
    <s v="C"/>
    <x v="3"/>
    <x v="0"/>
    <x v="110"/>
    <s v=""/>
    <x v="4"/>
    <x v="2"/>
    <x v="4"/>
    <x v="3"/>
    <x v="0"/>
    <d v="1899-12-30T00:00:00"/>
    <d v="1899-12-30T00:00:00"/>
  </r>
  <r>
    <n v="175"/>
    <x v="0"/>
    <x v="75"/>
    <x v="165"/>
    <m/>
    <x v="4"/>
    <m/>
    <m/>
    <x v="1"/>
    <d v="2010-01-04T00:00:00"/>
    <x v="3"/>
    <d v="2011-01-31T00:00:00"/>
    <d v="2011-04-27T00:00:00"/>
    <x v="1"/>
    <x v="2"/>
    <x v="3"/>
    <x v="19"/>
    <x v="0"/>
    <m/>
    <m/>
    <x v="95"/>
    <m/>
    <m/>
    <x v="0"/>
    <x v="0"/>
    <n v="25000"/>
    <m/>
    <x v="1"/>
    <n v="0"/>
    <x v="0"/>
    <x v="0"/>
    <m/>
    <m/>
    <x v="0"/>
    <m/>
    <x v="0"/>
    <d v="2013-01-31T00:00:00"/>
    <x v="5"/>
    <x v="8"/>
    <s v="C"/>
    <x v="3"/>
    <x v="0"/>
    <x v="110"/>
    <s v=""/>
    <x v="4"/>
    <x v="2"/>
    <x v="4"/>
    <x v="3"/>
    <x v="0"/>
    <d v="1899-12-30T00:00:00"/>
    <d v="1899-12-30T00:00:00"/>
  </r>
  <r>
    <n v="176"/>
    <x v="0"/>
    <x v="75"/>
    <x v="166"/>
    <m/>
    <x v="4"/>
    <m/>
    <m/>
    <x v="1"/>
    <d v="2010-01-04T00:00:00"/>
    <x v="3"/>
    <d v="2011-01-31T00:00:00"/>
    <d v="2011-04-27T00:00:00"/>
    <x v="1"/>
    <x v="2"/>
    <x v="3"/>
    <x v="19"/>
    <x v="0"/>
    <m/>
    <m/>
    <x v="95"/>
    <m/>
    <m/>
    <x v="0"/>
    <x v="0"/>
    <n v="25000"/>
    <m/>
    <x v="1"/>
    <n v="0"/>
    <x v="0"/>
    <x v="0"/>
    <m/>
    <m/>
    <x v="0"/>
    <m/>
    <x v="0"/>
    <d v="2013-01-31T00:00:00"/>
    <x v="5"/>
    <x v="8"/>
    <s v="C"/>
    <x v="3"/>
    <x v="0"/>
    <x v="110"/>
    <s v=""/>
    <x v="4"/>
    <x v="2"/>
    <x v="4"/>
    <x v="3"/>
    <x v="0"/>
    <d v="1899-12-30T00:00:00"/>
    <d v="1899-12-30T00:00:00"/>
  </r>
  <r>
    <n v="177"/>
    <x v="0"/>
    <x v="75"/>
    <x v="167"/>
    <m/>
    <x v="4"/>
    <m/>
    <m/>
    <x v="1"/>
    <d v="2010-01-04T00:00:00"/>
    <x v="3"/>
    <d v="2011-01-31T00:00:00"/>
    <d v="2011-04-27T00:00:00"/>
    <x v="1"/>
    <x v="2"/>
    <x v="3"/>
    <x v="19"/>
    <x v="0"/>
    <m/>
    <m/>
    <x v="95"/>
    <m/>
    <m/>
    <x v="0"/>
    <x v="0"/>
    <n v="25000"/>
    <m/>
    <x v="1"/>
    <n v="0"/>
    <x v="0"/>
    <x v="0"/>
    <m/>
    <m/>
    <x v="0"/>
    <m/>
    <x v="0"/>
    <d v="2013-01-31T00:00:00"/>
    <x v="5"/>
    <x v="8"/>
    <s v="C"/>
    <x v="3"/>
    <x v="0"/>
    <x v="110"/>
    <s v=""/>
    <x v="4"/>
    <x v="2"/>
    <x v="4"/>
    <x v="3"/>
    <x v="0"/>
    <d v="1899-12-30T00:00:00"/>
    <d v="1899-12-30T00:00:00"/>
  </r>
  <r>
    <n v="178"/>
    <x v="1"/>
    <x v="67"/>
    <x v="168"/>
    <m/>
    <x v="4"/>
    <m/>
    <m/>
    <x v="1"/>
    <d v="2011-01-03T00:00:00"/>
    <x v="1"/>
    <d v="2011-03-02T00:00:00"/>
    <d v="2011-08-19T00:00:00"/>
    <x v="1"/>
    <x v="3"/>
    <x v="4"/>
    <x v="20"/>
    <x v="0"/>
    <m/>
    <d v="2011-11-22T00:00:00"/>
    <x v="96"/>
    <m/>
    <m/>
    <x v="0"/>
    <x v="0"/>
    <n v="105000"/>
    <n v="17500"/>
    <x v="1"/>
    <n v="17500"/>
    <x v="9"/>
    <x v="0"/>
    <m/>
    <m/>
    <x v="0"/>
    <m/>
    <x v="0"/>
    <d v="2014-08-06T00:00:00"/>
    <x v="5"/>
    <x v="2"/>
    <s v="A"/>
    <x v="3"/>
    <x v="0"/>
    <x v="110"/>
    <s v=""/>
    <x v="4"/>
    <x v="2"/>
    <x v="4"/>
    <x v="3"/>
    <x v="0"/>
    <d v="1899-12-30T00:00:00"/>
    <d v="1899-12-30T00:00:00"/>
  </r>
  <r>
    <n v="179"/>
    <x v="0"/>
    <x v="76"/>
    <x v="169"/>
    <m/>
    <x v="4"/>
    <m/>
    <m/>
    <x v="1"/>
    <d v="2010-01-04T00:00:00"/>
    <x v="3"/>
    <d v="2010-03-02T00:00:00"/>
    <d v="2010-09-03T00:00:00"/>
    <x v="2"/>
    <x v="3"/>
    <x v="4"/>
    <x v="20"/>
    <x v="0"/>
    <m/>
    <d v="2010-12-14T00:00:00"/>
    <x v="97"/>
    <n v="205315.13"/>
    <m/>
    <x v="0"/>
    <x v="0"/>
    <n v="205315.13"/>
    <m/>
    <x v="1"/>
    <n v="0"/>
    <x v="0"/>
    <x v="0"/>
    <m/>
    <m/>
    <x v="0"/>
    <m/>
    <x v="0"/>
    <d v="2014-10-06T00:00:00"/>
    <x v="5"/>
    <x v="18"/>
    <s v="C"/>
    <x v="3"/>
    <x v="0"/>
    <x v="110"/>
    <s v=""/>
    <x v="4"/>
    <x v="2"/>
    <x v="4"/>
    <x v="3"/>
    <x v="0"/>
    <d v="1899-12-30T00:00:00"/>
    <d v="1899-12-30T00:00:00"/>
  </r>
  <r>
    <n v="180"/>
    <x v="0"/>
    <x v="77"/>
    <x v="170"/>
    <m/>
    <x v="4"/>
    <m/>
    <m/>
    <x v="3"/>
    <m/>
    <x v="8"/>
    <m/>
    <m/>
    <x v="8"/>
    <x v="3"/>
    <x v="4"/>
    <x v="20"/>
    <x v="0"/>
    <m/>
    <d v="2010-02-22T00:00:00"/>
    <x v="45"/>
    <n v="5000"/>
    <m/>
    <x v="0"/>
    <x v="0"/>
    <n v="5000"/>
    <n v="0"/>
    <x v="1"/>
    <n v="0"/>
    <x v="2"/>
    <x v="1"/>
    <m/>
    <m/>
    <x v="0"/>
    <m/>
    <x v="0"/>
    <d v="2013-01-18T00:00:00"/>
    <x v="5"/>
    <x v="19"/>
    <s v="C"/>
    <x v="3"/>
    <x v="0"/>
    <x v="110"/>
    <s v=""/>
    <x v="4"/>
    <x v="2"/>
    <x v="4"/>
    <x v="3"/>
    <x v="0"/>
    <d v="1899-12-30T00:00:00"/>
    <d v="1899-12-30T00:00:00"/>
  </r>
  <r>
    <n v="181"/>
    <x v="0"/>
    <x v="78"/>
    <x v="171"/>
    <m/>
    <x v="4"/>
    <m/>
    <m/>
    <x v="1"/>
    <d v="2010-01-04T00:00:00"/>
    <x v="3"/>
    <d v="2010-03-02T00:00:00"/>
    <d v="2010-09-03T00:00:00"/>
    <x v="2"/>
    <x v="3"/>
    <x v="4"/>
    <x v="20"/>
    <x v="0"/>
    <m/>
    <d v="2010-12-15T00:00:00"/>
    <x v="98"/>
    <m/>
    <m/>
    <x v="0"/>
    <x v="0"/>
    <n v="300000"/>
    <m/>
    <x v="1"/>
    <n v="0"/>
    <x v="0"/>
    <x v="0"/>
    <m/>
    <m/>
    <x v="0"/>
    <m/>
    <x v="0"/>
    <d v="2013-12-05T00:00:00"/>
    <x v="5"/>
    <x v="2"/>
    <s v="C"/>
    <x v="3"/>
    <x v="0"/>
    <x v="110"/>
    <s v=""/>
    <x v="4"/>
    <x v="2"/>
    <x v="4"/>
    <x v="3"/>
    <x v="0"/>
    <d v="1899-12-30T00:00:00"/>
    <d v="1899-12-30T00:00:00"/>
  </r>
  <r>
    <n v="182"/>
    <x v="0"/>
    <x v="79"/>
    <x v="172"/>
    <m/>
    <x v="4"/>
    <m/>
    <m/>
    <x v="1"/>
    <d v="2010-01-04T00:00:00"/>
    <x v="3"/>
    <d v="2010-03-02T00:00:00"/>
    <d v="2010-09-03T00:00:00"/>
    <x v="2"/>
    <x v="3"/>
    <x v="4"/>
    <x v="20"/>
    <x v="0"/>
    <m/>
    <d v="2010-12-15T00:00:00"/>
    <x v="98"/>
    <m/>
    <m/>
    <x v="0"/>
    <x v="0"/>
    <n v="300000"/>
    <m/>
    <x v="1"/>
    <n v="0"/>
    <x v="0"/>
    <x v="0"/>
    <m/>
    <m/>
    <x v="0"/>
    <m/>
    <x v="0"/>
    <d v="2014-06-09T00:00:00"/>
    <x v="5"/>
    <x v="0"/>
    <s v="D"/>
    <x v="3"/>
    <x v="0"/>
    <x v="110"/>
    <s v=""/>
    <x v="4"/>
    <x v="2"/>
    <x v="4"/>
    <x v="3"/>
    <x v="0"/>
    <d v="1899-12-30T00:00:00"/>
    <d v="1899-12-30T00:00:00"/>
  </r>
  <r>
    <n v="183"/>
    <x v="0"/>
    <x v="50"/>
    <x v="173"/>
    <m/>
    <x v="4"/>
    <m/>
    <m/>
    <x v="1"/>
    <d v="2011-01-03T00:00:00"/>
    <x v="1"/>
    <d v="2011-03-02T00:00:00"/>
    <d v="2011-08-19T00:00:00"/>
    <x v="1"/>
    <x v="3"/>
    <x v="4"/>
    <x v="20"/>
    <x v="0"/>
    <m/>
    <d v="2011-12-16T00:00:00"/>
    <x v="99"/>
    <m/>
    <m/>
    <x v="0"/>
    <x v="0"/>
    <n v="150000"/>
    <m/>
    <x v="1"/>
    <n v="0"/>
    <x v="0"/>
    <x v="0"/>
    <m/>
    <m/>
    <x v="0"/>
    <m/>
    <x v="0"/>
    <d v="2014-12-02T00:00:00"/>
    <x v="5"/>
    <x v="7"/>
    <s v="E"/>
    <x v="3"/>
    <x v="0"/>
    <x v="110"/>
    <s v=""/>
    <x v="4"/>
    <x v="2"/>
    <x v="4"/>
    <x v="3"/>
    <x v="0"/>
    <d v="1899-12-30T00:00:00"/>
    <d v="1899-12-30T00:00:00"/>
  </r>
  <r>
    <n v="184"/>
    <x v="0"/>
    <x v="80"/>
    <x v="174"/>
    <m/>
    <x v="4"/>
    <m/>
    <m/>
    <x v="1"/>
    <d v="2010-01-04T00:00:00"/>
    <x v="3"/>
    <d v="2010-03-02T00:00:00"/>
    <d v="2011-09-03T00:00:00"/>
    <x v="1"/>
    <x v="3"/>
    <x v="4"/>
    <x v="20"/>
    <x v="0"/>
    <m/>
    <d v="2010-11-26T00:00:00"/>
    <x v="98"/>
    <m/>
    <m/>
    <x v="0"/>
    <x v="0"/>
    <n v="300000"/>
    <m/>
    <x v="1"/>
    <n v="0"/>
    <x v="0"/>
    <x v="0"/>
    <m/>
    <m/>
    <x v="0"/>
    <m/>
    <x v="0"/>
    <d v="2013-08-06T00:00:00"/>
    <x v="5"/>
    <x v="2"/>
    <s v="F"/>
    <x v="3"/>
    <x v="0"/>
    <x v="110"/>
    <s v=""/>
    <x v="4"/>
    <x v="2"/>
    <x v="4"/>
    <x v="3"/>
    <x v="0"/>
    <d v="1899-12-30T00:00:00"/>
    <d v="1899-12-30T00:00:00"/>
  </r>
  <r>
    <n v="185"/>
    <x v="1"/>
    <x v="81"/>
    <x v="175"/>
    <m/>
    <x v="4"/>
    <m/>
    <m/>
    <x v="1"/>
    <d v="2011-01-03T00:00:00"/>
    <x v="1"/>
    <d v="2011-03-02T00:00:00"/>
    <d v="2011-08-19T00:00:00"/>
    <x v="1"/>
    <x v="3"/>
    <x v="4"/>
    <x v="20"/>
    <x v="0"/>
    <m/>
    <d v="2011-12-12T00:00:00"/>
    <x v="26"/>
    <m/>
    <m/>
    <x v="0"/>
    <x v="0"/>
    <n v="22500"/>
    <n v="3750"/>
    <x v="1"/>
    <n v="3750"/>
    <x v="9"/>
    <x v="0"/>
    <m/>
    <m/>
    <x v="0"/>
    <m/>
    <x v="0"/>
    <d v="2014-08-06T00:00:00"/>
    <x v="5"/>
    <x v="4"/>
    <s v="F"/>
    <x v="3"/>
    <x v="0"/>
    <x v="110"/>
    <s v=""/>
    <x v="4"/>
    <x v="2"/>
    <x v="4"/>
    <x v="3"/>
    <x v="0"/>
    <d v="1899-12-30T00:00:00"/>
    <d v="1899-12-30T00:00:00"/>
  </r>
  <r>
    <n v="186"/>
    <x v="0"/>
    <x v="82"/>
    <x v="176"/>
    <m/>
    <x v="4"/>
    <m/>
    <m/>
    <x v="1"/>
    <d v="2011-01-03T00:00:00"/>
    <x v="1"/>
    <d v="2011-03-02T00:00:00"/>
    <d v="2011-08-19T00:00:00"/>
    <x v="1"/>
    <x v="3"/>
    <x v="4"/>
    <x v="20"/>
    <x v="0"/>
    <m/>
    <d v="2011-11-30T00:00:00"/>
    <x v="47"/>
    <m/>
    <m/>
    <x v="0"/>
    <x v="0"/>
    <n v="90000"/>
    <n v="6000"/>
    <x v="1"/>
    <n v="6000"/>
    <x v="4"/>
    <x v="0"/>
    <m/>
    <m/>
    <x v="0"/>
    <m/>
    <x v="0"/>
    <d v="2015-01-16T00:00:00"/>
    <x v="5"/>
    <x v="6"/>
    <s v="Q"/>
    <x v="3"/>
    <x v="0"/>
    <x v="110"/>
    <s v=""/>
    <x v="4"/>
    <x v="2"/>
    <x v="4"/>
    <x v="3"/>
    <x v="0"/>
    <d v="1899-12-30T00:00:00"/>
    <d v="1899-12-30T00:00:00"/>
  </r>
  <r>
    <n v="187"/>
    <x v="1"/>
    <x v="37"/>
    <x v="177"/>
    <m/>
    <x v="4"/>
    <m/>
    <m/>
    <x v="1"/>
    <d v="2011-01-03T00:00:00"/>
    <x v="1"/>
    <d v="2011-03-02T00:00:00"/>
    <d v="2011-08-19T00:00:00"/>
    <x v="1"/>
    <x v="3"/>
    <x v="4"/>
    <x v="20"/>
    <x v="0"/>
    <m/>
    <d v="2011-12-29T00:00:00"/>
    <x v="2"/>
    <m/>
    <m/>
    <x v="0"/>
    <x v="0"/>
    <n v="75000"/>
    <n v="12500"/>
    <x v="1"/>
    <n v="12500"/>
    <x v="9"/>
    <x v="0"/>
    <m/>
    <m/>
    <x v="0"/>
    <m/>
    <x v="0"/>
    <d v="2014-09-09T00:00:00"/>
    <x v="5"/>
    <x v="3"/>
    <s v="F"/>
    <x v="3"/>
    <x v="0"/>
    <x v="110"/>
    <s v=""/>
    <x v="4"/>
    <x v="2"/>
    <x v="4"/>
    <x v="3"/>
    <x v="0"/>
    <d v="1899-12-30T00:00:00"/>
    <d v="1899-12-30T00:00:00"/>
  </r>
  <r>
    <n v="188"/>
    <x v="0"/>
    <x v="37"/>
    <x v="178"/>
    <m/>
    <x v="4"/>
    <m/>
    <m/>
    <x v="1"/>
    <d v="2008-01-02T00:00:00"/>
    <x v="2"/>
    <d v="2008-03-26T00:00:00"/>
    <d v="2008-10-01T00:00:00"/>
    <x v="7"/>
    <x v="3"/>
    <x v="4"/>
    <x v="20"/>
    <x v="0"/>
    <m/>
    <d v="2009-01-21T00:00:00"/>
    <x v="2"/>
    <m/>
    <m/>
    <x v="0"/>
    <x v="0"/>
    <n v="75000"/>
    <m/>
    <x v="1"/>
    <n v="0"/>
    <x v="0"/>
    <x v="0"/>
    <m/>
    <m/>
    <x v="0"/>
    <m/>
    <x v="0"/>
    <d v="2012-03-29T00:00:00"/>
    <x v="5"/>
    <x v="3"/>
    <s v="F"/>
    <x v="3"/>
    <x v="0"/>
    <x v="110"/>
    <s v=""/>
    <x v="4"/>
    <x v="2"/>
    <x v="4"/>
    <x v="3"/>
    <x v="0"/>
    <d v="1899-12-30T00:00:00"/>
    <d v="1899-12-30T00:00:00"/>
  </r>
  <r>
    <n v="189"/>
    <x v="0"/>
    <x v="74"/>
    <x v="179"/>
    <m/>
    <x v="4"/>
    <m/>
    <m/>
    <x v="3"/>
    <m/>
    <x v="8"/>
    <m/>
    <m/>
    <x v="8"/>
    <x v="3"/>
    <x v="4"/>
    <x v="20"/>
    <x v="0"/>
    <m/>
    <d v="2009-04-27T00:00:00"/>
    <x v="33"/>
    <m/>
    <m/>
    <x v="0"/>
    <x v="0"/>
    <n v="60000"/>
    <n v="0"/>
    <x v="1"/>
    <n v="0"/>
    <x v="0"/>
    <x v="0"/>
    <m/>
    <m/>
    <x v="0"/>
    <m/>
    <x v="0"/>
    <d v="2012-08-22T00:00:00"/>
    <x v="5"/>
    <x v="12"/>
    <s v="F"/>
    <x v="3"/>
    <x v="0"/>
    <x v="110"/>
    <s v=""/>
    <x v="4"/>
    <x v="2"/>
    <x v="4"/>
    <x v="3"/>
    <x v="0"/>
    <d v="1899-12-30T00:00:00"/>
    <d v="1899-12-30T00:00:00"/>
  </r>
  <r>
    <n v="190"/>
    <x v="1"/>
    <x v="74"/>
    <x v="180"/>
    <m/>
    <x v="4"/>
    <m/>
    <m/>
    <x v="1"/>
    <d v="2011-01-03T00:00:00"/>
    <x v="1"/>
    <d v="2011-03-02T00:00:00"/>
    <d v="2011-08-19T00:00:00"/>
    <x v="1"/>
    <x v="3"/>
    <x v="4"/>
    <x v="20"/>
    <x v="0"/>
    <m/>
    <d v="2011-11-30T00:00:00"/>
    <x v="33"/>
    <n v="40000"/>
    <m/>
    <x v="0"/>
    <x v="0"/>
    <n v="40000"/>
    <n v="10000"/>
    <x v="1"/>
    <n v="10000"/>
    <x v="9"/>
    <x v="0"/>
    <m/>
    <m/>
    <x v="0"/>
    <m/>
    <x v="0"/>
    <d v="2014-09-09T00:00:00"/>
    <x v="5"/>
    <x v="12"/>
    <s v="F"/>
    <x v="3"/>
    <x v="0"/>
    <x v="110"/>
    <s v=""/>
    <x v="4"/>
    <x v="2"/>
    <x v="4"/>
    <x v="3"/>
    <x v="0"/>
    <d v="1899-12-30T00:00:00"/>
    <d v="1899-12-30T00:00:00"/>
  </r>
  <r>
    <n v="191"/>
    <x v="0"/>
    <x v="83"/>
    <x v="181"/>
    <m/>
    <x v="4"/>
    <m/>
    <m/>
    <x v="1"/>
    <d v="2010-01-04T00:00:00"/>
    <x v="3"/>
    <d v="2010-03-02T00:00:00"/>
    <d v="2010-09-03T00:00:00"/>
    <x v="2"/>
    <x v="3"/>
    <x v="4"/>
    <x v="20"/>
    <x v="0"/>
    <m/>
    <d v="2010-12-14T00:00:00"/>
    <x v="98"/>
    <m/>
    <m/>
    <x v="0"/>
    <x v="0"/>
    <n v="300000"/>
    <m/>
    <x v="1"/>
    <n v="0"/>
    <x v="0"/>
    <x v="0"/>
    <m/>
    <m/>
    <x v="0"/>
    <m/>
    <x v="0"/>
    <d v="2013-10-01T00:00:00"/>
    <x v="5"/>
    <x v="16"/>
    <s v="I"/>
    <x v="3"/>
    <x v="0"/>
    <x v="110"/>
    <s v=""/>
    <x v="4"/>
    <x v="2"/>
    <x v="4"/>
    <x v="3"/>
    <x v="0"/>
    <d v="1899-12-30T00:00:00"/>
    <d v="1899-12-30T00:00:00"/>
  </r>
  <r>
    <n v="192"/>
    <x v="0"/>
    <x v="84"/>
    <x v="182"/>
    <m/>
    <x v="4"/>
    <m/>
    <m/>
    <x v="1"/>
    <d v="2010-01-04T00:00:00"/>
    <x v="3"/>
    <d v="2010-03-02T00:00:00"/>
    <d v="2010-09-03T00:00:00"/>
    <x v="2"/>
    <x v="3"/>
    <x v="4"/>
    <x v="20"/>
    <x v="0"/>
    <m/>
    <d v="2010-12-15T00:00:00"/>
    <x v="33"/>
    <m/>
    <m/>
    <x v="0"/>
    <x v="0"/>
    <n v="60000"/>
    <m/>
    <x v="1"/>
    <n v="0"/>
    <x v="0"/>
    <x v="0"/>
    <m/>
    <m/>
    <x v="0"/>
    <m/>
    <x v="0"/>
    <d v="2013-08-28T00:00:00"/>
    <x v="5"/>
    <x v="13"/>
    <s v="M"/>
    <x v="3"/>
    <x v="0"/>
    <x v="110"/>
    <s v=""/>
    <x v="4"/>
    <x v="2"/>
    <x v="4"/>
    <x v="3"/>
    <x v="0"/>
    <d v="1899-12-30T00:00:00"/>
    <d v="1899-12-30T00:00:00"/>
  </r>
  <r>
    <n v="193"/>
    <x v="1"/>
    <x v="85"/>
    <x v="183"/>
    <m/>
    <x v="4"/>
    <m/>
    <m/>
    <x v="1"/>
    <d v="2011-01-03T00:00:00"/>
    <x v="1"/>
    <d v="2011-03-02T00:00:00"/>
    <d v="2011-11-19T00:00:00"/>
    <x v="1"/>
    <x v="3"/>
    <x v="4"/>
    <x v="20"/>
    <x v="0"/>
    <m/>
    <d v="2012-12-13T00:00:00"/>
    <x v="100"/>
    <m/>
    <m/>
    <x v="0"/>
    <x v="0"/>
    <n v="37500"/>
    <n v="2500"/>
    <x v="1"/>
    <n v="2500"/>
    <x v="9"/>
    <x v="0"/>
    <m/>
    <m/>
    <x v="0"/>
    <m/>
    <x v="0"/>
    <d v="2015-03-02T00:00:00"/>
    <x v="5"/>
    <x v="2"/>
    <s v="M"/>
    <x v="3"/>
    <x v="0"/>
    <x v="110"/>
    <s v=""/>
    <x v="4"/>
    <x v="2"/>
    <x v="4"/>
    <x v="3"/>
    <x v="0"/>
    <d v="1899-12-30T00:00:00"/>
    <d v="1899-12-30T00:00:00"/>
  </r>
  <r>
    <n v="194"/>
    <x v="0"/>
    <x v="82"/>
    <x v="184"/>
    <m/>
    <x v="4"/>
    <m/>
    <m/>
    <x v="3"/>
    <m/>
    <x v="8"/>
    <m/>
    <m/>
    <x v="8"/>
    <x v="3"/>
    <x v="4"/>
    <x v="20"/>
    <x v="0"/>
    <m/>
    <d v="2009-01-21T00:00:00"/>
    <x v="33"/>
    <m/>
    <m/>
    <x v="0"/>
    <x v="0"/>
    <n v="60000"/>
    <m/>
    <x v="1"/>
    <n v="0"/>
    <x v="0"/>
    <x v="0"/>
    <m/>
    <m/>
    <x v="0"/>
    <m/>
    <x v="0"/>
    <d v="2012-01-31T00:00:00"/>
    <x v="5"/>
    <x v="6"/>
    <s v="Q"/>
    <x v="3"/>
    <x v="0"/>
    <x v="110"/>
    <s v=""/>
    <x v="4"/>
    <x v="2"/>
    <x v="4"/>
    <x v="3"/>
    <x v="0"/>
    <d v="1899-12-30T00:00:00"/>
    <d v="1899-12-30T00:00:00"/>
  </r>
  <r>
    <n v="195"/>
    <x v="0"/>
    <x v="86"/>
    <x v="185"/>
    <m/>
    <x v="4"/>
    <m/>
    <m/>
    <x v="3"/>
    <m/>
    <x v="8"/>
    <m/>
    <m/>
    <x v="8"/>
    <x v="3"/>
    <x v="4"/>
    <x v="20"/>
    <x v="0"/>
    <m/>
    <d v="2010-12-07T00:00:00"/>
    <x v="45"/>
    <m/>
    <m/>
    <x v="0"/>
    <x v="0"/>
    <n v="10000"/>
    <n v="0"/>
    <x v="1"/>
    <n v="0"/>
    <x v="0"/>
    <x v="0"/>
    <m/>
    <m/>
    <x v="0"/>
    <m/>
    <x v="0"/>
    <d v="2012-10-03T00:00:00"/>
    <x v="5"/>
    <x v="2"/>
    <s v="C"/>
    <x v="3"/>
    <x v="0"/>
    <x v="110"/>
    <s v=""/>
    <x v="4"/>
    <x v="2"/>
    <x v="4"/>
    <x v="3"/>
    <x v="0"/>
    <d v="1899-12-30T00:00:00"/>
    <d v="1899-12-30T00:00:00"/>
  </r>
  <r>
    <n v="196"/>
    <x v="0"/>
    <x v="86"/>
    <x v="186"/>
    <m/>
    <x v="4"/>
    <m/>
    <m/>
    <x v="1"/>
    <d v="2011-01-03T00:00:00"/>
    <x v="1"/>
    <d v="2011-03-02T00:00:00"/>
    <d v="2011-08-19T00:00:00"/>
    <x v="1"/>
    <x v="3"/>
    <x v="4"/>
    <x v="20"/>
    <x v="0"/>
    <m/>
    <d v="2011-12-13T00:00:00"/>
    <x v="3"/>
    <m/>
    <m/>
    <x v="0"/>
    <x v="0"/>
    <n v="20000"/>
    <m/>
    <x v="1"/>
    <n v="0"/>
    <x v="0"/>
    <x v="0"/>
    <m/>
    <m/>
    <x v="0"/>
    <m/>
    <x v="0"/>
    <d v="2014-02-04T00:00:00"/>
    <x v="5"/>
    <x v="2"/>
    <s v="C"/>
    <x v="3"/>
    <x v="0"/>
    <x v="110"/>
    <s v=""/>
    <x v="4"/>
    <x v="2"/>
    <x v="4"/>
    <x v="3"/>
    <x v="0"/>
    <d v="1899-12-30T00:00:00"/>
    <d v="1899-12-30T00:00:00"/>
  </r>
  <r>
    <n v="197"/>
    <x v="1"/>
    <x v="62"/>
    <x v="187"/>
    <m/>
    <x v="4"/>
    <m/>
    <m/>
    <x v="1"/>
    <d v="2011-01-03T00:00:00"/>
    <x v="1"/>
    <d v="2011-03-02T00:00:00"/>
    <d v="2011-08-19T00:00:00"/>
    <x v="1"/>
    <x v="3"/>
    <x v="4"/>
    <x v="20"/>
    <x v="0"/>
    <m/>
    <d v="2011-10-31T00:00:00"/>
    <x v="45"/>
    <m/>
    <m/>
    <x v="0"/>
    <x v="0"/>
    <n v="10000"/>
    <n v="10000"/>
    <x v="1"/>
    <n v="10000"/>
    <x v="9"/>
    <x v="0"/>
    <m/>
    <m/>
    <x v="0"/>
    <m/>
    <x v="0"/>
    <d v="2013-04-19T00:00:00"/>
    <x v="5"/>
    <x v="2"/>
    <s v="F"/>
    <x v="3"/>
    <x v="0"/>
    <x v="110"/>
    <s v=""/>
    <x v="4"/>
    <x v="2"/>
    <x v="4"/>
    <x v="3"/>
    <x v="0"/>
    <d v="1899-12-30T00:00:00"/>
    <d v="1899-12-30T00:00:00"/>
  </r>
  <r>
    <n v="198"/>
    <x v="0"/>
    <x v="62"/>
    <x v="188"/>
    <m/>
    <x v="4"/>
    <m/>
    <m/>
    <x v="3"/>
    <m/>
    <x v="8"/>
    <m/>
    <m/>
    <x v="8"/>
    <x v="3"/>
    <x v="4"/>
    <x v="20"/>
    <x v="0"/>
    <m/>
    <d v="2010-12-14T00:00:00"/>
    <x v="45"/>
    <m/>
    <m/>
    <x v="0"/>
    <x v="0"/>
    <n v="10000"/>
    <n v="0"/>
    <x v="1"/>
    <n v="0"/>
    <x v="0"/>
    <x v="0"/>
    <m/>
    <m/>
    <x v="0"/>
    <m/>
    <x v="0"/>
    <d v="2012-12-03T00:00:00"/>
    <x v="5"/>
    <x v="2"/>
    <s v="F"/>
    <x v="3"/>
    <x v="0"/>
    <x v="110"/>
    <s v=""/>
    <x v="4"/>
    <x v="2"/>
    <x v="4"/>
    <x v="3"/>
    <x v="0"/>
    <d v="1899-12-30T00:00:00"/>
    <d v="1899-12-30T00:00:00"/>
  </r>
  <r>
    <n v="199"/>
    <x v="0"/>
    <x v="87"/>
    <x v="189"/>
    <m/>
    <x v="4"/>
    <m/>
    <m/>
    <x v="1"/>
    <d v="2010-01-04T00:00:00"/>
    <x v="3"/>
    <d v="2010-03-02T00:00:00"/>
    <d v="2010-09-03T00:00:00"/>
    <x v="2"/>
    <x v="3"/>
    <x v="4"/>
    <x v="20"/>
    <x v="0"/>
    <m/>
    <d v="2010-12-14T00:00:00"/>
    <x v="45"/>
    <m/>
    <m/>
    <x v="0"/>
    <x v="0"/>
    <n v="10000"/>
    <m/>
    <x v="1"/>
    <n v="0"/>
    <x v="0"/>
    <x v="0"/>
    <m/>
    <m/>
    <x v="0"/>
    <m/>
    <x v="0"/>
    <d v="2013-07-23T00:00:00"/>
    <x v="5"/>
    <x v="4"/>
    <s v="F"/>
    <x v="3"/>
    <x v="0"/>
    <x v="110"/>
    <s v=""/>
    <x v="4"/>
    <x v="2"/>
    <x v="4"/>
    <x v="3"/>
    <x v="0"/>
    <d v="1899-12-30T00:00:00"/>
    <d v="1899-12-30T00:00:00"/>
  </r>
  <r>
    <n v="200"/>
    <x v="0"/>
    <x v="85"/>
    <x v="190"/>
    <m/>
    <x v="4"/>
    <m/>
    <m/>
    <x v="3"/>
    <m/>
    <x v="8"/>
    <m/>
    <m/>
    <x v="8"/>
    <x v="3"/>
    <x v="4"/>
    <x v="20"/>
    <x v="0"/>
    <m/>
    <d v="2010-12-14T00:00:00"/>
    <x v="45"/>
    <m/>
    <m/>
    <x v="0"/>
    <x v="0"/>
    <n v="10000"/>
    <m/>
    <x v="1"/>
    <n v="0"/>
    <x v="0"/>
    <x v="0"/>
    <m/>
    <m/>
    <x v="0"/>
    <m/>
    <x v="0"/>
    <d v="2012-03-29T00:00:00"/>
    <x v="5"/>
    <x v="2"/>
    <s v="M"/>
    <x v="3"/>
    <x v="0"/>
    <x v="110"/>
    <s v=""/>
    <x v="4"/>
    <x v="2"/>
    <x v="4"/>
    <x v="3"/>
    <x v="0"/>
    <d v="1899-12-30T00:00:00"/>
    <d v="1899-12-30T00:00:00"/>
  </r>
  <r>
    <n v="201"/>
    <x v="0"/>
    <x v="5"/>
    <x v="191"/>
    <m/>
    <x v="4"/>
    <s v="IndieLisboa"/>
    <m/>
    <x v="1"/>
    <d v="2011-01-03T00:00:00"/>
    <x v="1"/>
    <d v="2011-12-31T00:00:00"/>
    <d v="2011-08-19T00:00:00"/>
    <x v="1"/>
    <x v="3"/>
    <x v="4"/>
    <x v="21"/>
    <x v="0"/>
    <m/>
    <m/>
    <x v="101"/>
    <m/>
    <m/>
    <x v="0"/>
    <x v="0"/>
    <n v="500"/>
    <m/>
    <x v="1"/>
    <n v="0"/>
    <x v="0"/>
    <x v="0"/>
    <m/>
    <m/>
    <x v="0"/>
    <m/>
    <x v="0"/>
    <d v="2013-11-27T00:00:00"/>
    <x v="5"/>
    <x v="1"/>
    <s v="A"/>
    <x v="3"/>
    <x v="0"/>
    <x v="110"/>
    <s v=""/>
    <x v="4"/>
    <x v="2"/>
    <x v="4"/>
    <x v="3"/>
    <x v="0"/>
    <d v="1899-12-30T00:00:00"/>
    <d v="1899-12-30T00:00:00"/>
  </r>
  <r>
    <n v="202"/>
    <x v="0"/>
    <x v="14"/>
    <x v="192"/>
    <m/>
    <x v="4"/>
    <s v="ANNECY"/>
    <m/>
    <x v="1"/>
    <d v="2011-01-03T00:00:00"/>
    <x v="1"/>
    <d v="2011-12-31T00:00:00"/>
    <d v="2011-08-19T00:00:00"/>
    <x v="1"/>
    <x v="3"/>
    <x v="4"/>
    <x v="21"/>
    <x v="0"/>
    <m/>
    <m/>
    <x v="65"/>
    <m/>
    <m/>
    <x v="0"/>
    <x v="0"/>
    <n v="1000"/>
    <n v="0"/>
    <x v="1"/>
    <n v="0"/>
    <x v="0"/>
    <x v="0"/>
    <m/>
    <m/>
    <x v="0"/>
    <m/>
    <x v="0"/>
    <d v="2013-04-30T00:00:00"/>
    <x v="5"/>
    <x v="4"/>
    <s v="C"/>
    <x v="3"/>
    <x v="0"/>
    <x v="110"/>
    <s v=""/>
    <x v="4"/>
    <x v="2"/>
    <x v="4"/>
    <x v="3"/>
    <x v="0"/>
    <d v="1899-12-30T00:00:00"/>
    <d v="1899-12-30T00:00:00"/>
  </r>
  <r>
    <n v="203"/>
    <x v="0"/>
    <x v="14"/>
    <x v="192"/>
    <m/>
    <x v="4"/>
    <s v="SITGES"/>
    <m/>
    <x v="1"/>
    <d v="2011-01-03T00:00:00"/>
    <x v="1"/>
    <d v="2011-12-31T00:00:00"/>
    <d v="2011-09-02T00:00:00"/>
    <x v="1"/>
    <x v="3"/>
    <x v="4"/>
    <x v="21"/>
    <x v="0"/>
    <m/>
    <m/>
    <x v="65"/>
    <m/>
    <m/>
    <x v="0"/>
    <x v="0"/>
    <n v="1000"/>
    <n v="0"/>
    <x v="1"/>
    <n v="0"/>
    <x v="0"/>
    <x v="0"/>
    <m/>
    <m/>
    <x v="0"/>
    <m/>
    <x v="0"/>
    <d v="2013-04-30T00:00:00"/>
    <x v="5"/>
    <x v="4"/>
    <s v="C"/>
    <x v="3"/>
    <x v="0"/>
    <x v="110"/>
    <s v=""/>
    <x v="4"/>
    <x v="2"/>
    <x v="4"/>
    <x v="3"/>
    <x v="0"/>
    <d v="1899-12-30T00:00:00"/>
    <d v="1899-12-30T00:00:00"/>
  </r>
  <r>
    <n v="204"/>
    <x v="0"/>
    <x v="29"/>
    <x v="193"/>
    <m/>
    <x v="4"/>
    <s v="TORONTO FILM FESTIVAL"/>
    <m/>
    <x v="1"/>
    <d v="2011-01-03T00:00:00"/>
    <x v="1"/>
    <d v="2011-12-30T00:00:00"/>
    <d v="2011-08-22T00:00:00"/>
    <x v="1"/>
    <x v="3"/>
    <x v="4"/>
    <x v="21"/>
    <x v="0"/>
    <m/>
    <m/>
    <x v="49"/>
    <m/>
    <m/>
    <x v="0"/>
    <x v="0"/>
    <n v="2000"/>
    <n v="0"/>
    <x v="1"/>
    <n v="0"/>
    <x v="0"/>
    <x v="0"/>
    <m/>
    <m/>
    <x v="0"/>
    <m/>
    <x v="0"/>
    <d v="2013-04-30T00:00:00"/>
    <x v="5"/>
    <x v="11"/>
    <s v="D"/>
    <x v="3"/>
    <x v="0"/>
    <x v="110"/>
    <s v=""/>
    <x v="4"/>
    <x v="2"/>
    <x v="4"/>
    <x v="3"/>
    <x v="0"/>
    <d v="1899-12-30T00:00:00"/>
    <d v="1899-12-30T00:00:00"/>
  </r>
  <r>
    <n v="205"/>
    <x v="0"/>
    <x v="23"/>
    <x v="194"/>
    <m/>
    <x v="4"/>
    <s v="OBERHAUSEN "/>
    <m/>
    <x v="3"/>
    <m/>
    <x v="8"/>
    <m/>
    <m/>
    <x v="8"/>
    <x v="3"/>
    <x v="4"/>
    <x v="21"/>
    <x v="0"/>
    <m/>
    <d v="2011-09-19T00:00:00"/>
    <x v="65"/>
    <m/>
    <m/>
    <x v="0"/>
    <x v="0"/>
    <n v="1000"/>
    <n v="0"/>
    <x v="1"/>
    <n v="0"/>
    <x v="0"/>
    <x v="0"/>
    <m/>
    <m/>
    <x v="0"/>
    <m/>
    <x v="0"/>
    <d v="2012-12-03T00:00:00"/>
    <x v="5"/>
    <x v="9"/>
    <s v="M"/>
    <x v="3"/>
    <x v="0"/>
    <x v="110"/>
    <s v=""/>
    <x v="4"/>
    <x v="2"/>
    <x v="4"/>
    <x v="3"/>
    <x v="0"/>
    <d v="1899-12-30T00:00:00"/>
    <d v="1899-12-30T00:00:00"/>
  </r>
  <r>
    <n v="206"/>
    <x v="0"/>
    <x v="8"/>
    <x v="195"/>
    <m/>
    <x v="4"/>
    <s v="BUSAN INTERNACIONAL FILM FESTIVAL"/>
    <m/>
    <x v="1"/>
    <d v="2011-01-03T00:00:00"/>
    <x v="1"/>
    <d v="2011-12-31T00:00:00"/>
    <d v="2011-08-19T00:00:00"/>
    <x v="1"/>
    <x v="3"/>
    <x v="4"/>
    <x v="21"/>
    <x v="0"/>
    <m/>
    <m/>
    <x v="49"/>
    <m/>
    <m/>
    <x v="0"/>
    <x v="0"/>
    <n v="2000"/>
    <n v="0"/>
    <x v="1"/>
    <n v="0"/>
    <x v="0"/>
    <x v="0"/>
    <m/>
    <m/>
    <x v="0"/>
    <m/>
    <x v="0"/>
    <d v="2013-04-30T00:00:00"/>
    <x v="5"/>
    <x v="2"/>
    <s v="O"/>
    <x v="3"/>
    <x v="0"/>
    <x v="110"/>
    <s v=""/>
    <x v="4"/>
    <x v="2"/>
    <x v="4"/>
    <x v="3"/>
    <x v="0"/>
    <d v="1899-12-30T00:00:00"/>
    <d v="1899-12-30T00:00:00"/>
  </r>
  <r>
    <n v="207"/>
    <x v="0"/>
    <x v="5"/>
    <x v="196"/>
    <m/>
    <x v="4"/>
    <s v="IndieLisboa"/>
    <m/>
    <x v="1"/>
    <d v="2011-01-03T00:00:00"/>
    <x v="1"/>
    <d v="2011-12-31T00:00:00"/>
    <d v="2011-08-19T00:00:00"/>
    <x v="1"/>
    <x v="3"/>
    <x v="4"/>
    <x v="21"/>
    <x v="0"/>
    <m/>
    <m/>
    <x v="101"/>
    <m/>
    <m/>
    <x v="0"/>
    <x v="0"/>
    <n v="500"/>
    <m/>
    <x v="1"/>
    <n v="0"/>
    <x v="0"/>
    <x v="0"/>
    <m/>
    <m/>
    <x v="0"/>
    <m/>
    <x v="0"/>
    <d v="2013-11-04T00:00:00"/>
    <x v="5"/>
    <x v="1"/>
    <s v="O"/>
    <x v="3"/>
    <x v="0"/>
    <x v="110"/>
    <s v=""/>
    <x v="4"/>
    <x v="2"/>
    <x v="4"/>
    <x v="3"/>
    <x v="0"/>
    <d v="1899-12-30T00:00:00"/>
    <d v="1899-12-30T00:00:00"/>
  </r>
  <r>
    <n v="208"/>
    <x v="0"/>
    <x v="29"/>
    <x v="197"/>
    <m/>
    <x v="4"/>
    <s v="IndieLisboa"/>
    <m/>
    <x v="1"/>
    <d v="2011-01-03T00:00:00"/>
    <x v="1"/>
    <d v="2011-12-31T00:00:00"/>
    <d v="2011-08-19T00:00:00"/>
    <x v="1"/>
    <x v="3"/>
    <x v="4"/>
    <x v="21"/>
    <x v="0"/>
    <m/>
    <m/>
    <x v="102"/>
    <m/>
    <m/>
    <x v="0"/>
    <x v="0"/>
    <n v="750"/>
    <n v="0"/>
    <x v="1"/>
    <n v="0"/>
    <x v="0"/>
    <x v="0"/>
    <m/>
    <m/>
    <x v="0"/>
    <m/>
    <x v="0"/>
    <d v="2013-04-30T00:00:00"/>
    <x v="5"/>
    <x v="11"/>
    <s v="O"/>
    <x v="3"/>
    <x v="0"/>
    <x v="110"/>
    <s v=""/>
    <x v="4"/>
    <x v="2"/>
    <x v="4"/>
    <x v="3"/>
    <x v="0"/>
    <d v="1899-12-30T00:00:00"/>
    <d v="1899-12-30T00:00:00"/>
  </r>
  <r>
    <n v="209"/>
    <x v="0"/>
    <x v="24"/>
    <x v="198"/>
    <m/>
    <x v="4"/>
    <s v="CINÉMA DU RÉEL "/>
    <m/>
    <x v="1"/>
    <d v="2011-01-03T00:00:00"/>
    <x v="1"/>
    <d v="2011-12-31T00:00:00"/>
    <d v="2011-09-09T00:00:00"/>
    <x v="1"/>
    <x v="3"/>
    <x v="4"/>
    <x v="21"/>
    <x v="0"/>
    <m/>
    <m/>
    <x v="65"/>
    <m/>
    <m/>
    <x v="0"/>
    <x v="0"/>
    <n v="1000"/>
    <n v="1000"/>
    <x v="1"/>
    <n v="1000"/>
    <x v="2"/>
    <x v="1"/>
    <m/>
    <m/>
    <x v="0"/>
    <m/>
    <x v="0"/>
    <d v="2014-01-23T00:00:00"/>
    <x v="5"/>
    <x v="10"/>
    <s v="S"/>
    <x v="3"/>
    <x v="0"/>
    <x v="110"/>
    <s v=""/>
    <x v="4"/>
    <x v="2"/>
    <x v="4"/>
    <x v="3"/>
    <x v="0"/>
    <d v="1899-12-30T00:00:00"/>
    <d v="1899-12-30T00:00:00"/>
  </r>
  <r>
    <n v="210"/>
    <x v="0"/>
    <x v="11"/>
    <x v="199"/>
    <m/>
    <x v="4"/>
    <s v="INDIE LISBOA"/>
    <m/>
    <x v="1"/>
    <d v="2011-01-03T00:00:00"/>
    <x v="1"/>
    <d v="2011-12-31T00:00:00"/>
    <d v="2011-08-19T00:00:00"/>
    <x v="1"/>
    <x v="3"/>
    <x v="4"/>
    <x v="21"/>
    <x v="0"/>
    <m/>
    <m/>
    <x v="101"/>
    <m/>
    <m/>
    <x v="0"/>
    <x v="0"/>
    <n v="500"/>
    <n v="0"/>
    <x v="1"/>
    <n v="0"/>
    <x v="0"/>
    <x v="0"/>
    <m/>
    <m/>
    <x v="0"/>
    <m/>
    <x v="0"/>
    <d v="2013-04-30T00:00:00"/>
    <x v="5"/>
    <x v="4"/>
    <s v="V"/>
    <x v="3"/>
    <x v="0"/>
    <x v="110"/>
    <s v=""/>
    <x v="4"/>
    <x v="2"/>
    <x v="4"/>
    <x v="3"/>
    <x v="0"/>
    <d v="1899-12-30T00:00:00"/>
    <d v="1899-12-30T00:00:00"/>
  </r>
  <r>
    <n v="211"/>
    <x v="0"/>
    <x v="42"/>
    <x v="200"/>
    <m/>
    <x v="4"/>
    <s v="COMPETIÇÃO ZINEBI"/>
    <m/>
    <x v="1"/>
    <d v="2011-01-03T00:00:00"/>
    <x v="1"/>
    <d v="2011-12-31T00:00:00"/>
    <d v="2011-02-17T00:00:00"/>
    <x v="1"/>
    <x v="3"/>
    <x v="4"/>
    <x v="21"/>
    <x v="0"/>
    <m/>
    <m/>
    <x v="65"/>
    <n v="944.56"/>
    <m/>
    <x v="0"/>
    <x v="0"/>
    <n v="944.56"/>
    <m/>
    <x v="1"/>
    <n v="0"/>
    <x v="0"/>
    <x v="0"/>
    <m/>
    <m/>
    <x v="0"/>
    <m/>
    <x v="0"/>
    <d v="2013-04-30T00:00:00"/>
    <x v="5"/>
    <x v="14"/>
    <s v="Z"/>
    <x v="3"/>
    <x v="0"/>
    <x v="110"/>
    <s v=""/>
    <x v="4"/>
    <x v="2"/>
    <x v="4"/>
    <x v="3"/>
    <x v="0"/>
    <d v="1899-12-30T00:00:00"/>
    <d v="1899-12-30T00:00:00"/>
  </r>
  <r>
    <n v="212"/>
    <x v="0"/>
    <x v="24"/>
    <x v="201"/>
    <m/>
    <x v="4"/>
    <s v="IndieLisboa"/>
    <m/>
    <x v="1"/>
    <d v="2011-01-03T00:00:00"/>
    <x v="1"/>
    <d v="2011-12-31T00:00:00"/>
    <d v="2011-09-09T00:00:00"/>
    <x v="1"/>
    <x v="3"/>
    <x v="4"/>
    <x v="21"/>
    <x v="0"/>
    <m/>
    <m/>
    <x v="103"/>
    <m/>
    <m/>
    <x v="0"/>
    <x v="0"/>
    <n v="300"/>
    <n v="300"/>
    <x v="1"/>
    <n v="300"/>
    <x v="2"/>
    <x v="1"/>
    <m/>
    <m/>
    <x v="0"/>
    <m/>
    <x v="0"/>
    <d v="2013-11-27T00:00:00"/>
    <x v="5"/>
    <x v="10"/>
    <s v="C"/>
    <x v="3"/>
    <x v="0"/>
    <x v="110"/>
    <s v=""/>
    <x v="4"/>
    <x v="2"/>
    <x v="4"/>
    <x v="3"/>
    <x v="0"/>
    <d v="1899-12-30T00:00:00"/>
    <d v="1899-12-30T00:00:00"/>
  </r>
  <r>
    <n v="213"/>
    <x v="0"/>
    <x v="29"/>
    <x v="193"/>
    <m/>
    <x v="4"/>
    <s v="TORONTO FILM FESTIVAL"/>
    <m/>
    <x v="1"/>
    <d v="2011-01-03T00:00:00"/>
    <x v="1"/>
    <d v="2011-12-30T00:00:00"/>
    <d v="2011-08-22T00:00:00"/>
    <x v="1"/>
    <x v="3"/>
    <x v="4"/>
    <x v="21"/>
    <x v="0"/>
    <m/>
    <m/>
    <x v="103"/>
    <m/>
    <m/>
    <x v="0"/>
    <x v="0"/>
    <n v="300"/>
    <n v="0"/>
    <x v="1"/>
    <n v="0"/>
    <x v="0"/>
    <x v="0"/>
    <m/>
    <m/>
    <x v="0"/>
    <m/>
    <x v="0"/>
    <d v="2013-04-30T00:00:00"/>
    <x v="5"/>
    <x v="11"/>
    <s v="D"/>
    <x v="3"/>
    <x v="0"/>
    <x v="110"/>
    <s v=""/>
    <x v="4"/>
    <x v="2"/>
    <x v="4"/>
    <x v="3"/>
    <x v="0"/>
    <d v="1899-12-30T00:00:00"/>
    <d v="1899-12-30T00:00:00"/>
  </r>
  <r>
    <n v="214"/>
    <x v="0"/>
    <x v="29"/>
    <x v="197"/>
    <m/>
    <x v="4"/>
    <s v="CÓPIA INDIELISBOA"/>
    <m/>
    <x v="1"/>
    <d v="2011-01-03T00:00:00"/>
    <x v="1"/>
    <d v="2011-12-31T00:00:00"/>
    <d v="2011-08-19T00:00:00"/>
    <x v="1"/>
    <x v="3"/>
    <x v="4"/>
    <x v="21"/>
    <x v="0"/>
    <m/>
    <m/>
    <x v="103"/>
    <m/>
    <m/>
    <x v="0"/>
    <x v="0"/>
    <n v="300"/>
    <n v="0"/>
    <x v="1"/>
    <n v="0"/>
    <x v="0"/>
    <x v="0"/>
    <m/>
    <m/>
    <x v="0"/>
    <m/>
    <x v="0"/>
    <d v="2013-04-30T00:00:00"/>
    <x v="5"/>
    <x v="11"/>
    <s v="O"/>
    <x v="3"/>
    <x v="0"/>
    <x v="110"/>
    <s v=""/>
    <x v="4"/>
    <x v="2"/>
    <x v="4"/>
    <x v="3"/>
    <x v="0"/>
    <d v="1899-12-30T00:00:00"/>
    <d v="1899-12-30T00:00:00"/>
  </r>
  <r>
    <n v="215"/>
    <x v="1"/>
    <x v="67"/>
    <x v="202"/>
    <m/>
    <x v="4"/>
    <m/>
    <m/>
    <x v="1"/>
    <d v="2011-01-03T00:00:00"/>
    <x v="1"/>
    <d v="2011-02-16T00:00:00"/>
    <d v="2011-07-12T00:00:00"/>
    <x v="1"/>
    <x v="4"/>
    <x v="5"/>
    <x v="22"/>
    <x v="0"/>
    <m/>
    <d v="2011-12-30T00:00:00"/>
    <x v="104"/>
    <m/>
    <m/>
    <x v="0"/>
    <x v="0"/>
    <n v="36000"/>
    <n v="6000"/>
    <x v="1"/>
    <n v="6000"/>
    <x v="9"/>
    <x v="0"/>
    <m/>
    <m/>
    <x v="0"/>
    <m/>
    <x v="0"/>
    <d v="2014-10-06T00:00:00"/>
    <x v="5"/>
    <x v="2"/>
    <s v="C"/>
    <x v="3"/>
    <x v="0"/>
    <x v="110"/>
    <s v=""/>
    <x v="4"/>
    <x v="2"/>
    <x v="4"/>
    <x v="3"/>
    <x v="0"/>
    <d v="1899-12-30T00:00:00"/>
    <d v="1899-12-30T00:00:00"/>
  </r>
  <r>
    <n v="216"/>
    <x v="0"/>
    <x v="72"/>
    <x v="203"/>
    <m/>
    <x v="4"/>
    <m/>
    <m/>
    <x v="1"/>
    <d v="2011-01-03T00:00:00"/>
    <x v="1"/>
    <d v="2011-02-16T00:00:00"/>
    <d v="2011-07-12T00:00:00"/>
    <x v="1"/>
    <x v="4"/>
    <x v="5"/>
    <x v="22"/>
    <x v="0"/>
    <m/>
    <d v="2011-10-27T00:00:00"/>
    <x v="105"/>
    <m/>
    <m/>
    <x v="0"/>
    <x v="0"/>
    <n v="43500"/>
    <m/>
    <x v="1"/>
    <n v="0"/>
    <x v="0"/>
    <x v="0"/>
    <m/>
    <m/>
    <x v="0"/>
    <m/>
    <x v="0"/>
    <d v="2014-10-06T00:00:00"/>
    <x v="5"/>
    <x v="9"/>
    <s v="C"/>
    <x v="3"/>
    <x v="0"/>
    <x v="110"/>
    <s v=""/>
    <x v="4"/>
    <x v="2"/>
    <x v="4"/>
    <x v="3"/>
    <x v="0"/>
    <d v="1899-12-30T00:00:00"/>
    <d v="1899-12-30T00:00:00"/>
  </r>
  <r>
    <n v="217"/>
    <x v="0"/>
    <x v="67"/>
    <x v="204"/>
    <m/>
    <x v="4"/>
    <m/>
    <m/>
    <x v="1"/>
    <d v="2010-01-04T00:00:00"/>
    <x v="3"/>
    <d v="2010-02-18T00:00:00"/>
    <d v="2010-08-02T00:00:00"/>
    <x v="2"/>
    <x v="4"/>
    <x v="5"/>
    <x v="22"/>
    <x v="0"/>
    <m/>
    <d v="2011-01-24T00:00:00"/>
    <x v="106"/>
    <m/>
    <m/>
    <x v="0"/>
    <x v="0"/>
    <n v="13873"/>
    <m/>
    <x v="1"/>
    <n v="0"/>
    <x v="0"/>
    <x v="0"/>
    <m/>
    <m/>
    <x v="0"/>
    <m/>
    <x v="0"/>
    <d v="2012-02-03T00:00:00"/>
    <x v="5"/>
    <x v="2"/>
    <s v="C"/>
    <x v="3"/>
    <x v="0"/>
    <x v="110"/>
    <s v=""/>
    <x v="4"/>
    <x v="2"/>
    <x v="4"/>
    <x v="3"/>
    <x v="0"/>
    <d v="1899-12-30T00:00:00"/>
    <d v="1899-12-30T00:00:00"/>
  </r>
  <r>
    <n v="218"/>
    <x v="0"/>
    <x v="73"/>
    <x v="205"/>
    <m/>
    <x v="4"/>
    <m/>
    <m/>
    <x v="1"/>
    <d v="2011-01-03T00:00:00"/>
    <x v="1"/>
    <d v="2011-02-16T00:00:00"/>
    <d v="2011-07-12T00:00:00"/>
    <x v="1"/>
    <x v="4"/>
    <x v="5"/>
    <x v="22"/>
    <x v="0"/>
    <m/>
    <d v="2011-11-14T00:00:00"/>
    <x v="107"/>
    <m/>
    <m/>
    <x v="0"/>
    <x v="0"/>
    <n v="21000"/>
    <m/>
    <x v="1"/>
    <n v="0"/>
    <x v="0"/>
    <x v="0"/>
    <d v="2013-07-17T00:00:00"/>
    <m/>
    <x v="0"/>
    <m/>
    <x v="0"/>
    <d v="2014-05-06T00:00:00"/>
    <x v="5"/>
    <x v="0"/>
    <s v="E"/>
    <x v="3"/>
    <x v="0"/>
    <x v="110"/>
    <s v=""/>
    <x v="4"/>
    <x v="2"/>
    <x v="4"/>
    <x v="3"/>
    <x v="0"/>
    <d v="2013-07-17T00:00:00"/>
    <d v="1899-12-30T00:00:00"/>
  </r>
  <r>
    <n v="219"/>
    <x v="1"/>
    <x v="88"/>
    <x v="206"/>
    <m/>
    <x v="4"/>
    <m/>
    <m/>
    <x v="1"/>
    <d v="2011-01-03T00:00:00"/>
    <x v="1"/>
    <d v="2011-02-16T00:00:00"/>
    <d v="2011-07-12T00:00:00"/>
    <x v="1"/>
    <x v="4"/>
    <x v="5"/>
    <x v="22"/>
    <x v="0"/>
    <m/>
    <d v="2011-10-13T00:00:00"/>
    <x v="11"/>
    <m/>
    <m/>
    <x v="0"/>
    <x v="0"/>
    <n v="42000"/>
    <n v="1400"/>
    <x v="1"/>
    <n v="1400"/>
    <x v="9"/>
    <x v="0"/>
    <m/>
    <m/>
    <x v="0"/>
    <m/>
    <x v="0"/>
    <d v="2014-05-06T00:00:00"/>
    <x v="5"/>
    <x v="0"/>
    <s v="F"/>
    <x v="3"/>
    <x v="0"/>
    <x v="110"/>
    <s v=""/>
    <x v="4"/>
    <x v="2"/>
    <x v="4"/>
    <x v="3"/>
    <x v="0"/>
    <d v="1899-12-30T00:00:00"/>
    <d v="1899-12-30T00:00:00"/>
  </r>
  <r>
    <n v="220"/>
    <x v="0"/>
    <x v="59"/>
    <x v="207"/>
    <m/>
    <x v="4"/>
    <m/>
    <m/>
    <x v="1"/>
    <d v="2011-01-03T00:00:00"/>
    <x v="1"/>
    <d v="2011-02-16T00:00:00"/>
    <d v="2011-07-12T00:00:00"/>
    <x v="1"/>
    <x v="4"/>
    <x v="5"/>
    <x v="22"/>
    <x v="0"/>
    <m/>
    <m/>
    <x v="108"/>
    <m/>
    <m/>
    <x v="0"/>
    <x v="0"/>
    <n v="13500"/>
    <n v="0"/>
    <x v="1"/>
    <n v="0"/>
    <x v="7"/>
    <x v="0"/>
    <m/>
    <m/>
    <x v="0"/>
    <m/>
    <x v="0"/>
    <d v="2013-01-18T00:00:00"/>
    <x v="5"/>
    <x v="0"/>
    <s v="O"/>
    <x v="3"/>
    <x v="0"/>
    <x v="110"/>
    <s v=""/>
    <x v="4"/>
    <x v="2"/>
    <x v="4"/>
    <x v="3"/>
    <x v="0"/>
    <d v="1899-12-30T00:00:00"/>
    <d v="1899-12-30T00:00:00"/>
  </r>
  <r>
    <n v="221"/>
    <x v="1"/>
    <x v="72"/>
    <x v="208"/>
    <m/>
    <x v="4"/>
    <m/>
    <m/>
    <x v="1"/>
    <d v="2011-01-03T00:00:00"/>
    <x v="1"/>
    <d v="2011-02-16T00:00:00"/>
    <d v="2011-07-12T00:00:00"/>
    <x v="1"/>
    <x v="4"/>
    <x v="5"/>
    <x v="22"/>
    <x v="0"/>
    <m/>
    <d v="2011-11-02T00:00:00"/>
    <x v="109"/>
    <m/>
    <m/>
    <x v="0"/>
    <x v="0"/>
    <n v="46500"/>
    <n v="2882.5"/>
    <x v="1"/>
    <n v="2882.5"/>
    <x v="9"/>
    <x v="0"/>
    <m/>
    <m/>
    <x v="0"/>
    <m/>
    <x v="0"/>
    <d v="2014-11-06T00:00:00"/>
    <x v="5"/>
    <x v="9"/>
    <s v="O"/>
    <x v="3"/>
    <x v="0"/>
    <x v="110"/>
    <s v=""/>
    <x v="4"/>
    <x v="2"/>
    <x v="4"/>
    <x v="3"/>
    <x v="0"/>
    <d v="1899-12-30T00:00:00"/>
    <d v="1899-12-30T00:00:00"/>
  </r>
  <r>
    <n v="222"/>
    <x v="0"/>
    <x v="60"/>
    <x v="209"/>
    <m/>
    <x v="4"/>
    <m/>
    <m/>
    <x v="1"/>
    <d v="2011-01-03T00:00:00"/>
    <x v="1"/>
    <d v="2011-02-16T00:00:00"/>
    <d v="2011-07-12T00:00:00"/>
    <x v="1"/>
    <x v="4"/>
    <x v="5"/>
    <x v="22"/>
    <x v="0"/>
    <m/>
    <d v="2011-11-29T00:00:00"/>
    <x v="110"/>
    <m/>
    <m/>
    <x v="0"/>
    <x v="0"/>
    <n v="49500"/>
    <m/>
    <x v="1"/>
    <n v="0"/>
    <x v="0"/>
    <x v="0"/>
    <m/>
    <m/>
    <x v="0"/>
    <m/>
    <x v="0"/>
    <d v="2014-06-09T00:00:00"/>
    <x v="5"/>
    <x v="2"/>
    <s v="P"/>
    <x v="3"/>
    <x v="0"/>
    <x v="110"/>
    <s v=""/>
    <x v="4"/>
    <x v="2"/>
    <x v="4"/>
    <x v="3"/>
    <x v="0"/>
    <d v="1899-12-30T00:00:00"/>
    <d v="1899-12-30T00:00:00"/>
  </r>
  <r>
    <n v="223"/>
    <x v="0"/>
    <x v="59"/>
    <x v="210"/>
    <m/>
    <x v="4"/>
    <m/>
    <m/>
    <x v="1"/>
    <d v="2011-01-03T00:00:00"/>
    <x v="1"/>
    <d v="2011-02-16T00:00:00"/>
    <d v="2011-07-12T00:00:00"/>
    <x v="1"/>
    <x v="4"/>
    <x v="5"/>
    <x v="22"/>
    <x v="0"/>
    <m/>
    <m/>
    <x v="111"/>
    <m/>
    <m/>
    <x v="0"/>
    <x v="0"/>
    <n v="4500"/>
    <n v="0"/>
    <x v="1"/>
    <n v="0"/>
    <x v="7"/>
    <x v="0"/>
    <m/>
    <m/>
    <x v="0"/>
    <m/>
    <x v="0"/>
    <d v="2013-01-18T00:00:00"/>
    <x v="5"/>
    <x v="0"/>
    <s v="S"/>
    <x v="3"/>
    <x v="0"/>
    <x v="110"/>
    <s v=""/>
    <x v="4"/>
    <x v="2"/>
    <x v="4"/>
    <x v="3"/>
    <x v="0"/>
    <d v="1899-12-30T00:00:00"/>
    <d v="1899-12-30T00:00:00"/>
  </r>
  <r>
    <n v="224"/>
    <x v="0"/>
    <x v="89"/>
    <x v="211"/>
    <m/>
    <x v="4"/>
    <m/>
    <m/>
    <x v="1"/>
    <d v="2011-01-03T00:00:00"/>
    <x v="1"/>
    <d v="2011-02-16T00:00:00"/>
    <d v="2011-07-12T00:00:00"/>
    <x v="1"/>
    <x v="4"/>
    <x v="5"/>
    <x v="22"/>
    <x v="0"/>
    <m/>
    <d v="2011-11-02T00:00:00"/>
    <x v="105"/>
    <n v="43273"/>
    <m/>
    <x v="0"/>
    <x v="0"/>
    <n v="43273"/>
    <m/>
    <x v="1"/>
    <n v="0"/>
    <x v="0"/>
    <x v="0"/>
    <m/>
    <m/>
    <x v="0"/>
    <m/>
    <x v="0"/>
    <d v="2014-05-06T00:00:00"/>
    <x v="5"/>
    <x v="0"/>
    <s v="T"/>
    <x v="3"/>
    <x v="0"/>
    <x v="110"/>
    <s v=""/>
    <x v="4"/>
    <x v="2"/>
    <x v="4"/>
    <x v="3"/>
    <x v="0"/>
    <d v="1899-12-30T00:00:00"/>
    <d v="1899-12-30T00:00:00"/>
  </r>
  <r>
    <n v="225"/>
    <x v="0"/>
    <x v="90"/>
    <x v="212"/>
    <m/>
    <x v="4"/>
    <m/>
    <m/>
    <x v="3"/>
    <m/>
    <x v="8"/>
    <m/>
    <m/>
    <x v="8"/>
    <x v="4"/>
    <x v="5"/>
    <x v="23"/>
    <x v="0"/>
    <m/>
    <d v="2010-08-31T00:00:00"/>
    <x v="112"/>
    <m/>
    <m/>
    <x v="0"/>
    <x v="0"/>
    <n v="11000"/>
    <n v="0"/>
    <x v="1"/>
    <n v="0"/>
    <x v="0"/>
    <x v="0"/>
    <m/>
    <m/>
    <x v="0"/>
    <d v="2012-03-08T00:00:00"/>
    <x v="0"/>
    <d v="2012-12-03T00:00:00"/>
    <x v="5"/>
    <x v="19"/>
    <s v="A"/>
    <x v="0"/>
    <x v="0"/>
    <x v="110"/>
    <s v=""/>
    <x v="4"/>
    <x v="2"/>
    <x v="4"/>
    <x v="3"/>
    <x v="0"/>
    <d v="1899-12-30T00:00:00"/>
    <d v="1899-12-30T00:00:00"/>
  </r>
  <r>
    <n v="226"/>
    <x v="0"/>
    <x v="91"/>
    <x v="213"/>
    <m/>
    <x v="4"/>
    <m/>
    <m/>
    <x v="3"/>
    <m/>
    <x v="8"/>
    <m/>
    <m/>
    <x v="8"/>
    <x v="4"/>
    <x v="5"/>
    <x v="23"/>
    <x v="0"/>
    <m/>
    <d v="2010-08-31T00:00:00"/>
    <x v="113"/>
    <m/>
    <m/>
    <x v="0"/>
    <x v="0"/>
    <n v="8765"/>
    <m/>
    <x v="1"/>
    <n v="0"/>
    <x v="0"/>
    <x v="0"/>
    <m/>
    <m/>
    <x v="0"/>
    <m/>
    <x v="0"/>
    <d v="2012-02-01T00:00:00"/>
    <x v="5"/>
    <x v="14"/>
    <s v="A"/>
    <x v="3"/>
    <x v="0"/>
    <x v="110"/>
    <s v=""/>
    <x v="4"/>
    <x v="2"/>
    <x v="4"/>
    <x v="3"/>
    <x v="0"/>
    <d v="1899-12-30T00:00:00"/>
    <d v="1899-12-30T00:00:00"/>
  </r>
  <r>
    <n v="227"/>
    <x v="0"/>
    <x v="92"/>
    <x v="214"/>
    <m/>
    <x v="4"/>
    <s v="ESCOLA SUPERIOR ARTÍSTICA DO PORTO"/>
    <m/>
    <x v="3"/>
    <m/>
    <x v="8"/>
    <m/>
    <m/>
    <x v="8"/>
    <x v="4"/>
    <x v="5"/>
    <x v="23"/>
    <x v="0"/>
    <m/>
    <d v="2010-12-29T00:00:00"/>
    <x v="114"/>
    <m/>
    <m/>
    <x v="0"/>
    <x v="0"/>
    <n v="6500"/>
    <n v="0"/>
    <x v="1"/>
    <n v="0"/>
    <x v="0"/>
    <x v="0"/>
    <d v="2011-03-21T00:00:00"/>
    <d v="2011-03-27T00:00:00"/>
    <x v="1"/>
    <d v="2011-11-30T00:00:00"/>
    <x v="0"/>
    <d v="2012-10-30T00:00:00"/>
    <x v="2"/>
    <x v="2"/>
    <s v="C"/>
    <x v="2"/>
    <x v="0"/>
    <x v="110"/>
    <s v=""/>
    <x v="4"/>
    <x v="2"/>
    <x v="0"/>
    <x v="1"/>
    <x v="0"/>
    <d v="2011-03-21T00:00:00"/>
    <d v="2011-03-27T00:00:00"/>
  </r>
  <r>
    <n v="228"/>
    <x v="0"/>
    <x v="93"/>
    <x v="215"/>
    <m/>
    <x v="4"/>
    <m/>
    <m/>
    <x v="3"/>
    <m/>
    <x v="8"/>
    <m/>
    <m/>
    <x v="8"/>
    <x v="4"/>
    <x v="5"/>
    <x v="23"/>
    <x v="0"/>
    <m/>
    <d v="2010-08-23T00:00:00"/>
    <x v="115"/>
    <m/>
    <m/>
    <x v="0"/>
    <x v="0"/>
    <n v="7250"/>
    <n v="0"/>
    <x v="1"/>
    <n v="0"/>
    <x v="0"/>
    <x v="0"/>
    <m/>
    <m/>
    <x v="0"/>
    <m/>
    <x v="0"/>
    <d v="2013-01-09T00:00:00"/>
    <x v="5"/>
    <x v="14"/>
    <s v="V"/>
    <x v="3"/>
    <x v="0"/>
    <x v="110"/>
    <s v=""/>
    <x v="4"/>
    <x v="2"/>
    <x v="4"/>
    <x v="3"/>
    <x v="0"/>
    <d v="1899-12-30T00:00:00"/>
    <d v="1899-12-30T00:00:00"/>
  </r>
  <r>
    <n v="229"/>
    <x v="0"/>
    <x v="92"/>
    <x v="216"/>
    <m/>
    <x v="4"/>
    <m/>
    <m/>
    <x v="3"/>
    <m/>
    <x v="8"/>
    <m/>
    <m/>
    <x v="8"/>
    <x v="4"/>
    <x v="5"/>
    <x v="23"/>
    <x v="0"/>
    <m/>
    <d v="2011-06-14T00:00:00"/>
    <x v="116"/>
    <m/>
    <m/>
    <x v="0"/>
    <x v="0"/>
    <n v="30000"/>
    <m/>
    <x v="1"/>
    <n v="0"/>
    <x v="0"/>
    <x v="0"/>
    <m/>
    <m/>
    <x v="0"/>
    <m/>
    <x v="0"/>
    <d v="2014-11-06T00:00:00"/>
    <x v="5"/>
    <x v="2"/>
    <s v="P"/>
    <x v="3"/>
    <x v="0"/>
    <x v="110"/>
    <s v=""/>
    <x v="4"/>
    <x v="2"/>
    <x v="4"/>
    <x v="3"/>
    <x v="0"/>
    <d v="1899-12-30T00:00:00"/>
    <d v="1899-12-30T00:00:00"/>
  </r>
  <r>
    <n v="230"/>
    <x v="1"/>
    <x v="94"/>
    <x v="217"/>
    <m/>
    <x v="4"/>
    <m/>
    <m/>
    <x v="3"/>
    <m/>
    <x v="8"/>
    <m/>
    <m/>
    <x v="8"/>
    <x v="4"/>
    <x v="5"/>
    <x v="23"/>
    <x v="0"/>
    <m/>
    <d v="2011-09-30T00:00:00"/>
    <x v="116"/>
    <m/>
    <m/>
    <x v="0"/>
    <x v="0"/>
    <n v="30000"/>
    <n v="15000"/>
    <x v="1"/>
    <n v="15000"/>
    <x v="9"/>
    <x v="0"/>
    <m/>
    <m/>
    <x v="0"/>
    <m/>
    <x v="0"/>
    <d v="2014-01-23T00:00:00"/>
    <x v="5"/>
    <x v="19"/>
    <s v="P"/>
    <x v="3"/>
    <x v="0"/>
    <x v="110"/>
    <s v=""/>
    <x v="4"/>
    <x v="2"/>
    <x v="4"/>
    <x v="3"/>
    <x v="0"/>
    <d v="1899-12-30T00:00:00"/>
    <d v="1899-12-30T00:00:00"/>
  </r>
  <r>
    <n v="231"/>
    <x v="0"/>
    <x v="91"/>
    <x v="218"/>
    <m/>
    <x v="4"/>
    <m/>
    <m/>
    <x v="3"/>
    <m/>
    <x v="8"/>
    <m/>
    <d v="2011-01-05T00:00:00"/>
    <x v="1"/>
    <x v="4"/>
    <x v="5"/>
    <x v="23"/>
    <x v="0"/>
    <m/>
    <d v="2011-09-30T00:00:00"/>
    <x v="116"/>
    <m/>
    <m/>
    <x v="0"/>
    <x v="0"/>
    <n v="30000"/>
    <m/>
    <x v="1"/>
    <n v="0"/>
    <x v="0"/>
    <x v="0"/>
    <m/>
    <m/>
    <x v="0"/>
    <m/>
    <x v="0"/>
    <d v="2014-01-20T00:00:00"/>
    <x v="5"/>
    <x v="14"/>
    <s v="P"/>
    <x v="3"/>
    <x v="0"/>
    <x v="110"/>
    <s v=""/>
    <x v="4"/>
    <x v="2"/>
    <x v="4"/>
    <x v="3"/>
    <x v="0"/>
    <d v="1899-12-30T00:00:00"/>
    <d v="1899-12-30T00:00:00"/>
  </r>
  <r>
    <n v="232"/>
    <x v="0"/>
    <x v="93"/>
    <x v="219"/>
    <m/>
    <x v="4"/>
    <m/>
    <m/>
    <x v="3"/>
    <m/>
    <x v="8"/>
    <m/>
    <m/>
    <x v="8"/>
    <x v="4"/>
    <x v="5"/>
    <x v="23"/>
    <x v="0"/>
    <m/>
    <d v="2011-11-30T00:00:00"/>
    <x v="116"/>
    <m/>
    <m/>
    <x v="0"/>
    <x v="0"/>
    <n v="30000"/>
    <m/>
    <x v="1"/>
    <n v="0"/>
    <x v="0"/>
    <x v="0"/>
    <m/>
    <m/>
    <x v="0"/>
    <m/>
    <x v="0"/>
    <d v="2014-06-09T00:00:00"/>
    <x v="5"/>
    <x v="14"/>
    <s v="P"/>
    <x v="3"/>
    <x v="0"/>
    <x v="110"/>
    <s v=""/>
    <x v="4"/>
    <x v="2"/>
    <x v="4"/>
    <x v="3"/>
    <x v="0"/>
    <d v="1899-12-30T00:00:00"/>
    <d v="1899-12-30T00:00:00"/>
  </r>
  <r>
    <n v="233"/>
    <x v="0"/>
    <x v="95"/>
    <x v="220"/>
    <m/>
    <x v="4"/>
    <m/>
    <m/>
    <x v="3"/>
    <m/>
    <x v="8"/>
    <m/>
    <m/>
    <x v="8"/>
    <x v="4"/>
    <x v="5"/>
    <x v="23"/>
    <x v="0"/>
    <m/>
    <d v="2011-03-21T00:00:00"/>
    <x v="116"/>
    <m/>
    <m/>
    <x v="0"/>
    <x v="0"/>
    <n v="30000"/>
    <m/>
    <x v="1"/>
    <n v="0"/>
    <x v="0"/>
    <x v="0"/>
    <m/>
    <m/>
    <x v="0"/>
    <m/>
    <x v="0"/>
    <d v="2014-08-06T00:00:00"/>
    <x v="5"/>
    <x v="2"/>
    <s v="P"/>
    <x v="3"/>
    <x v="0"/>
    <x v="110"/>
    <s v=""/>
    <x v="4"/>
    <x v="2"/>
    <x v="4"/>
    <x v="3"/>
    <x v="0"/>
    <d v="1899-12-30T00:00:00"/>
    <d v="1899-12-30T00:00:00"/>
  </r>
  <r>
    <n v="234"/>
    <x v="0"/>
    <x v="96"/>
    <x v="221"/>
    <m/>
    <x v="4"/>
    <m/>
    <m/>
    <x v="3"/>
    <m/>
    <x v="8"/>
    <m/>
    <m/>
    <x v="8"/>
    <x v="4"/>
    <x v="5"/>
    <x v="23"/>
    <x v="0"/>
    <m/>
    <d v="2011-09-30T00:00:00"/>
    <x v="116"/>
    <n v="28412.639999999999"/>
    <m/>
    <x v="0"/>
    <x v="0"/>
    <n v="28412.639999999999"/>
    <m/>
    <x v="1"/>
    <n v="0"/>
    <x v="0"/>
    <x v="0"/>
    <m/>
    <m/>
    <x v="0"/>
    <m/>
    <x v="0"/>
    <d v="2014-07-07T00:00:00"/>
    <x v="5"/>
    <x v="20"/>
    <s v="P"/>
    <x v="3"/>
    <x v="0"/>
    <x v="110"/>
    <s v=""/>
    <x v="4"/>
    <x v="2"/>
    <x v="4"/>
    <x v="3"/>
    <x v="0"/>
    <d v="1899-12-30T00:00:00"/>
    <d v="1899-12-30T00:00:00"/>
  </r>
  <r>
    <n v="235"/>
    <x v="1"/>
    <x v="90"/>
    <x v="222"/>
    <m/>
    <x v="4"/>
    <m/>
    <m/>
    <x v="3"/>
    <m/>
    <x v="8"/>
    <m/>
    <m/>
    <x v="8"/>
    <x v="4"/>
    <x v="5"/>
    <x v="23"/>
    <x v="0"/>
    <m/>
    <d v="2011-08-23T00:00:00"/>
    <x v="116"/>
    <m/>
    <m/>
    <x v="0"/>
    <x v="0"/>
    <n v="30000"/>
    <n v="5000"/>
    <x v="1"/>
    <n v="5000"/>
    <x v="9"/>
    <x v="0"/>
    <m/>
    <m/>
    <x v="0"/>
    <m/>
    <x v="0"/>
    <d v="2014-05-06T00:00:00"/>
    <x v="5"/>
    <x v="19"/>
    <s v="P"/>
    <x v="3"/>
    <x v="0"/>
    <x v="110"/>
    <s v=""/>
    <x v="4"/>
    <x v="2"/>
    <x v="4"/>
    <x v="3"/>
    <x v="0"/>
    <d v="1899-12-30T00:00:00"/>
    <d v="1899-12-30T00:00:00"/>
  </r>
  <r>
    <n v="236"/>
    <x v="0"/>
    <x v="97"/>
    <x v="223"/>
    <m/>
    <x v="4"/>
    <m/>
    <m/>
    <x v="3"/>
    <m/>
    <x v="8"/>
    <m/>
    <m/>
    <x v="8"/>
    <x v="4"/>
    <x v="5"/>
    <x v="23"/>
    <x v="0"/>
    <m/>
    <d v="2008-12-16T00:00:00"/>
    <x v="9"/>
    <n v="22332.29"/>
    <m/>
    <x v="0"/>
    <x v="0"/>
    <n v="22332.29"/>
    <m/>
    <x v="1"/>
    <n v="0"/>
    <x v="7"/>
    <x v="0"/>
    <m/>
    <m/>
    <x v="0"/>
    <m/>
    <x v="0"/>
    <d v="2013-01-18T00:00:00"/>
    <x v="5"/>
    <x v="14"/>
    <s v="P"/>
    <x v="3"/>
    <x v="0"/>
    <x v="110"/>
    <s v=""/>
    <x v="4"/>
    <x v="2"/>
    <x v="4"/>
    <x v="3"/>
    <x v="0"/>
    <d v="1899-12-30T00:00:00"/>
    <d v="1899-12-30T00:00:00"/>
  </r>
  <r>
    <n v="237"/>
    <x v="0"/>
    <x v="98"/>
    <x v="224"/>
    <m/>
    <x v="4"/>
    <m/>
    <m/>
    <x v="3"/>
    <m/>
    <x v="8"/>
    <m/>
    <m/>
    <x v="8"/>
    <x v="4"/>
    <x v="6"/>
    <x v="24"/>
    <x v="0"/>
    <m/>
    <d v="2009-04-22T00:00:00"/>
    <x v="117"/>
    <m/>
    <m/>
    <x v="0"/>
    <x v="0"/>
    <n v="63000"/>
    <m/>
    <x v="1"/>
    <n v="0"/>
    <x v="0"/>
    <x v="0"/>
    <m/>
    <m/>
    <x v="0"/>
    <m/>
    <x v="0"/>
    <d v="2012-07-02T00:00:00"/>
    <x v="5"/>
    <x v="2"/>
    <s v="C"/>
    <x v="3"/>
    <x v="0"/>
    <x v="110"/>
    <s v=""/>
    <x v="4"/>
    <x v="2"/>
    <x v="4"/>
    <x v="3"/>
    <x v="0"/>
    <d v="1899-12-30T00:00:00"/>
    <d v="1899-12-30T00:00:00"/>
  </r>
  <r>
    <n v="238"/>
    <x v="0"/>
    <x v="78"/>
    <x v="225"/>
    <m/>
    <x v="4"/>
    <m/>
    <m/>
    <x v="3"/>
    <m/>
    <x v="8"/>
    <m/>
    <m/>
    <x v="8"/>
    <x v="4"/>
    <x v="6"/>
    <x v="24"/>
    <x v="0"/>
    <m/>
    <d v="2009-05-14T00:00:00"/>
    <x v="118"/>
    <m/>
    <m/>
    <x v="0"/>
    <x v="0"/>
    <n v="60461.25"/>
    <n v="0"/>
    <x v="1"/>
    <n v="0"/>
    <x v="0"/>
    <x v="0"/>
    <m/>
    <m/>
    <x v="0"/>
    <m/>
    <x v="0"/>
    <d v="2012-10-30T00:00:00"/>
    <x v="5"/>
    <x v="2"/>
    <s v="A"/>
    <x v="3"/>
    <x v="0"/>
    <x v="110"/>
    <s v=""/>
    <x v="4"/>
    <x v="2"/>
    <x v="4"/>
    <x v="3"/>
    <x v="0"/>
    <d v="1899-12-30T00:00:00"/>
    <d v="1899-12-30T00:00:00"/>
  </r>
  <r>
    <n v="239"/>
    <x v="0"/>
    <x v="79"/>
    <x v="226"/>
    <m/>
    <x v="4"/>
    <m/>
    <m/>
    <x v="3"/>
    <m/>
    <x v="8"/>
    <m/>
    <m/>
    <x v="8"/>
    <x v="4"/>
    <x v="6"/>
    <x v="24"/>
    <x v="0"/>
    <m/>
    <d v="2009-04-08T00:00:00"/>
    <x v="119"/>
    <m/>
    <m/>
    <x v="0"/>
    <x v="0"/>
    <n v="85500"/>
    <m/>
    <x v="1"/>
    <n v="0"/>
    <x v="0"/>
    <x v="0"/>
    <m/>
    <m/>
    <x v="0"/>
    <m/>
    <x v="0"/>
    <d v="2012-05-03T00:00:00"/>
    <x v="5"/>
    <x v="0"/>
    <s v="A"/>
    <x v="3"/>
    <x v="0"/>
    <x v="110"/>
    <s v=""/>
    <x v="4"/>
    <x v="2"/>
    <x v="4"/>
    <x v="3"/>
    <x v="0"/>
    <d v="1899-12-30T00:00:00"/>
    <d v="1899-12-30T00:00:00"/>
  </r>
  <r>
    <n v="240"/>
    <x v="0"/>
    <x v="99"/>
    <x v="227"/>
    <m/>
    <x v="4"/>
    <m/>
    <m/>
    <x v="3"/>
    <m/>
    <x v="8"/>
    <m/>
    <m/>
    <x v="8"/>
    <x v="4"/>
    <x v="6"/>
    <x v="24"/>
    <x v="0"/>
    <m/>
    <d v="2011-12-12T00:00:00"/>
    <x v="120"/>
    <m/>
    <m/>
    <x v="0"/>
    <x v="0"/>
    <n v="11274.27"/>
    <m/>
    <x v="1"/>
    <n v="0"/>
    <x v="0"/>
    <x v="0"/>
    <m/>
    <m/>
    <x v="0"/>
    <m/>
    <x v="0"/>
    <d v="2012-01-31T00:00:00"/>
    <x v="5"/>
    <x v="4"/>
    <s v="A"/>
    <x v="3"/>
    <x v="0"/>
    <x v="110"/>
    <s v=""/>
    <x v="4"/>
    <x v="2"/>
    <x v="4"/>
    <x v="3"/>
    <x v="0"/>
    <d v="1899-12-30T00:00:00"/>
    <d v="1899-12-30T00:00:00"/>
  </r>
  <r>
    <n v="241"/>
    <x v="0"/>
    <x v="100"/>
    <x v="228"/>
    <m/>
    <x v="4"/>
    <m/>
    <m/>
    <x v="3"/>
    <m/>
    <x v="8"/>
    <m/>
    <m/>
    <x v="9"/>
    <x v="4"/>
    <x v="6"/>
    <x v="24"/>
    <x v="0"/>
    <m/>
    <d v="2011-06-08T00:00:00"/>
    <x v="121"/>
    <m/>
    <m/>
    <x v="0"/>
    <x v="0"/>
    <n v="53500"/>
    <n v="0"/>
    <x v="1"/>
    <n v="0"/>
    <x v="0"/>
    <x v="0"/>
    <m/>
    <m/>
    <x v="0"/>
    <m/>
    <x v="0"/>
    <d v="2013-01-09T00:00:00"/>
    <x v="5"/>
    <x v="0"/>
    <s v="P"/>
    <x v="3"/>
    <x v="0"/>
    <x v="110"/>
    <s v=""/>
    <x v="4"/>
    <x v="2"/>
    <x v="4"/>
    <x v="3"/>
    <x v="0"/>
    <d v="1899-12-30T00:00:00"/>
    <d v="1899-12-30T00:00:00"/>
  </r>
  <r>
    <n v="242"/>
    <x v="0"/>
    <x v="23"/>
    <x v="104"/>
    <m/>
    <x v="4"/>
    <s v="ROTTERDAM FILM FESTIVAL"/>
    <m/>
    <x v="1"/>
    <d v="2011-01-03T00:00:00"/>
    <x v="1"/>
    <d v="2011-12-31T00:00:00"/>
    <d v="2011-12-30T00:00:00"/>
    <x v="1"/>
    <x v="3"/>
    <x v="4"/>
    <x v="21"/>
    <x v="0"/>
    <m/>
    <m/>
    <x v="65"/>
    <m/>
    <m/>
    <x v="0"/>
    <x v="0"/>
    <n v="1000"/>
    <n v="0"/>
    <x v="1"/>
    <n v="0"/>
    <x v="0"/>
    <x v="0"/>
    <m/>
    <m/>
    <x v="0"/>
    <m/>
    <x v="0"/>
    <d v="2013-04-30T00:00:00"/>
    <x v="5"/>
    <x v="9"/>
    <s v="A"/>
    <x v="3"/>
    <x v="0"/>
    <x v="110"/>
    <s v=""/>
    <x v="4"/>
    <x v="2"/>
    <x v="4"/>
    <x v="3"/>
    <x v="0"/>
    <d v="1899-12-30T00:00:00"/>
    <d v="1899-12-30T00:00:00"/>
  </r>
  <r>
    <n v="243"/>
    <x v="0"/>
    <x v="42"/>
    <x v="229"/>
    <m/>
    <x v="4"/>
    <m/>
    <m/>
    <x v="1"/>
    <d v="2011-01-03T00:00:00"/>
    <x v="1"/>
    <d v="2011-12-31T00:00:00"/>
    <d v="2011-12-29T00:00:00"/>
    <x v="1"/>
    <x v="1"/>
    <x v="2"/>
    <x v="13"/>
    <x v="0"/>
    <m/>
    <m/>
    <x v="3"/>
    <m/>
    <m/>
    <x v="0"/>
    <x v="0"/>
    <n v="20000"/>
    <n v="0"/>
    <x v="1"/>
    <n v="0"/>
    <x v="0"/>
    <x v="0"/>
    <m/>
    <m/>
    <x v="0"/>
    <m/>
    <x v="0"/>
    <d v="2013-04-23T00:00:00"/>
    <x v="5"/>
    <x v="14"/>
    <s v="F"/>
    <x v="3"/>
    <x v="0"/>
    <x v="110"/>
    <s v=""/>
    <x v="4"/>
    <x v="2"/>
    <x v="4"/>
    <x v="3"/>
    <x v="0"/>
    <d v="1899-12-30T00:00:00"/>
    <d v="1899-12-30T00:00:00"/>
  </r>
  <r>
    <n v="244"/>
    <x v="0"/>
    <x v="42"/>
    <x v="230"/>
    <m/>
    <x v="4"/>
    <s v="FESTIVAL DO RIO 2011"/>
    <m/>
    <x v="1"/>
    <d v="2011-01-03T00:00:00"/>
    <x v="1"/>
    <d v="2011-12-31T00:00:00"/>
    <d v="2011-10-10T00:00:00"/>
    <x v="1"/>
    <x v="3"/>
    <x v="4"/>
    <x v="21"/>
    <x v="0"/>
    <m/>
    <m/>
    <x v="49"/>
    <m/>
    <m/>
    <x v="0"/>
    <x v="0"/>
    <n v="2000"/>
    <m/>
    <x v="1"/>
    <n v="0"/>
    <x v="0"/>
    <x v="0"/>
    <m/>
    <m/>
    <x v="0"/>
    <m/>
    <x v="0"/>
    <d v="2013-04-30T00:00:00"/>
    <x v="5"/>
    <x v="14"/>
    <s v="Q"/>
    <x v="3"/>
    <x v="0"/>
    <x v="110"/>
    <s v=""/>
    <x v="4"/>
    <x v="2"/>
    <x v="4"/>
    <x v="3"/>
    <x v="0"/>
    <d v="1899-12-30T00:00:00"/>
    <d v="1899-12-30T00:00:00"/>
  </r>
  <r>
    <n v="245"/>
    <x v="0"/>
    <x v="101"/>
    <x v="231"/>
    <m/>
    <x v="4"/>
    <m/>
    <m/>
    <x v="1"/>
    <d v="2011-01-03T00:00:00"/>
    <x v="1"/>
    <d v="2011-12-31T00:00:00"/>
    <d v="2011-11-04T00:00:00"/>
    <x v="1"/>
    <x v="1"/>
    <x v="2"/>
    <x v="13"/>
    <x v="0"/>
    <m/>
    <d v="2011-11-04T00:00:00"/>
    <x v="3"/>
    <n v="19720.7"/>
    <m/>
    <x v="0"/>
    <x v="0"/>
    <n v="19720.7"/>
    <n v="0"/>
    <x v="1"/>
    <n v="0"/>
    <x v="0"/>
    <x v="0"/>
    <m/>
    <m/>
    <x v="0"/>
    <m/>
    <x v="0"/>
    <d v="2013-01-09T00:00:00"/>
    <x v="5"/>
    <x v="0"/>
    <s v="C"/>
    <x v="3"/>
    <x v="0"/>
    <x v="110"/>
    <s v=""/>
    <x v="4"/>
    <x v="2"/>
    <x v="4"/>
    <x v="3"/>
    <x v="0"/>
    <d v="1899-12-30T00:00:00"/>
    <d v="1899-12-30T00:00:00"/>
  </r>
  <r>
    <n v="246"/>
    <x v="0"/>
    <x v="6"/>
    <x v="232"/>
    <m/>
    <x v="4"/>
    <m/>
    <m/>
    <x v="1"/>
    <d v="2011-01-03T00:00:00"/>
    <x v="1"/>
    <d v="2011-12-31T00:00:00"/>
    <d v="2011-12-29T00:00:00"/>
    <x v="1"/>
    <x v="1"/>
    <x v="2"/>
    <x v="13"/>
    <x v="0"/>
    <m/>
    <m/>
    <x v="65"/>
    <m/>
    <m/>
    <x v="0"/>
    <x v="0"/>
    <n v="1000"/>
    <n v="0"/>
    <x v="1"/>
    <n v="0"/>
    <x v="0"/>
    <x v="0"/>
    <m/>
    <m/>
    <x v="0"/>
    <m/>
    <x v="0"/>
    <d v="2013-04-23T00:00:00"/>
    <x v="5"/>
    <x v="2"/>
    <s v="E"/>
    <x v="3"/>
    <x v="0"/>
    <x v="110"/>
    <s v=""/>
    <x v="4"/>
    <x v="2"/>
    <x v="4"/>
    <x v="3"/>
    <x v="0"/>
    <d v="1899-12-30T00:00:00"/>
    <d v="1899-12-30T00:00:00"/>
  </r>
  <r>
    <n v="247"/>
    <x v="0"/>
    <x v="11"/>
    <x v="199"/>
    <m/>
    <x v="4"/>
    <m/>
    <m/>
    <x v="1"/>
    <d v="2011-01-03T00:00:00"/>
    <x v="1"/>
    <d v="2011-12-31T00:00:00"/>
    <d v="2011-08-19T00:00:00"/>
    <x v="1"/>
    <x v="1"/>
    <x v="2"/>
    <x v="13"/>
    <x v="0"/>
    <m/>
    <m/>
    <x v="122"/>
    <m/>
    <m/>
    <x v="0"/>
    <x v="0"/>
    <n v="5000"/>
    <n v="0"/>
    <x v="1"/>
    <n v="0"/>
    <x v="0"/>
    <x v="0"/>
    <m/>
    <m/>
    <x v="0"/>
    <m/>
    <x v="0"/>
    <d v="2013-04-23T00:00:00"/>
    <x v="5"/>
    <x v="4"/>
    <s v="V"/>
    <x v="3"/>
    <x v="0"/>
    <x v="110"/>
    <s v=""/>
    <x v="4"/>
    <x v="2"/>
    <x v="4"/>
    <x v="3"/>
    <x v="0"/>
    <d v="1899-12-30T00:00:00"/>
    <d v="1899-12-30T00:00:00"/>
  </r>
  <r>
    <n v="248"/>
    <x v="0"/>
    <x v="44"/>
    <x v="233"/>
    <n v="11564"/>
    <x v="104"/>
    <m/>
    <m/>
    <x v="1"/>
    <d v="2003-08-15T00:00:00"/>
    <x v="9"/>
    <m/>
    <d v="2004-04-12T00:00:00"/>
    <x v="5"/>
    <x v="0"/>
    <x v="0"/>
    <x v="1"/>
    <x v="0"/>
    <m/>
    <d v="2004-05-10T00:00:00"/>
    <x v="40"/>
    <m/>
    <n v="18750"/>
    <x v="0"/>
    <x v="0"/>
    <n v="143750"/>
    <m/>
    <x v="1"/>
    <n v="0"/>
    <x v="0"/>
    <x v="0"/>
    <m/>
    <m/>
    <x v="0"/>
    <d v="2011-10-10T00:00:00"/>
    <x v="0"/>
    <d v="2013-01-28T00:00:00"/>
    <x v="1"/>
    <x v="16"/>
    <s v="5"/>
    <x v="2"/>
    <x v="0"/>
    <x v="117"/>
    <s v="Igor Pitta Simões"/>
    <x v="83"/>
    <x v="5"/>
    <x v="1"/>
    <x v="1"/>
    <x v="0"/>
    <d v="1899-12-30T00:00:00"/>
    <d v="1899-12-30T00:00:00"/>
  </r>
  <r>
    <n v="249"/>
    <x v="0"/>
    <x v="102"/>
    <x v="234"/>
    <n v="11568"/>
    <x v="105"/>
    <m/>
    <m/>
    <x v="1"/>
    <d v="2005-07-01T00:00:00"/>
    <x v="6"/>
    <m/>
    <d v="2006-04-24T00:00:00"/>
    <x v="4"/>
    <x v="0"/>
    <x v="0"/>
    <x v="3"/>
    <x v="0"/>
    <d v="2006-11-20T00:00:00"/>
    <d v="2008-05-05T00:00:00"/>
    <x v="9"/>
    <m/>
    <n v="6750"/>
    <x v="0"/>
    <x v="0"/>
    <n v="51750"/>
    <m/>
    <x v="1"/>
    <n v="0"/>
    <x v="0"/>
    <x v="0"/>
    <d v="2009-02-27T00:00:00"/>
    <d v="2010-05-30T00:00:00"/>
    <x v="0"/>
    <d v="2011-04-29T00:00:00"/>
    <x v="0"/>
    <d v="2013-01-28T00:00:00"/>
    <x v="2"/>
    <x v="6"/>
    <s v="A"/>
    <x v="2"/>
    <x v="0"/>
    <x v="118"/>
    <s v="João Nisa"/>
    <x v="84"/>
    <x v="5"/>
    <x v="0"/>
    <x v="1"/>
    <x v="0"/>
    <d v="2009-02-27T00:00:00"/>
    <d v="2010-05-30T00:00:00"/>
  </r>
  <r>
    <n v="250"/>
    <x v="0"/>
    <x v="6"/>
    <x v="235"/>
    <n v="11086"/>
    <x v="106"/>
    <m/>
    <m/>
    <x v="2"/>
    <d v="2009-01-02T00:00:00"/>
    <x v="0"/>
    <d v="2009-11-11T00:00:00"/>
    <d v="2009-03-26T00:00:00"/>
    <x v="0"/>
    <x v="0"/>
    <x v="0"/>
    <x v="0"/>
    <x v="0"/>
    <m/>
    <d v="2010-04-20T00:00:00"/>
    <x v="123"/>
    <m/>
    <n v="114000"/>
    <x v="0"/>
    <x v="0"/>
    <n v="684000"/>
    <m/>
    <x v="1"/>
    <n v="0"/>
    <x v="0"/>
    <x v="0"/>
    <d v="2010-10-04T00:00:00"/>
    <d v="2010-11-06T00:00:00"/>
    <x v="1"/>
    <d v="2011-06-08T00:00:00"/>
    <x v="2"/>
    <d v="2013-04-19T00:00:00"/>
    <x v="0"/>
    <x v="2"/>
    <s v="A"/>
    <x v="2"/>
    <x v="0"/>
    <x v="119"/>
    <s v="Rita Azevedo Gomes"/>
    <x v="21"/>
    <x v="5"/>
    <x v="0"/>
    <x v="0"/>
    <x v="0"/>
    <d v="2010-10-04T00:00:00"/>
    <d v="2010-11-06T00:00:00"/>
  </r>
  <r>
    <n v="251"/>
    <x v="0"/>
    <x v="103"/>
    <x v="236"/>
    <n v="11763"/>
    <x v="107"/>
    <m/>
    <m/>
    <x v="1"/>
    <d v="2004-09-17T00:00:00"/>
    <x v="5"/>
    <m/>
    <d v="2005-05-20T00:00:00"/>
    <x v="6"/>
    <x v="0"/>
    <x v="0"/>
    <x v="3"/>
    <x v="0"/>
    <m/>
    <d v="2006-01-31T00:00:00"/>
    <x v="9"/>
    <m/>
    <n v="0"/>
    <x v="0"/>
    <x v="0"/>
    <n v="45000"/>
    <m/>
    <x v="1"/>
    <n v="0"/>
    <x v="0"/>
    <x v="0"/>
    <m/>
    <m/>
    <x v="0"/>
    <d v="2006-07-12T00:00:00"/>
    <x v="0"/>
    <d v="2013-01-28T00:00:00"/>
    <x v="2"/>
    <x v="12"/>
    <s v="L"/>
    <x v="8"/>
    <x v="0"/>
    <x v="120"/>
    <s v="Edgar Feldman"/>
    <x v="85"/>
    <x v="8"/>
    <x v="0"/>
    <x v="1"/>
    <x v="0"/>
    <d v="1899-12-30T00:00:00"/>
    <d v="1899-12-30T00:00:00"/>
  </r>
  <r>
    <n v="252"/>
    <x v="0"/>
    <x v="10"/>
    <x v="237"/>
    <n v="6743"/>
    <x v="108"/>
    <m/>
    <s v="RIFA-ME"/>
    <x v="1"/>
    <d v="2005-06-17T00:00:00"/>
    <x v="6"/>
    <m/>
    <d v="2005-10-27T00:00:00"/>
    <x v="6"/>
    <x v="0"/>
    <x v="0"/>
    <x v="6"/>
    <x v="0"/>
    <m/>
    <d v="2006-02-16T00:00:00"/>
    <x v="124"/>
    <m/>
    <m/>
    <x v="0"/>
    <x v="0"/>
    <n v="118285.02"/>
    <m/>
    <x v="1"/>
    <n v="0"/>
    <x v="0"/>
    <x v="0"/>
    <m/>
    <m/>
    <x v="0"/>
    <d v="2006-12-29T00:00:00"/>
    <x v="0"/>
    <d v="2013-01-28T00:00:00"/>
    <x v="0"/>
    <x v="4"/>
    <s v="O"/>
    <x v="8"/>
    <x v="0"/>
    <x v="121"/>
    <s v="Karim Ainouz"/>
    <x v="46"/>
    <x v="9"/>
    <x v="0"/>
    <x v="0"/>
    <x v="0"/>
    <d v="1899-12-30T00:00:00"/>
    <d v="1899-12-30T00:00:00"/>
  </r>
  <r>
    <n v="253"/>
    <x v="0"/>
    <x v="41"/>
    <x v="238"/>
    <n v="11328"/>
    <x v="109"/>
    <m/>
    <s v="A VIAGEM A LISBOA"/>
    <x v="2"/>
    <d v="2006-11-15T00:00:00"/>
    <x v="4"/>
    <m/>
    <d v="2007-05-10T00:00:00"/>
    <x v="3"/>
    <x v="0"/>
    <x v="0"/>
    <x v="0"/>
    <x v="0"/>
    <m/>
    <d v="2007-06-20T00:00:00"/>
    <x v="23"/>
    <m/>
    <n v="97500"/>
    <x v="0"/>
    <x v="0"/>
    <n v="747500"/>
    <m/>
    <x v="1"/>
    <n v="0"/>
    <x v="0"/>
    <x v="0"/>
    <d v="2009-10-06T00:00:00"/>
    <d v="2009-12-02T00:00:00"/>
    <x v="1"/>
    <d v="2011-04-21T00:00:00"/>
    <x v="0"/>
    <d v="2013-09-03T00:00:00"/>
    <x v="0"/>
    <x v="13"/>
    <s v="O"/>
    <x v="2"/>
    <x v="0"/>
    <x v="122"/>
    <s v="Francisco Manso, João Correa"/>
    <x v="46"/>
    <x v="5"/>
    <x v="0"/>
    <x v="0"/>
    <x v="0"/>
    <d v="2009-10-06T00:00:00"/>
    <d v="2009-12-02T00:00:00"/>
  </r>
  <r>
    <n v="254"/>
    <x v="0"/>
    <x v="0"/>
    <x v="239"/>
    <n v="11764"/>
    <x v="110"/>
    <m/>
    <s v="O JOGO DE REIS"/>
    <x v="1"/>
    <d v="2008-01-02T00:00:00"/>
    <x v="2"/>
    <d v="2008-09-02T00:00:00"/>
    <d v="2009-04-28T00:00:00"/>
    <x v="0"/>
    <x v="0"/>
    <x v="0"/>
    <x v="3"/>
    <x v="0"/>
    <m/>
    <d v="2009-05-18T00:00:00"/>
    <x v="11"/>
    <m/>
    <n v="8400"/>
    <x v="0"/>
    <x v="0"/>
    <n v="50400"/>
    <m/>
    <x v="1"/>
    <n v="0"/>
    <x v="0"/>
    <x v="0"/>
    <m/>
    <m/>
    <x v="0"/>
    <d v="2010-03-12T00:00:00"/>
    <x v="0"/>
    <d v="2012-01-31T00:00:00"/>
    <x v="2"/>
    <x v="0"/>
    <s v="O"/>
    <x v="7"/>
    <x v="0"/>
    <x v="123"/>
    <s v="Júlio Alves"/>
    <x v="86"/>
    <x v="7"/>
    <x v="0"/>
    <x v="1"/>
    <x v="0"/>
    <d v="1899-12-30T00:00:00"/>
    <d v="1899-12-30T00:00:00"/>
  </r>
  <r>
    <n v="255"/>
    <x v="0"/>
    <x v="13"/>
    <x v="240"/>
    <n v="11745"/>
    <x v="111"/>
    <m/>
    <s v="CRESCI NA MANGUEIRA"/>
    <x v="1"/>
    <d v="2009-01-02T00:00:00"/>
    <x v="0"/>
    <d v="2009-04-13T00:00:00"/>
    <d v="2009-07-29T00:00:00"/>
    <x v="0"/>
    <x v="0"/>
    <x v="0"/>
    <x v="6"/>
    <x v="0"/>
    <m/>
    <d v="2009-08-14T00:00:00"/>
    <x v="125"/>
    <m/>
    <m/>
    <x v="0"/>
    <x v="0"/>
    <n v="109800"/>
    <m/>
    <x v="1"/>
    <n v="0"/>
    <x v="0"/>
    <x v="0"/>
    <m/>
    <m/>
    <x v="0"/>
    <d v="2010-06-23T00:00:00"/>
    <x v="0"/>
    <d v="2014-01-23T00:00:00"/>
    <x v="3"/>
    <x v="4"/>
    <s v="S"/>
    <x v="7"/>
    <x v="0"/>
    <x v="124"/>
    <s v="Geórgia Guerra Peixe"/>
    <x v="87"/>
    <x v="7"/>
    <x v="2"/>
    <x v="0"/>
    <x v="0"/>
    <d v="1899-12-30T00:00:00"/>
    <d v="1899-12-30T00:00:00"/>
  </r>
  <r>
    <n v="256"/>
    <x v="0"/>
    <x v="6"/>
    <x v="241"/>
    <m/>
    <x v="4"/>
    <s v="DOCLISBOA"/>
    <m/>
    <x v="1"/>
    <d v="2011-01-03T00:00:00"/>
    <x v="1"/>
    <d v="2011-12-31T00:00:00"/>
    <d v="2011-12-30T00:00:00"/>
    <x v="1"/>
    <x v="3"/>
    <x v="4"/>
    <x v="21"/>
    <x v="0"/>
    <m/>
    <m/>
    <x v="102"/>
    <m/>
    <m/>
    <x v="0"/>
    <x v="0"/>
    <n v="750"/>
    <n v="0"/>
    <x v="1"/>
    <n v="0"/>
    <x v="0"/>
    <x v="0"/>
    <m/>
    <m/>
    <x v="0"/>
    <m/>
    <x v="0"/>
    <d v="2013-04-30T00:00:00"/>
    <x v="5"/>
    <x v="2"/>
    <s v="A"/>
    <x v="3"/>
    <x v="0"/>
    <x v="110"/>
    <s v=""/>
    <x v="4"/>
    <x v="2"/>
    <x v="4"/>
    <x v="3"/>
    <x v="0"/>
    <d v="1899-12-30T00:00:00"/>
    <d v="1899-12-30T00:00:00"/>
  </r>
  <r>
    <n v="257"/>
    <x v="0"/>
    <x v="6"/>
    <x v="241"/>
    <m/>
    <x v="4"/>
    <s v="TEMPS D'IMAGE"/>
    <m/>
    <x v="1"/>
    <d v="2011-11-03T00:00:00"/>
    <x v="1"/>
    <d v="2011-12-31T00:00:00"/>
    <d v="2011-11-04T00:00:00"/>
    <x v="1"/>
    <x v="3"/>
    <x v="4"/>
    <x v="21"/>
    <x v="0"/>
    <m/>
    <m/>
    <x v="102"/>
    <m/>
    <m/>
    <x v="0"/>
    <x v="0"/>
    <n v="750"/>
    <m/>
    <x v="1"/>
    <n v="0"/>
    <x v="0"/>
    <x v="0"/>
    <m/>
    <m/>
    <x v="0"/>
    <m/>
    <x v="0"/>
    <d v="2013-04-30T00:00:00"/>
    <x v="5"/>
    <x v="2"/>
    <s v="A"/>
    <x v="3"/>
    <x v="0"/>
    <x v="110"/>
    <s v=""/>
    <x v="4"/>
    <x v="2"/>
    <x v="4"/>
    <x v="3"/>
    <x v="0"/>
    <d v="1899-12-30T00:00:00"/>
    <d v="1899-12-30T00:00:00"/>
  </r>
  <r>
    <n v="258"/>
    <x v="0"/>
    <x v="104"/>
    <x v="242"/>
    <m/>
    <x v="4"/>
    <s v="DOCLISBOA"/>
    <m/>
    <x v="1"/>
    <d v="2012-01-03T00:00:00"/>
    <x v="10"/>
    <d v="2011-12-31T00:00:00"/>
    <d v="2011-12-29T00:00:00"/>
    <x v="1"/>
    <x v="3"/>
    <x v="4"/>
    <x v="21"/>
    <x v="0"/>
    <m/>
    <m/>
    <x v="102"/>
    <m/>
    <m/>
    <x v="0"/>
    <x v="0"/>
    <n v="750"/>
    <m/>
    <x v="1"/>
    <n v="0"/>
    <x v="0"/>
    <x v="0"/>
    <m/>
    <m/>
    <x v="0"/>
    <m/>
    <x v="0"/>
    <d v="2013-04-30T00:00:00"/>
    <x v="5"/>
    <x v="18"/>
    <s v="A"/>
    <x v="3"/>
    <x v="0"/>
    <x v="110"/>
    <s v=""/>
    <x v="4"/>
    <x v="2"/>
    <x v="4"/>
    <x v="3"/>
    <x v="0"/>
    <d v="1899-12-30T00:00:00"/>
    <d v="1899-12-30T00:00:00"/>
  </r>
  <r>
    <n v="259"/>
    <x v="0"/>
    <x v="14"/>
    <x v="243"/>
    <m/>
    <x v="4"/>
    <s v="FIKE"/>
    <m/>
    <x v="1"/>
    <d v="2011-01-03T00:00:00"/>
    <x v="1"/>
    <d v="2011-12-31T00:00:00"/>
    <d v="2011-11-04T00:00:00"/>
    <x v="1"/>
    <x v="3"/>
    <x v="4"/>
    <x v="21"/>
    <x v="0"/>
    <m/>
    <m/>
    <x v="101"/>
    <m/>
    <m/>
    <x v="0"/>
    <x v="0"/>
    <n v="500"/>
    <n v="0"/>
    <x v="1"/>
    <n v="0"/>
    <x v="0"/>
    <x v="0"/>
    <m/>
    <m/>
    <x v="0"/>
    <m/>
    <x v="0"/>
    <d v="2013-04-30T00:00:00"/>
    <x v="5"/>
    <x v="4"/>
    <s v="A"/>
    <x v="3"/>
    <x v="0"/>
    <x v="110"/>
    <s v=""/>
    <x v="4"/>
    <x v="2"/>
    <x v="4"/>
    <x v="3"/>
    <x v="0"/>
    <d v="1899-12-30T00:00:00"/>
    <d v="1899-12-30T00:00:00"/>
  </r>
  <r>
    <n v="260"/>
    <x v="0"/>
    <x v="28"/>
    <x v="244"/>
    <m/>
    <x v="4"/>
    <s v="DOCLISBOA"/>
    <m/>
    <x v="1"/>
    <d v="2011-01-03T00:00:00"/>
    <x v="1"/>
    <d v="2011-12-31T00:00:00"/>
    <d v="2011-12-30T00:00:00"/>
    <x v="1"/>
    <x v="3"/>
    <x v="4"/>
    <x v="21"/>
    <x v="0"/>
    <m/>
    <m/>
    <x v="102"/>
    <m/>
    <m/>
    <x v="0"/>
    <x v="0"/>
    <n v="750"/>
    <n v="0"/>
    <x v="1"/>
    <n v="0"/>
    <x v="0"/>
    <x v="0"/>
    <m/>
    <m/>
    <x v="0"/>
    <m/>
    <x v="0"/>
    <d v="2013-04-30T00:00:00"/>
    <x v="5"/>
    <x v="11"/>
    <s v="C"/>
    <x v="3"/>
    <x v="0"/>
    <x v="110"/>
    <s v=""/>
    <x v="4"/>
    <x v="2"/>
    <x v="4"/>
    <x v="3"/>
    <x v="0"/>
    <d v="1899-12-30T00:00:00"/>
    <d v="1899-12-30T00:00:00"/>
  </r>
  <r>
    <n v="261"/>
    <x v="0"/>
    <x v="105"/>
    <x v="245"/>
    <m/>
    <x v="4"/>
    <s v="LOCARNO"/>
    <m/>
    <x v="1"/>
    <d v="2011-01-03T00:00:00"/>
    <x v="1"/>
    <d v="2011-12-31T00:00:00"/>
    <d v="2011-11-04T00:00:00"/>
    <x v="1"/>
    <x v="3"/>
    <x v="4"/>
    <x v="21"/>
    <x v="0"/>
    <m/>
    <m/>
    <x v="49"/>
    <m/>
    <m/>
    <x v="0"/>
    <x v="0"/>
    <n v="2000"/>
    <m/>
    <x v="1"/>
    <n v="0"/>
    <x v="0"/>
    <x v="0"/>
    <m/>
    <m/>
    <x v="0"/>
    <m/>
    <x v="0"/>
    <d v="2013-04-30T00:00:00"/>
    <x v="5"/>
    <x v="1"/>
    <s v="É"/>
    <x v="3"/>
    <x v="0"/>
    <x v="110"/>
    <s v=""/>
    <x v="4"/>
    <x v="2"/>
    <x v="4"/>
    <x v="3"/>
    <x v="0"/>
    <d v="1899-12-30T00:00:00"/>
    <d v="1899-12-30T00:00:00"/>
  </r>
  <r>
    <n v="262"/>
    <x v="0"/>
    <x v="106"/>
    <x v="246"/>
    <m/>
    <x v="4"/>
    <s v="SHANGHAI"/>
    <m/>
    <x v="1"/>
    <d v="2011-01-03T00:00:00"/>
    <x v="1"/>
    <d v="2011-12-31T00:00:00"/>
    <d v="2011-11-04T00:00:00"/>
    <x v="1"/>
    <x v="3"/>
    <x v="4"/>
    <x v="21"/>
    <x v="0"/>
    <m/>
    <m/>
    <x v="49"/>
    <m/>
    <m/>
    <x v="0"/>
    <x v="0"/>
    <n v="2000"/>
    <m/>
    <x v="1"/>
    <n v="0"/>
    <x v="0"/>
    <x v="0"/>
    <m/>
    <m/>
    <x v="0"/>
    <m/>
    <x v="0"/>
    <d v="2013-04-30T00:00:00"/>
    <x v="5"/>
    <x v="13"/>
    <s v="E"/>
    <x v="3"/>
    <x v="0"/>
    <x v="110"/>
    <s v=""/>
    <x v="4"/>
    <x v="2"/>
    <x v="4"/>
    <x v="3"/>
    <x v="0"/>
    <d v="1899-12-30T00:00:00"/>
    <d v="1899-12-30T00:00:00"/>
  </r>
  <r>
    <n v="263"/>
    <x v="0"/>
    <x v="107"/>
    <x v="247"/>
    <m/>
    <x v="4"/>
    <s v="MOLODIST"/>
    <m/>
    <x v="1"/>
    <d v="2011-01-03T00:00:00"/>
    <x v="1"/>
    <d v="2011-12-31T00:00:00"/>
    <d v="2011-11-04T00:00:00"/>
    <x v="1"/>
    <x v="3"/>
    <x v="4"/>
    <x v="21"/>
    <x v="0"/>
    <m/>
    <m/>
    <x v="65"/>
    <m/>
    <m/>
    <x v="0"/>
    <x v="0"/>
    <n v="1000"/>
    <n v="0"/>
    <x v="1"/>
    <n v="0"/>
    <x v="0"/>
    <x v="0"/>
    <m/>
    <m/>
    <x v="0"/>
    <m/>
    <x v="0"/>
    <d v="2013-04-30T00:00:00"/>
    <x v="5"/>
    <x v="15"/>
    <s v="N"/>
    <x v="3"/>
    <x v="0"/>
    <x v="110"/>
    <s v=""/>
    <x v="4"/>
    <x v="2"/>
    <x v="4"/>
    <x v="3"/>
    <x v="0"/>
    <d v="1899-12-30T00:00:00"/>
    <d v="1899-12-30T00:00:00"/>
  </r>
  <r>
    <n v="264"/>
    <x v="0"/>
    <x v="41"/>
    <x v="238"/>
    <m/>
    <x v="4"/>
    <s v="INDIA"/>
    <m/>
    <x v="1"/>
    <d v="2011-01-03T00:00:00"/>
    <x v="1"/>
    <d v="2011-12-31T00:00:00"/>
    <d v="2011-11-04T00:00:00"/>
    <x v="1"/>
    <x v="3"/>
    <x v="4"/>
    <x v="21"/>
    <x v="0"/>
    <m/>
    <m/>
    <x v="49"/>
    <n v="1984.6"/>
    <m/>
    <x v="0"/>
    <x v="0"/>
    <n v="1984.6"/>
    <m/>
    <x v="1"/>
    <n v="0"/>
    <x v="0"/>
    <x v="0"/>
    <m/>
    <m/>
    <x v="0"/>
    <m/>
    <x v="0"/>
    <d v="2013-11-04T00:00:00"/>
    <x v="5"/>
    <x v="13"/>
    <s v="O"/>
    <x v="3"/>
    <x v="0"/>
    <x v="110"/>
    <s v=""/>
    <x v="4"/>
    <x v="2"/>
    <x v="4"/>
    <x v="3"/>
    <x v="0"/>
    <d v="1899-12-30T00:00:00"/>
    <d v="1899-12-30T00:00:00"/>
  </r>
  <r>
    <n v="265"/>
    <x v="0"/>
    <x v="9"/>
    <x v="248"/>
    <m/>
    <x v="4"/>
    <s v="S. PAULO"/>
    <m/>
    <x v="1"/>
    <d v="2013-01-03T00:00:00"/>
    <x v="11"/>
    <d v="2013-12-31T00:00:00"/>
    <d v="2011-11-04T00:00:00"/>
    <x v="1"/>
    <x v="3"/>
    <x v="4"/>
    <x v="21"/>
    <x v="0"/>
    <m/>
    <m/>
    <x v="126"/>
    <m/>
    <m/>
    <x v="0"/>
    <x v="0"/>
    <n v="1700"/>
    <n v="0"/>
    <x v="1"/>
    <n v="0"/>
    <x v="0"/>
    <x v="0"/>
    <m/>
    <m/>
    <x v="0"/>
    <m/>
    <x v="0"/>
    <d v="2013-04-30T00:00:00"/>
    <x v="5"/>
    <x v="3"/>
    <s v="O"/>
    <x v="3"/>
    <x v="0"/>
    <x v="110"/>
    <s v=""/>
    <x v="4"/>
    <x v="2"/>
    <x v="4"/>
    <x v="3"/>
    <x v="0"/>
    <d v="1899-12-30T00:00:00"/>
    <d v="1899-12-30T00:00:00"/>
  </r>
  <r>
    <n v="266"/>
    <x v="0"/>
    <x v="107"/>
    <x v="249"/>
    <m/>
    <x v="4"/>
    <s v="DOCLISBOA"/>
    <m/>
    <x v="1"/>
    <d v="2011-01-03T00:00:00"/>
    <x v="1"/>
    <d v="2011-12-31T00:00:00"/>
    <d v="2011-11-04T00:00:00"/>
    <x v="1"/>
    <x v="3"/>
    <x v="4"/>
    <x v="21"/>
    <x v="0"/>
    <m/>
    <m/>
    <x v="102"/>
    <m/>
    <m/>
    <x v="0"/>
    <x v="0"/>
    <n v="750"/>
    <n v="0"/>
    <x v="1"/>
    <n v="0"/>
    <x v="0"/>
    <x v="0"/>
    <m/>
    <m/>
    <x v="0"/>
    <m/>
    <x v="0"/>
    <d v="2013-04-30T00:00:00"/>
    <x v="5"/>
    <x v="15"/>
    <s v="O"/>
    <x v="3"/>
    <x v="0"/>
    <x v="110"/>
    <s v=""/>
    <x v="4"/>
    <x v="2"/>
    <x v="4"/>
    <x v="3"/>
    <x v="0"/>
    <d v="1899-12-30T00:00:00"/>
    <d v="1899-12-30T00:00:00"/>
  </r>
  <r>
    <n v="267"/>
    <x v="0"/>
    <x v="17"/>
    <x v="250"/>
    <m/>
    <x v="4"/>
    <s v="FESTIVAL DO RIO"/>
    <m/>
    <x v="1"/>
    <d v="2011-01-03T00:00:00"/>
    <x v="1"/>
    <d v="2011-12-31T00:00:00"/>
    <d v="2011-11-04T00:00:00"/>
    <x v="1"/>
    <x v="3"/>
    <x v="4"/>
    <x v="21"/>
    <x v="0"/>
    <m/>
    <m/>
    <x v="127"/>
    <m/>
    <m/>
    <x v="0"/>
    <x v="0"/>
    <n v="275"/>
    <m/>
    <x v="1"/>
    <n v="0"/>
    <x v="0"/>
    <x v="0"/>
    <m/>
    <m/>
    <x v="0"/>
    <m/>
    <x v="0"/>
    <d v="2013-05-09T00:00:00"/>
    <x v="5"/>
    <x v="7"/>
    <s v="P"/>
    <x v="3"/>
    <x v="0"/>
    <x v="110"/>
    <s v=""/>
    <x v="4"/>
    <x v="2"/>
    <x v="4"/>
    <x v="3"/>
    <x v="0"/>
    <d v="1899-12-30T00:00:00"/>
    <d v="1899-12-30T00:00:00"/>
  </r>
  <r>
    <n v="268"/>
    <x v="0"/>
    <x v="28"/>
    <x v="251"/>
    <m/>
    <x v="4"/>
    <s v="MOSTRA DE SÃO PAULO"/>
    <m/>
    <x v="1"/>
    <d v="2011-01-03T00:00:00"/>
    <x v="1"/>
    <d v="2011-12-31T00:00:00"/>
    <d v="2011-12-29T00:00:00"/>
    <x v="1"/>
    <x v="3"/>
    <x v="4"/>
    <x v="21"/>
    <x v="0"/>
    <m/>
    <m/>
    <x v="49"/>
    <m/>
    <m/>
    <x v="0"/>
    <x v="0"/>
    <n v="2000"/>
    <n v="0"/>
    <x v="1"/>
    <n v="0"/>
    <x v="0"/>
    <x v="0"/>
    <m/>
    <m/>
    <x v="0"/>
    <m/>
    <x v="0"/>
    <d v="2013-04-30T00:00:00"/>
    <x v="5"/>
    <x v="11"/>
    <s v="Q"/>
    <x v="3"/>
    <x v="0"/>
    <x v="110"/>
    <s v=""/>
    <x v="4"/>
    <x v="2"/>
    <x v="4"/>
    <x v="3"/>
    <x v="0"/>
    <d v="1899-12-30T00:00:00"/>
    <d v="1899-12-30T00:00:00"/>
  </r>
  <r>
    <n v="269"/>
    <x v="0"/>
    <x v="23"/>
    <x v="52"/>
    <m/>
    <x v="4"/>
    <s v="BERLIN FILM FEST"/>
    <m/>
    <x v="1"/>
    <d v="2011-01-03T00:00:00"/>
    <x v="1"/>
    <d v="2011-12-31T00:00:00"/>
    <d v="2011-12-30T00:00:00"/>
    <x v="1"/>
    <x v="3"/>
    <x v="4"/>
    <x v="21"/>
    <x v="0"/>
    <m/>
    <m/>
    <x v="45"/>
    <m/>
    <m/>
    <x v="0"/>
    <x v="0"/>
    <n v="10000"/>
    <n v="0"/>
    <x v="1"/>
    <n v="0"/>
    <x v="0"/>
    <x v="0"/>
    <m/>
    <m/>
    <x v="0"/>
    <m/>
    <x v="0"/>
    <d v="2013-04-30T00:00:00"/>
    <x v="5"/>
    <x v="9"/>
    <s v="T"/>
    <x v="3"/>
    <x v="0"/>
    <x v="110"/>
    <s v=""/>
    <x v="4"/>
    <x v="2"/>
    <x v="4"/>
    <x v="3"/>
    <x v="0"/>
    <d v="1899-12-30T00:00:00"/>
    <d v="1899-12-30T00:00:00"/>
  </r>
  <r>
    <n v="270"/>
    <x v="0"/>
    <x v="13"/>
    <x v="252"/>
    <m/>
    <x v="4"/>
    <s v="TIRAGEM DE 2 CÓPIAS LEGENDADAS"/>
    <m/>
    <x v="3"/>
    <m/>
    <x v="8"/>
    <m/>
    <m/>
    <x v="8"/>
    <x v="3"/>
    <x v="4"/>
    <x v="21"/>
    <x v="0"/>
    <m/>
    <d v="2009-07-28T00:00:00"/>
    <x v="128"/>
    <n v="0"/>
    <m/>
    <x v="0"/>
    <x v="0"/>
    <n v="0"/>
    <m/>
    <x v="1"/>
    <n v="0"/>
    <x v="5"/>
    <x v="0"/>
    <m/>
    <m/>
    <x v="0"/>
    <m/>
    <x v="0"/>
    <d v="2012-11-27T00:00:00"/>
    <x v="5"/>
    <x v="4"/>
    <s v="A"/>
    <x v="3"/>
    <x v="0"/>
    <x v="110"/>
    <s v=""/>
    <x v="4"/>
    <x v="2"/>
    <x v="4"/>
    <x v="3"/>
    <x v="0"/>
    <d v="1899-12-30T00:00:00"/>
    <d v="1899-12-30T00:00:00"/>
  </r>
  <r>
    <n v="271"/>
    <x v="0"/>
    <x v="6"/>
    <x v="241"/>
    <m/>
    <x v="4"/>
    <s v="DOCLISBOA"/>
    <m/>
    <x v="1"/>
    <d v="2011-01-03T00:00:00"/>
    <x v="1"/>
    <d v="2011-12-31T00:00:00"/>
    <d v="2011-12-30T00:00:00"/>
    <x v="1"/>
    <x v="3"/>
    <x v="4"/>
    <x v="21"/>
    <x v="0"/>
    <m/>
    <m/>
    <x v="103"/>
    <m/>
    <m/>
    <x v="0"/>
    <x v="0"/>
    <n v="300"/>
    <m/>
    <x v="1"/>
    <n v="0"/>
    <x v="0"/>
    <x v="0"/>
    <m/>
    <m/>
    <x v="0"/>
    <m/>
    <x v="0"/>
    <d v="2013-04-30T00:00:00"/>
    <x v="5"/>
    <x v="2"/>
    <s v="A"/>
    <x v="3"/>
    <x v="0"/>
    <x v="110"/>
    <s v=""/>
    <x v="4"/>
    <x v="2"/>
    <x v="4"/>
    <x v="3"/>
    <x v="0"/>
    <d v="1899-12-30T00:00:00"/>
    <d v="1899-12-30T00:00:00"/>
  </r>
  <r>
    <n v="272"/>
    <x v="0"/>
    <x v="6"/>
    <x v="241"/>
    <m/>
    <x v="4"/>
    <s v="TEMPS D'IMAGE"/>
    <m/>
    <x v="1"/>
    <d v="2011-01-03T00:00:00"/>
    <x v="1"/>
    <d v="2011-12-31T00:00:00"/>
    <d v="2011-11-04T00:00:00"/>
    <x v="1"/>
    <x v="3"/>
    <x v="4"/>
    <x v="21"/>
    <x v="0"/>
    <m/>
    <m/>
    <x v="103"/>
    <m/>
    <m/>
    <x v="0"/>
    <x v="0"/>
    <n v="300"/>
    <n v="0"/>
    <x v="1"/>
    <n v="0"/>
    <x v="0"/>
    <x v="0"/>
    <m/>
    <m/>
    <x v="0"/>
    <m/>
    <x v="0"/>
    <d v="2013-04-30T00:00:00"/>
    <x v="5"/>
    <x v="2"/>
    <s v="A"/>
    <x v="3"/>
    <x v="0"/>
    <x v="110"/>
    <s v=""/>
    <x v="4"/>
    <x v="2"/>
    <x v="4"/>
    <x v="3"/>
    <x v="0"/>
    <d v="1899-12-30T00:00:00"/>
    <d v="1899-12-30T00:00:00"/>
  </r>
  <r>
    <n v="273"/>
    <x v="0"/>
    <x v="28"/>
    <x v="244"/>
    <m/>
    <x v="4"/>
    <s v="DOCLISBOA - Cópias"/>
    <m/>
    <x v="1"/>
    <d v="2011-01-03T00:00:00"/>
    <x v="1"/>
    <d v="2011-12-31T00:00:00"/>
    <d v="2011-12-30T00:00:00"/>
    <x v="1"/>
    <x v="3"/>
    <x v="4"/>
    <x v="21"/>
    <x v="0"/>
    <m/>
    <m/>
    <x v="103"/>
    <m/>
    <m/>
    <x v="0"/>
    <x v="0"/>
    <n v="300"/>
    <n v="0"/>
    <x v="1"/>
    <n v="0"/>
    <x v="0"/>
    <x v="0"/>
    <m/>
    <m/>
    <x v="0"/>
    <m/>
    <x v="0"/>
    <d v="2013-04-30T00:00:00"/>
    <x v="5"/>
    <x v="11"/>
    <s v="C"/>
    <x v="3"/>
    <x v="0"/>
    <x v="110"/>
    <s v=""/>
    <x v="4"/>
    <x v="2"/>
    <x v="4"/>
    <x v="3"/>
    <x v="0"/>
    <d v="1899-12-30T00:00:00"/>
    <d v="1899-12-30T00:00:00"/>
  </r>
  <r>
    <n v="274"/>
    <x v="0"/>
    <x v="107"/>
    <x v="247"/>
    <m/>
    <x v="4"/>
    <s v="MOLODIST"/>
    <m/>
    <x v="1"/>
    <d v="2011-01-03T00:00:00"/>
    <x v="1"/>
    <d v="2011-12-31T00:00:00"/>
    <d v="2011-11-04T00:00:00"/>
    <x v="1"/>
    <x v="3"/>
    <x v="4"/>
    <x v="21"/>
    <x v="0"/>
    <m/>
    <m/>
    <x v="103"/>
    <m/>
    <m/>
    <x v="0"/>
    <x v="0"/>
    <n v="300"/>
    <n v="0"/>
    <x v="1"/>
    <n v="0"/>
    <x v="0"/>
    <x v="0"/>
    <m/>
    <m/>
    <x v="0"/>
    <m/>
    <x v="0"/>
    <d v="2013-04-30T00:00:00"/>
    <x v="5"/>
    <x v="15"/>
    <s v="N"/>
    <x v="3"/>
    <x v="0"/>
    <x v="110"/>
    <s v=""/>
    <x v="4"/>
    <x v="2"/>
    <x v="4"/>
    <x v="3"/>
    <x v="0"/>
    <d v="1899-12-30T00:00:00"/>
    <d v="1899-12-30T00:00:00"/>
  </r>
  <r>
    <n v="275"/>
    <x v="0"/>
    <x v="41"/>
    <x v="238"/>
    <m/>
    <x v="4"/>
    <s v="INDIA"/>
    <m/>
    <x v="1"/>
    <d v="2011-01-03T00:00:00"/>
    <x v="1"/>
    <d v="2011-12-31T00:00:00"/>
    <d v="2011-11-04T00:00:00"/>
    <x v="1"/>
    <x v="3"/>
    <x v="4"/>
    <x v="21"/>
    <x v="0"/>
    <m/>
    <m/>
    <x v="101"/>
    <m/>
    <m/>
    <x v="0"/>
    <x v="0"/>
    <n v="500"/>
    <m/>
    <x v="1"/>
    <n v="0"/>
    <x v="0"/>
    <x v="0"/>
    <m/>
    <m/>
    <x v="0"/>
    <m/>
    <x v="0"/>
    <d v="2013-11-04T00:00:00"/>
    <x v="5"/>
    <x v="13"/>
    <s v="O"/>
    <x v="3"/>
    <x v="0"/>
    <x v="110"/>
    <s v=""/>
    <x v="4"/>
    <x v="2"/>
    <x v="4"/>
    <x v="3"/>
    <x v="0"/>
    <d v="1899-12-30T00:00:00"/>
    <d v="1899-12-30T00:00:00"/>
  </r>
  <r>
    <n v="276"/>
    <x v="0"/>
    <x v="107"/>
    <x v="249"/>
    <m/>
    <x v="4"/>
    <s v="DOCLISBOA"/>
    <m/>
    <x v="1"/>
    <d v="2011-01-03T00:00:00"/>
    <x v="1"/>
    <d v="2011-12-31T00:00:00"/>
    <d v="2011-11-04T00:00:00"/>
    <x v="1"/>
    <x v="3"/>
    <x v="4"/>
    <x v="21"/>
    <x v="0"/>
    <m/>
    <m/>
    <x v="103"/>
    <m/>
    <m/>
    <x v="0"/>
    <x v="0"/>
    <n v="300"/>
    <n v="0"/>
    <x v="1"/>
    <n v="0"/>
    <x v="0"/>
    <x v="0"/>
    <m/>
    <m/>
    <x v="0"/>
    <m/>
    <x v="0"/>
    <d v="2013-04-30T00:00:00"/>
    <x v="5"/>
    <x v="15"/>
    <s v="O"/>
    <x v="3"/>
    <x v="0"/>
    <x v="110"/>
    <s v=""/>
    <x v="4"/>
    <x v="2"/>
    <x v="4"/>
    <x v="3"/>
    <x v="0"/>
    <d v="1899-12-30T00:00:00"/>
    <d v="1899-12-30T00:00:00"/>
  </r>
  <r>
    <n v="277"/>
    <x v="0"/>
    <x v="17"/>
    <x v="250"/>
    <m/>
    <x v="4"/>
    <s v="FESTIVAL DO RIO"/>
    <m/>
    <x v="1"/>
    <d v="2011-01-03T00:00:00"/>
    <x v="1"/>
    <d v="2011-12-31T00:00:00"/>
    <d v="2011-11-04T00:00:00"/>
    <x v="1"/>
    <x v="3"/>
    <x v="4"/>
    <x v="21"/>
    <x v="0"/>
    <m/>
    <m/>
    <x v="103"/>
    <m/>
    <m/>
    <x v="0"/>
    <x v="0"/>
    <n v="300"/>
    <n v="300"/>
    <x v="1"/>
    <n v="300"/>
    <x v="4"/>
    <x v="0"/>
    <m/>
    <m/>
    <x v="0"/>
    <m/>
    <x v="0"/>
    <d v="2014-01-23T00:00:00"/>
    <x v="5"/>
    <x v="7"/>
    <s v="P"/>
    <x v="3"/>
    <x v="0"/>
    <x v="110"/>
    <s v=""/>
    <x v="4"/>
    <x v="2"/>
    <x v="4"/>
    <x v="3"/>
    <x v="0"/>
    <d v="1899-12-30T00:00:00"/>
    <d v="1899-12-30T00:00:00"/>
  </r>
  <r>
    <n v="278"/>
    <x v="0"/>
    <x v="40"/>
    <x v="253"/>
    <m/>
    <x v="4"/>
    <s v="CLERMONT-FERRAND"/>
    <m/>
    <x v="1"/>
    <d v="2011-01-03T00:00:00"/>
    <x v="1"/>
    <d v="2011-12-31T00:00:00"/>
    <d v="2011-02-08T00:00:00"/>
    <x v="1"/>
    <x v="3"/>
    <x v="4"/>
    <x v="21"/>
    <x v="0"/>
    <m/>
    <m/>
    <x v="129"/>
    <m/>
    <m/>
    <x v="0"/>
    <x v="0"/>
    <n v="808"/>
    <m/>
    <x v="1"/>
    <n v="0"/>
    <x v="0"/>
    <x v="0"/>
    <m/>
    <m/>
    <x v="0"/>
    <m/>
    <x v="0"/>
    <d v="2011-04-30T00:00:00"/>
    <x v="5"/>
    <x v="10"/>
    <s v="A"/>
    <x v="3"/>
    <x v="0"/>
    <x v="110"/>
    <s v=""/>
    <x v="4"/>
    <x v="2"/>
    <x v="4"/>
    <x v="3"/>
    <x v="0"/>
    <d v="1899-12-30T00:00:00"/>
    <d v="1899-12-30T00:00:00"/>
  </r>
  <r>
    <n v="279"/>
    <x v="0"/>
    <x v="40"/>
    <x v="253"/>
    <m/>
    <x v="4"/>
    <s v="CLERMONT-FERRAND"/>
    <m/>
    <x v="1"/>
    <d v="2011-01-03T00:00:00"/>
    <x v="1"/>
    <d v="2011-12-31T00:00:00"/>
    <d v="2011-02-08T00:00:00"/>
    <x v="1"/>
    <x v="3"/>
    <x v="4"/>
    <x v="21"/>
    <x v="0"/>
    <m/>
    <m/>
    <x v="122"/>
    <m/>
    <m/>
    <x v="0"/>
    <x v="0"/>
    <n v="5000"/>
    <m/>
    <x v="1"/>
    <n v="0"/>
    <x v="0"/>
    <x v="0"/>
    <m/>
    <m/>
    <x v="0"/>
    <m/>
    <x v="0"/>
    <d v="2011-04-30T00:00:00"/>
    <x v="5"/>
    <x v="10"/>
    <s v="A"/>
    <x v="3"/>
    <x v="0"/>
    <x v="110"/>
    <s v=""/>
    <x v="4"/>
    <x v="2"/>
    <x v="4"/>
    <x v="3"/>
    <x v="0"/>
    <d v="1899-12-30T00:00:00"/>
    <d v="1899-12-30T00:00:00"/>
  </r>
  <r>
    <n v="280"/>
    <x v="0"/>
    <x v="107"/>
    <x v="254"/>
    <m/>
    <x v="4"/>
    <s v="CINEMA DU RÉEL"/>
    <m/>
    <x v="1"/>
    <d v="2011-01-03T00:00:00"/>
    <x v="1"/>
    <d v="2011-12-31T00:00:00"/>
    <d v="2011-02-17T00:00:00"/>
    <x v="1"/>
    <x v="3"/>
    <x v="4"/>
    <x v="21"/>
    <x v="0"/>
    <m/>
    <m/>
    <x v="122"/>
    <n v="4718"/>
    <m/>
    <x v="0"/>
    <x v="0"/>
    <n v="4718"/>
    <m/>
    <x v="1"/>
    <n v="0"/>
    <x v="0"/>
    <x v="0"/>
    <m/>
    <m/>
    <x v="0"/>
    <m/>
    <x v="0"/>
    <d v="2013-04-30T00:00:00"/>
    <x v="5"/>
    <x v="15"/>
    <s v="L"/>
    <x v="3"/>
    <x v="0"/>
    <x v="110"/>
    <s v=""/>
    <x v="4"/>
    <x v="2"/>
    <x v="4"/>
    <x v="3"/>
    <x v="0"/>
    <d v="1899-12-30T00:00:00"/>
    <d v="1899-12-30T00:00:00"/>
  </r>
  <r>
    <n v="281"/>
    <x v="0"/>
    <x v="107"/>
    <x v="254"/>
    <m/>
    <x v="4"/>
    <s v="CINEMA DU RÉEL"/>
    <m/>
    <x v="1"/>
    <d v="2011-01-03T00:00:00"/>
    <x v="1"/>
    <d v="2011-12-31T00:00:00"/>
    <d v="2011-02-17T00:00:00"/>
    <x v="1"/>
    <x v="3"/>
    <x v="4"/>
    <x v="21"/>
    <x v="0"/>
    <m/>
    <m/>
    <x v="130"/>
    <n v="2518.5700000000002"/>
    <m/>
    <x v="0"/>
    <x v="0"/>
    <n v="2518.5700000000002"/>
    <m/>
    <x v="1"/>
    <n v="0"/>
    <x v="0"/>
    <x v="0"/>
    <m/>
    <m/>
    <x v="0"/>
    <m/>
    <x v="0"/>
    <d v="2013-04-30T00:00:00"/>
    <x v="5"/>
    <x v="15"/>
    <s v="L"/>
    <x v="3"/>
    <x v="0"/>
    <x v="110"/>
    <s v=""/>
    <x v="4"/>
    <x v="2"/>
    <x v="4"/>
    <x v="3"/>
    <x v="0"/>
    <d v="1899-12-30T00:00:00"/>
    <d v="1899-12-30T00:00:00"/>
  </r>
  <r>
    <n v="282"/>
    <x v="0"/>
    <x v="6"/>
    <x v="255"/>
    <m/>
    <x v="4"/>
    <s v="INDIELISBOA"/>
    <m/>
    <x v="1"/>
    <d v="2011-01-03T00:00:00"/>
    <x v="1"/>
    <d v="2011-12-31T00:00:00"/>
    <d v="2011-03-29T00:00:00"/>
    <x v="1"/>
    <x v="3"/>
    <x v="4"/>
    <x v="21"/>
    <x v="0"/>
    <m/>
    <m/>
    <x v="131"/>
    <m/>
    <m/>
    <x v="0"/>
    <x v="0"/>
    <n v="1523.5"/>
    <m/>
    <x v="1"/>
    <n v="0"/>
    <x v="0"/>
    <x v="0"/>
    <m/>
    <m/>
    <x v="0"/>
    <m/>
    <x v="0"/>
    <d v="2013-04-30T00:00:00"/>
    <x v="5"/>
    <x v="2"/>
    <s v="O"/>
    <x v="3"/>
    <x v="0"/>
    <x v="110"/>
    <s v=""/>
    <x v="4"/>
    <x v="2"/>
    <x v="4"/>
    <x v="3"/>
    <x v="0"/>
    <d v="1899-12-30T00:00:00"/>
    <d v="1899-12-30T00:00:00"/>
  </r>
  <r>
    <n v="283"/>
    <x v="0"/>
    <x v="6"/>
    <x v="255"/>
    <m/>
    <x v="4"/>
    <s v="INDIELISBOA"/>
    <m/>
    <x v="1"/>
    <d v="2011-01-03T00:00:00"/>
    <x v="1"/>
    <d v="2011-12-31T00:00:00"/>
    <d v="2011-03-29T00:00:00"/>
    <x v="1"/>
    <x v="3"/>
    <x v="4"/>
    <x v="21"/>
    <x v="0"/>
    <m/>
    <m/>
    <x v="65"/>
    <m/>
    <m/>
    <x v="0"/>
    <x v="0"/>
    <n v="1000"/>
    <m/>
    <x v="1"/>
    <n v="0"/>
    <x v="0"/>
    <x v="0"/>
    <m/>
    <m/>
    <x v="0"/>
    <m/>
    <x v="0"/>
    <d v="2013-04-30T00:00:00"/>
    <x v="5"/>
    <x v="2"/>
    <s v="O"/>
    <x v="3"/>
    <x v="0"/>
    <x v="110"/>
    <s v=""/>
    <x v="4"/>
    <x v="2"/>
    <x v="4"/>
    <x v="3"/>
    <x v="0"/>
    <d v="1899-12-30T00:00:00"/>
    <d v="1899-12-30T00:00:00"/>
  </r>
  <r>
    <n v="284"/>
    <x v="0"/>
    <x v="28"/>
    <x v="251"/>
    <m/>
    <x v="4"/>
    <s v="INDIELISBOA"/>
    <m/>
    <x v="1"/>
    <d v="2011-01-03T00:00:00"/>
    <x v="1"/>
    <d v="2011-12-31T00:00:00"/>
    <d v="2011-08-19T00:00:00"/>
    <x v="1"/>
    <x v="3"/>
    <x v="4"/>
    <x v="21"/>
    <x v="0"/>
    <m/>
    <m/>
    <x v="103"/>
    <m/>
    <m/>
    <x v="0"/>
    <x v="0"/>
    <n v="300"/>
    <m/>
    <x v="1"/>
    <n v="0"/>
    <x v="0"/>
    <x v="0"/>
    <m/>
    <m/>
    <x v="0"/>
    <m/>
    <x v="0"/>
    <d v="2013-04-30T00:00:00"/>
    <x v="5"/>
    <x v="11"/>
    <s v="Q"/>
    <x v="3"/>
    <x v="0"/>
    <x v="110"/>
    <s v=""/>
    <x v="4"/>
    <x v="2"/>
    <x v="4"/>
    <x v="3"/>
    <x v="0"/>
    <d v="1899-12-30T00:00:00"/>
    <d v="1899-12-30T00:00:00"/>
  </r>
  <r>
    <n v="285"/>
    <x v="0"/>
    <x v="108"/>
    <x v="256"/>
    <m/>
    <x v="4"/>
    <s v="INDIELISBOA"/>
    <m/>
    <x v="1"/>
    <d v="2011-01-03T00:00:00"/>
    <x v="1"/>
    <d v="2011-12-31T00:00:00"/>
    <d v="2011-08-19T00:00:00"/>
    <x v="1"/>
    <x v="3"/>
    <x v="4"/>
    <x v="21"/>
    <x v="0"/>
    <m/>
    <m/>
    <x v="103"/>
    <m/>
    <m/>
    <x v="0"/>
    <x v="0"/>
    <n v="300"/>
    <m/>
    <x v="1"/>
    <n v="0"/>
    <x v="0"/>
    <x v="0"/>
    <m/>
    <m/>
    <x v="0"/>
    <m/>
    <x v="0"/>
    <d v="2013-04-30T00:00:00"/>
    <x v="5"/>
    <x v="8"/>
    <s v="L"/>
    <x v="3"/>
    <x v="0"/>
    <x v="110"/>
    <s v=""/>
    <x v="4"/>
    <x v="2"/>
    <x v="4"/>
    <x v="3"/>
    <x v="0"/>
    <d v="1899-12-30T00:00:00"/>
    <d v="1899-12-30T00:00:00"/>
  </r>
  <r>
    <n v="286"/>
    <x v="0"/>
    <x v="108"/>
    <x v="256"/>
    <m/>
    <x v="4"/>
    <s v="INDIELISBOA"/>
    <m/>
    <x v="1"/>
    <d v="2011-01-03T00:00:00"/>
    <x v="1"/>
    <d v="2011-12-31T00:00:00"/>
    <d v="2011-08-19T00:00:00"/>
    <x v="1"/>
    <x v="3"/>
    <x v="4"/>
    <x v="21"/>
    <x v="0"/>
    <m/>
    <m/>
    <x v="101"/>
    <m/>
    <m/>
    <x v="0"/>
    <x v="0"/>
    <n v="500"/>
    <m/>
    <x v="1"/>
    <n v="0"/>
    <x v="0"/>
    <x v="0"/>
    <m/>
    <m/>
    <x v="0"/>
    <m/>
    <x v="0"/>
    <d v="2013-04-30T00:00:00"/>
    <x v="5"/>
    <x v="8"/>
    <s v="L"/>
    <x v="3"/>
    <x v="0"/>
    <x v="110"/>
    <s v=""/>
    <x v="4"/>
    <x v="2"/>
    <x v="4"/>
    <x v="3"/>
    <x v="0"/>
    <d v="1899-12-30T00:00:00"/>
    <d v="1899-12-30T00:00:00"/>
  </r>
  <r>
    <n v="287"/>
    <x v="0"/>
    <x v="108"/>
    <x v="256"/>
    <m/>
    <x v="4"/>
    <s v="LOCARNO"/>
    <m/>
    <x v="1"/>
    <d v="2011-01-03T00:00:00"/>
    <x v="1"/>
    <d v="2011-12-31T00:00:00"/>
    <d v="2011-08-19T00:00:00"/>
    <x v="1"/>
    <x v="3"/>
    <x v="4"/>
    <x v="21"/>
    <x v="0"/>
    <m/>
    <m/>
    <x v="65"/>
    <m/>
    <m/>
    <x v="0"/>
    <x v="0"/>
    <n v="1000"/>
    <m/>
    <x v="1"/>
    <n v="0"/>
    <x v="0"/>
    <x v="0"/>
    <m/>
    <m/>
    <x v="0"/>
    <m/>
    <x v="0"/>
    <d v="2013-04-30T00:00:00"/>
    <x v="5"/>
    <x v="8"/>
    <s v="L"/>
    <x v="3"/>
    <x v="0"/>
    <x v="110"/>
    <s v=""/>
    <x v="4"/>
    <x v="2"/>
    <x v="4"/>
    <x v="3"/>
    <x v="0"/>
    <d v="1899-12-30T00:00:00"/>
    <d v="1899-12-30T00:00:00"/>
  </r>
  <r>
    <n v="288"/>
    <x v="0"/>
    <x v="108"/>
    <x v="256"/>
    <m/>
    <x v="4"/>
    <s v="LOCARNO"/>
    <m/>
    <x v="1"/>
    <d v="2011-01-03T00:00:00"/>
    <x v="1"/>
    <d v="2011-12-31T00:00:00"/>
    <d v="2011-09-02T00:00:00"/>
    <x v="1"/>
    <x v="3"/>
    <x v="4"/>
    <x v="21"/>
    <x v="0"/>
    <m/>
    <m/>
    <x v="103"/>
    <m/>
    <m/>
    <x v="0"/>
    <x v="0"/>
    <n v="300"/>
    <m/>
    <x v="1"/>
    <n v="0"/>
    <x v="0"/>
    <x v="0"/>
    <m/>
    <m/>
    <x v="0"/>
    <m/>
    <x v="0"/>
    <d v="2013-04-30T00:00:00"/>
    <x v="5"/>
    <x v="8"/>
    <s v="L"/>
    <x v="3"/>
    <x v="0"/>
    <x v="110"/>
    <s v=""/>
    <x v="4"/>
    <x v="2"/>
    <x v="4"/>
    <x v="3"/>
    <x v="0"/>
    <d v="1899-12-30T00:00:00"/>
    <d v="1899-12-30T00:00:00"/>
  </r>
  <r>
    <n v="289"/>
    <x v="0"/>
    <x v="108"/>
    <x v="257"/>
    <m/>
    <x v="4"/>
    <s v="VENEZA"/>
    <m/>
    <x v="1"/>
    <d v="2011-01-03T00:00:00"/>
    <x v="1"/>
    <d v="2011-12-31T00:00:00"/>
    <d v="2011-08-11T00:00:00"/>
    <x v="1"/>
    <x v="3"/>
    <x v="4"/>
    <x v="21"/>
    <x v="0"/>
    <m/>
    <m/>
    <x v="103"/>
    <m/>
    <m/>
    <x v="0"/>
    <x v="0"/>
    <n v="300"/>
    <m/>
    <x v="1"/>
    <n v="0"/>
    <x v="0"/>
    <x v="0"/>
    <m/>
    <m/>
    <x v="0"/>
    <m/>
    <x v="0"/>
    <d v="2013-04-30T00:00:00"/>
    <x v="5"/>
    <x v="8"/>
    <s v="P"/>
    <x v="3"/>
    <x v="0"/>
    <x v="110"/>
    <s v=""/>
    <x v="4"/>
    <x v="2"/>
    <x v="4"/>
    <x v="3"/>
    <x v="0"/>
    <d v="1899-12-30T00:00:00"/>
    <d v="1899-12-30T00:00:00"/>
  </r>
  <r>
    <n v="290"/>
    <x v="0"/>
    <x v="108"/>
    <x v="257"/>
    <m/>
    <x v="4"/>
    <s v="VENEZA"/>
    <m/>
    <x v="1"/>
    <d v="2011-01-03T00:00:00"/>
    <x v="1"/>
    <d v="2011-12-31T00:00:00"/>
    <d v="2011-08-11T00:00:00"/>
    <x v="1"/>
    <x v="3"/>
    <x v="4"/>
    <x v="21"/>
    <x v="0"/>
    <m/>
    <m/>
    <x v="132"/>
    <m/>
    <m/>
    <x v="0"/>
    <x v="0"/>
    <n v="3847.8"/>
    <m/>
    <x v="1"/>
    <n v="0"/>
    <x v="0"/>
    <x v="0"/>
    <m/>
    <m/>
    <x v="0"/>
    <m/>
    <x v="0"/>
    <d v="2013-04-30T00:00:00"/>
    <x v="5"/>
    <x v="8"/>
    <s v="P"/>
    <x v="3"/>
    <x v="0"/>
    <x v="110"/>
    <s v=""/>
    <x v="4"/>
    <x v="2"/>
    <x v="4"/>
    <x v="3"/>
    <x v="0"/>
    <d v="1899-12-30T00:00:00"/>
    <d v="1899-12-30T00:00:00"/>
  </r>
  <r>
    <n v="291"/>
    <x v="0"/>
    <x v="42"/>
    <x v="200"/>
    <m/>
    <x v="4"/>
    <s v="VILA DO CONDE"/>
    <m/>
    <x v="1"/>
    <d v="2011-01-03T00:00:00"/>
    <x v="1"/>
    <d v="2011-12-31T00:00:00"/>
    <d v="2012-08-06T00:00:00"/>
    <x v="10"/>
    <x v="3"/>
    <x v="4"/>
    <x v="21"/>
    <x v="0"/>
    <m/>
    <m/>
    <x v="101"/>
    <m/>
    <m/>
    <x v="0"/>
    <x v="0"/>
    <n v="500"/>
    <m/>
    <x v="1"/>
    <n v="0"/>
    <x v="0"/>
    <x v="0"/>
    <m/>
    <m/>
    <x v="0"/>
    <m/>
    <x v="0"/>
    <d v="2013-04-30T00:00:00"/>
    <x v="5"/>
    <x v="14"/>
    <s v="Z"/>
    <x v="3"/>
    <x v="0"/>
    <x v="110"/>
    <s v=""/>
    <x v="4"/>
    <x v="2"/>
    <x v="4"/>
    <x v="3"/>
    <x v="0"/>
    <d v="1899-12-30T00:00:00"/>
    <d v="1899-12-30T00:00:00"/>
  </r>
  <r>
    <n v="292"/>
    <x v="0"/>
    <x v="42"/>
    <x v="258"/>
    <m/>
    <x v="4"/>
    <s v="FANTASPORTO"/>
    <m/>
    <x v="1"/>
    <d v="2011-01-03T00:00:00"/>
    <x v="1"/>
    <d v="2011-12-31T00:00:00"/>
    <d v="2011-02-17T00:00:00"/>
    <x v="1"/>
    <x v="3"/>
    <x v="4"/>
    <x v="21"/>
    <x v="0"/>
    <m/>
    <m/>
    <x v="65"/>
    <m/>
    <m/>
    <x v="0"/>
    <x v="0"/>
    <n v="1000"/>
    <m/>
    <x v="1"/>
    <n v="0"/>
    <x v="0"/>
    <x v="0"/>
    <m/>
    <m/>
    <x v="0"/>
    <m/>
    <x v="0"/>
    <d v="2013-04-30T00:00:00"/>
    <x v="5"/>
    <x v="14"/>
    <s v="U"/>
    <x v="3"/>
    <x v="0"/>
    <x v="110"/>
    <s v=""/>
    <x v="4"/>
    <x v="2"/>
    <x v="4"/>
    <x v="3"/>
    <x v="0"/>
    <d v="1899-12-30T00:00:00"/>
    <d v="1899-12-30T00:00:00"/>
  </r>
  <r>
    <n v="293"/>
    <x v="0"/>
    <x v="13"/>
    <x v="259"/>
    <m/>
    <x v="4"/>
    <s v="GOTEMBORG"/>
    <m/>
    <x v="1"/>
    <d v="2011-01-03T00:00:00"/>
    <x v="1"/>
    <d v="2011-12-31T00:00:00"/>
    <d v="2011-01-26T00:00:00"/>
    <x v="1"/>
    <x v="3"/>
    <x v="4"/>
    <x v="21"/>
    <x v="0"/>
    <m/>
    <m/>
    <x v="122"/>
    <n v="2268.6999999999998"/>
    <m/>
    <x v="0"/>
    <x v="0"/>
    <n v="2268.6999999999998"/>
    <m/>
    <x v="1"/>
    <n v="0"/>
    <x v="0"/>
    <x v="0"/>
    <m/>
    <m/>
    <x v="0"/>
    <m/>
    <x v="0"/>
    <d v="2013-04-30T00:00:00"/>
    <x v="5"/>
    <x v="4"/>
    <s v="T"/>
    <x v="3"/>
    <x v="0"/>
    <x v="110"/>
    <s v=""/>
    <x v="4"/>
    <x v="2"/>
    <x v="4"/>
    <x v="3"/>
    <x v="0"/>
    <d v="1899-12-30T00:00:00"/>
    <d v="1899-12-30T00:00:00"/>
  </r>
  <r>
    <n v="294"/>
    <x v="0"/>
    <x v="10"/>
    <x v="133"/>
    <m/>
    <x v="4"/>
    <s v="GOTEMBORG"/>
    <m/>
    <x v="1"/>
    <d v="2011-01-03T00:00:00"/>
    <x v="1"/>
    <d v="2011-12-31T00:00:00"/>
    <d v="2011-02-08T00:00:00"/>
    <x v="1"/>
    <x v="3"/>
    <x v="4"/>
    <x v="21"/>
    <x v="0"/>
    <m/>
    <m/>
    <x v="45"/>
    <m/>
    <m/>
    <x v="0"/>
    <x v="0"/>
    <n v="10000"/>
    <m/>
    <x v="1"/>
    <n v="0"/>
    <x v="0"/>
    <x v="0"/>
    <m/>
    <m/>
    <x v="0"/>
    <m/>
    <x v="0"/>
    <d v="2013-04-30T00:00:00"/>
    <x v="5"/>
    <x v="4"/>
    <s v="O"/>
    <x v="3"/>
    <x v="0"/>
    <x v="110"/>
    <s v=""/>
    <x v="4"/>
    <x v="2"/>
    <x v="4"/>
    <x v="3"/>
    <x v="0"/>
    <d v="1899-12-30T00:00:00"/>
    <d v="1899-12-30T00:00:00"/>
  </r>
  <r>
    <n v="295"/>
    <x v="0"/>
    <x v="24"/>
    <x v="260"/>
    <m/>
    <x v="4"/>
    <s v="ROTTERDAM FILM FESTIVAL"/>
    <m/>
    <x v="1"/>
    <d v="2011-01-03T00:00:00"/>
    <x v="1"/>
    <d v="2011-12-31T00:00:00"/>
    <d v="2011-02-21T00:00:00"/>
    <x v="1"/>
    <x v="3"/>
    <x v="4"/>
    <x v="21"/>
    <x v="0"/>
    <m/>
    <m/>
    <x v="133"/>
    <n v="4191.58"/>
    <m/>
    <x v="0"/>
    <x v="0"/>
    <n v="4191.58"/>
    <m/>
    <x v="1"/>
    <n v="0"/>
    <x v="0"/>
    <x v="0"/>
    <m/>
    <m/>
    <x v="0"/>
    <m/>
    <x v="0"/>
    <d v="2013-04-30T00:00:00"/>
    <x v="5"/>
    <x v="10"/>
    <s v="A"/>
    <x v="3"/>
    <x v="0"/>
    <x v="110"/>
    <s v=""/>
    <x v="4"/>
    <x v="2"/>
    <x v="4"/>
    <x v="3"/>
    <x v="0"/>
    <d v="1899-12-30T00:00:00"/>
    <d v="1899-12-30T00:00:00"/>
  </r>
  <r>
    <n v="296"/>
    <x v="0"/>
    <x v="18"/>
    <x v="261"/>
    <m/>
    <x v="4"/>
    <s v="SAN SEBASTIAN"/>
    <m/>
    <x v="1"/>
    <d v="2011-01-03T00:00:00"/>
    <x v="1"/>
    <d v="2011-12-31T00:00:00"/>
    <d v="2011-08-03T00:00:00"/>
    <x v="1"/>
    <x v="3"/>
    <x v="4"/>
    <x v="21"/>
    <x v="0"/>
    <m/>
    <m/>
    <x v="134"/>
    <m/>
    <m/>
    <x v="0"/>
    <x v="0"/>
    <n v="7000"/>
    <m/>
    <x v="1"/>
    <n v="0"/>
    <x v="0"/>
    <x v="0"/>
    <m/>
    <m/>
    <x v="0"/>
    <m/>
    <x v="0"/>
    <d v="2013-04-30T00:00:00"/>
    <x v="5"/>
    <x v="8"/>
    <s v="S"/>
    <x v="3"/>
    <x v="0"/>
    <x v="110"/>
    <s v=""/>
    <x v="4"/>
    <x v="2"/>
    <x v="4"/>
    <x v="3"/>
    <x v="0"/>
    <d v="1899-12-30T00:00:00"/>
    <d v="1899-12-30T00:00:00"/>
  </r>
  <r>
    <n v="297"/>
    <x v="0"/>
    <x v="42"/>
    <x v="262"/>
    <m/>
    <x v="4"/>
    <s v="INDIELISBOA"/>
    <m/>
    <x v="1"/>
    <d v="2011-01-03T00:00:00"/>
    <x v="1"/>
    <d v="2011-12-31T00:00:00"/>
    <d v="2011-08-19T00:00:00"/>
    <x v="1"/>
    <x v="3"/>
    <x v="4"/>
    <x v="21"/>
    <x v="0"/>
    <m/>
    <m/>
    <x v="102"/>
    <m/>
    <m/>
    <x v="0"/>
    <x v="0"/>
    <n v="750"/>
    <m/>
    <x v="1"/>
    <n v="0"/>
    <x v="0"/>
    <x v="0"/>
    <m/>
    <m/>
    <x v="0"/>
    <m/>
    <x v="0"/>
    <d v="2013-04-30T00:00:00"/>
    <x v="5"/>
    <x v="14"/>
    <s v="A"/>
    <x v="3"/>
    <x v="0"/>
    <x v="110"/>
    <s v=""/>
    <x v="4"/>
    <x v="2"/>
    <x v="4"/>
    <x v="3"/>
    <x v="0"/>
    <d v="1899-12-30T00:00:00"/>
    <d v="1899-12-30T00:00:00"/>
  </r>
  <r>
    <n v="298"/>
    <x v="0"/>
    <x v="28"/>
    <x v="251"/>
    <m/>
    <x v="4"/>
    <s v="INDIELISBOA"/>
    <m/>
    <x v="1"/>
    <d v="2011-01-03T00:00:00"/>
    <x v="1"/>
    <d v="2011-12-31T00:00:00"/>
    <d v="2011-08-19T00:00:00"/>
    <x v="1"/>
    <x v="3"/>
    <x v="4"/>
    <x v="21"/>
    <x v="0"/>
    <m/>
    <m/>
    <x v="102"/>
    <m/>
    <m/>
    <x v="0"/>
    <x v="0"/>
    <n v="750"/>
    <m/>
    <x v="1"/>
    <n v="0"/>
    <x v="0"/>
    <x v="0"/>
    <m/>
    <m/>
    <x v="0"/>
    <m/>
    <x v="0"/>
    <d v="2013-04-30T00:00:00"/>
    <x v="5"/>
    <x v="11"/>
    <s v="Q"/>
    <x v="3"/>
    <x v="0"/>
    <x v="110"/>
    <s v=""/>
    <x v="4"/>
    <x v="2"/>
    <x v="4"/>
    <x v="3"/>
    <x v="0"/>
    <d v="1899-12-30T00:00:00"/>
    <d v="1899-12-30T00:00:00"/>
  </r>
  <r>
    <n v="299"/>
    <x v="0"/>
    <x v="23"/>
    <x v="263"/>
    <m/>
    <x v="4"/>
    <m/>
    <m/>
    <x v="1"/>
    <d v="2011-01-03T00:00:00"/>
    <x v="1"/>
    <d v="2011-12-31T00:00:00"/>
    <d v="2011-08-19T00:00:00"/>
    <x v="1"/>
    <x v="3"/>
    <x v="4"/>
    <x v="21"/>
    <x v="0"/>
    <m/>
    <m/>
    <x v="122"/>
    <m/>
    <m/>
    <x v="0"/>
    <x v="0"/>
    <n v="5000"/>
    <m/>
    <x v="1"/>
    <n v="0"/>
    <x v="0"/>
    <x v="0"/>
    <m/>
    <m/>
    <x v="0"/>
    <m/>
    <x v="0"/>
    <d v="2013-04-30T00:00:00"/>
    <x v="5"/>
    <x v="9"/>
    <s v="N"/>
    <x v="3"/>
    <x v="0"/>
    <x v="110"/>
    <s v=""/>
    <x v="4"/>
    <x v="2"/>
    <x v="4"/>
    <x v="3"/>
    <x v="0"/>
    <d v="1899-12-30T00:00:00"/>
    <d v="1899-12-30T00:00:00"/>
  </r>
  <r>
    <n v="300"/>
    <x v="0"/>
    <x v="51"/>
    <x v="264"/>
    <m/>
    <x v="4"/>
    <s v="VILA DO CONDE"/>
    <m/>
    <x v="1"/>
    <d v="2011-01-03T00:00:00"/>
    <x v="1"/>
    <d v="2011-12-31T00:00:00"/>
    <d v="2011-08-19T00:00:00"/>
    <x v="1"/>
    <x v="3"/>
    <x v="4"/>
    <x v="21"/>
    <x v="0"/>
    <m/>
    <m/>
    <x v="135"/>
    <m/>
    <m/>
    <x v="0"/>
    <x v="0"/>
    <n v="400"/>
    <m/>
    <x v="1"/>
    <n v="0"/>
    <x v="0"/>
    <x v="0"/>
    <m/>
    <m/>
    <x v="0"/>
    <m/>
    <x v="0"/>
    <d v="2013-04-30T00:00:00"/>
    <x v="5"/>
    <x v="7"/>
    <s v="V"/>
    <x v="3"/>
    <x v="0"/>
    <x v="110"/>
    <s v=""/>
    <x v="4"/>
    <x v="2"/>
    <x v="4"/>
    <x v="3"/>
    <x v="0"/>
    <d v="1899-12-30T00:00:00"/>
    <d v="1899-12-30T00:00:00"/>
  </r>
  <r>
    <n v="301"/>
    <x v="0"/>
    <x v="30"/>
    <x v="265"/>
    <m/>
    <x v="4"/>
    <s v="ANNECY"/>
    <m/>
    <x v="1"/>
    <d v="2011-01-03T00:00:00"/>
    <x v="1"/>
    <d v="2011-12-31T00:00:00"/>
    <d v="2011-08-19T00:00:00"/>
    <x v="1"/>
    <x v="3"/>
    <x v="4"/>
    <x v="21"/>
    <x v="0"/>
    <m/>
    <m/>
    <x v="136"/>
    <m/>
    <m/>
    <x v="0"/>
    <x v="0"/>
    <n v="840.52"/>
    <m/>
    <x v="1"/>
    <n v="0"/>
    <x v="0"/>
    <x v="0"/>
    <m/>
    <m/>
    <x v="0"/>
    <m/>
    <x v="0"/>
    <d v="2013-04-30T00:00:00"/>
    <x v="5"/>
    <x v="12"/>
    <s v="3"/>
    <x v="3"/>
    <x v="0"/>
    <x v="110"/>
    <s v=""/>
    <x v="4"/>
    <x v="2"/>
    <x v="4"/>
    <x v="3"/>
    <x v="0"/>
    <d v="1899-12-30T00:00:00"/>
    <d v="1899-12-30T00:00:00"/>
  </r>
  <r>
    <n v="302"/>
    <x v="0"/>
    <x v="101"/>
    <x v="231"/>
    <m/>
    <x v="4"/>
    <s v="VENEZA"/>
    <m/>
    <x v="1"/>
    <d v="2011-01-03T00:00:00"/>
    <x v="1"/>
    <d v="2011-12-31T00:00:00"/>
    <d v="2011-08-11T00:00:00"/>
    <x v="1"/>
    <x v="3"/>
    <x v="4"/>
    <x v="21"/>
    <x v="0"/>
    <m/>
    <m/>
    <x v="45"/>
    <m/>
    <m/>
    <x v="0"/>
    <x v="0"/>
    <n v="10000"/>
    <m/>
    <x v="1"/>
    <n v="0"/>
    <x v="0"/>
    <x v="0"/>
    <m/>
    <m/>
    <x v="0"/>
    <m/>
    <x v="0"/>
    <d v="2013-04-30T00:00:00"/>
    <x v="5"/>
    <x v="0"/>
    <s v="C"/>
    <x v="3"/>
    <x v="0"/>
    <x v="110"/>
    <s v=""/>
    <x v="4"/>
    <x v="2"/>
    <x v="4"/>
    <x v="3"/>
    <x v="0"/>
    <d v="1899-12-30T00:00:00"/>
    <d v="1899-12-30T00:00:00"/>
  </r>
  <r>
    <n v="303"/>
    <x v="0"/>
    <x v="109"/>
    <x v="266"/>
    <m/>
    <x v="4"/>
    <m/>
    <m/>
    <x v="1"/>
    <d v="2011-01-03T00:00:00"/>
    <x v="1"/>
    <d v="2011-09-07T00:00:00"/>
    <d v="2013-01-23T00:00:00"/>
    <x v="11"/>
    <x v="0"/>
    <x v="0"/>
    <x v="3"/>
    <x v="0"/>
    <m/>
    <m/>
    <x v="27"/>
    <m/>
    <m/>
    <x v="0"/>
    <x v="0"/>
    <n v="500000"/>
    <m/>
    <x v="1"/>
    <n v="0"/>
    <x v="10"/>
    <x v="0"/>
    <m/>
    <m/>
    <x v="0"/>
    <m/>
    <x v="0"/>
    <d v="2012-02-17T00:00:00"/>
    <x v="2"/>
    <x v="21"/>
    <s v="C"/>
    <x v="3"/>
    <x v="0"/>
    <x v="110"/>
    <s v=""/>
    <x v="4"/>
    <x v="2"/>
    <x v="0"/>
    <x v="1"/>
    <x v="0"/>
    <d v="1899-12-30T00:00:00"/>
    <d v="1899-12-30T00:00:00"/>
  </r>
  <r>
    <n v="304"/>
    <x v="0"/>
    <x v="109"/>
    <x v="266"/>
    <m/>
    <x v="4"/>
    <m/>
    <m/>
    <x v="1"/>
    <d v="2011-01-03T00:00:00"/>
    <x v="1"/>
    <d v="2011-07-06T00:00:00"/>
    <d v="2012-08-06T00:00:00"/>
    <x v="10"/>
    <x v="0"/>
    <x v="0"/>
    <x v="10"/>
    <x v="0"/>
    <m/>
    <m/>
    <x v="137"/>
    <m/>
    <m/>
    <x v="0"/>
    <x v="0"/>
    <n v="400000"/>
    <m/>
    <x v="1"/>
    <n v="0"/>
    <x v="10"/>
    <x v="0"/>
    <m/>
    <m/>
    <x v="0"/>
    <m/>
    <x v="0"/>
    <d v="2012-08-13T00:00:00"/>
    <x v="0"/>
    <x v="21"/>
    <s v="C"/>
    <x v="3"/>
    <x v="0"/>
    <x v="110"/>
    <s v=""/>
    <x v="4"/>
    <x v="2"/>
    <x v="0"/>
    <x v="0"/>
    <x v="0"/>
    <d v="1899-12-30T00:00:00"/>
    <d v="1899-12-30T00:00:00"/>
  </r>
  <r>
    <n v="305"/>
    <x v="0"/>
    <x v="109"/>
    <x v="266"/>
    <m/>
    <x v="4"/>
    <m/>
    <m/>
    <x v="1"/>
    <d v="2011-01-03T00:00:00"/>
    <x v="1"/>
    <d v="2011-06-21T00:00:00"/>
    <d v="2012-08-06T00:00:00"/>
    <x v="10"/>
    <x v="0"/>
    <x v="1"/>
    <x v="2"/>
    <x v="1"/>
    <m/>
    <m/>
    <x v="80"/>
    <m/>
    <m/>
    <x v="0"/>
    <x v="0"/>
    <n v="50000"/>
    <m/>
    <x v="1"/>
    <n v="0"/>
    <x v="10"/>
    <x v="0"/>
    <m/>
    <m/>
    <x v="0"/>
    <m/>
    <x v="0"/>
    <d v="2012-08-13T00:00:00"/>
    <x v="1"/>
    <x v="21"/>
    <s v="C"/>
    <x v="3"/>
    <x v="0"/>
    <x v="110"/>
    <s v=""/>
    <x v="4"/>
    <x v="2"/>
    <x v="1"/>
    <x v="3"/>
    <x v="0"/>
    <d v="1899-12-30T00:00:00"/>
    <d v="1899-12-30T00:00:00"/>
  </r>
  <r>
    <n v="306"/>
    <x v="0"/>
    <x v="109"/>
    <x v="266"/>
    <m/>
    <x v="4"/>
    <m/>
    <m/>
    <x v="1"/>
    <d v="2011-01-03T00:00:00"/>
    <x v="1"/>
    <d v="2011-05-18T00:00:00"/>
    <d v="2012-08-06T00:00:00"/>
    <x v="10"/>
    <x v="0"/>
    <x v="0"/>
    <x v="1"/>
    <x v="0"/>
    <m/>
    <m/>
    <x v="27"/>
    <m/>
    <m/>
    <x v="0"/>
    <x v="0"/>
    <n v="500000"/>
    <m/>
    <x v="1"/>
    <n v="0"/>
    <x v="10"/>
    <x v="0"/>
    <m/>
    <m/>
    <x v="0"/>
    <m/>
    <x v="0"/>
    <d v="2012-08-13T00:00:00"/>
    <x v="1"/>
    <x v="21"/>
    <s v="C"/>
    <x v="3"/>
    <x v="0"/>
    <x v="110"/>
    <s v=""/>
    <x v="4"/>
    <x v="2"/>
    <x v="1"/>
    <x v="1"/>
    <x v="0"/>
    <d v="1899-12-30T00:00:00"/>
    <d v="1899-12-30T00:00:00"/>
  </r>
  <r>
    <n v="307"/>
    <x v="0"/>
    <x v="109"/>
    <x v="266"/>
    <m/>
    <x v="4"/>
    <m/>
    <m/>
    <x v="1"/>
    <d v="2011-01-03T00:00:00"/>
    <x v="1"/>
    <d v="2011-03-16T00:00:00"/>
    <d v="2012-08-06T00:00:00"/>
    <x v="10"/>
    <x v="0"/>
    <x v="0"/>
    <x v="11"/>
    <x v="0"/>
    <m/>
    <m/>
    <x v="138"/>
    <m/>
    <m/>
    <x v="0"/>
    <x v="0"/>
    <n v="1000000"/>
    <m/>
    <x v="1"/>
    <n v="0"/>
    <x v="10"/>
    <x v="0"/>
    <m/>
    <m/>
    <x v="0"/>
    <m/>
    <x v="0"/>
    <d v="2012-08-13T00:00:00"/>
    <x v="0"/>
    <x v="21"/>
    <s v="C"/>
    <x v="3"/>
    <x v="0"/>
    <x v="110"/>
    <s v=""/>
    <x v="4"/>
    <x v="2"/>
    <x v="0"/>
    <x v="0"/>
    <x v="0"/>
    <d v="1899-12-30T00:00:00"/>
    <d v="1899-12-30T00:00:00"/>
  </r>
  <r>
    <n v="308"/>
    <x v="0"/>
    <x v="109"/>
    <x v="266"/>
    <m/>
    <x v="4"/>
    <m/>
    <m/>
    <x v="0"/>
    <d v="2011-01-03T00:00:00"/>
    <x v="1"/>
    <d v="2011-06-01T00:00:00"/>
    <d v="2013-01-23T00:00:00"/>
    <x v="11"/>
    <x v="0"/>
    <x v="0"/>
    <x v="4"/>
    <x v="0"/>
    <m/>
    <m/>
    <x v="98"/>
    <m/>
    <m/>
    <x v="0"/>
    <x v="0"/>
    <n v="300000"/>
    <m/>
    <x v="1"/>
    <n v="0"/>
    <x v="10"/>
    <x v="0"/>
    <m/>
    <m/>
    <x v="0"/>
    <m/>
    <x v="0"/>
    <d v="2012-02-20T00:00:00"/>
    <x v="3"/>
    <x v="21"/>
    <s v="C"/>
    <x v="3"/>
    <x v="0"/>
    <x v="110"/>
    <s v=""/>
    <x v="4"/>
    <x v="2"/>
    <x v="2"/>
    <x v="3"/>
    <x v="0"/>
    <d v="1899-12-30T00:00:00"/>
    <d v="1899-12-30T00:00:00"/>
  </r>
  <r>
    <n v="309"/>
    <x v="0"/>
    <x v="109"/>
    <x v="266"/>
    <m/>
    <x v="4"/>
    <m/>
    <m/>
    <x v="2"/>
    <d v="2011-01-03T00:00:00"/>
    <x v="1"/>
    <d v="2011-11-09T00:00:00"/>
    <d v="2013-03-19T00:00:00"/>
    <x v="11"/>
    <x v="0"/>
    <x v="0"/>
    <x v="0"/>
    <x v="0"/>
    <m/>
    <m/>
    <x v="139"/>
    <m/>
    <m/>
    <x v="0"/>
    <x v="0"/>
    <n v="1200000"/>
    <m/>
    <x v="1"/>
    <n v="0"/>
    <x v="10"/>
    <x v="0"/>
    <m/>
    <m/>
    <x v="0"/>
    <m/>
    <x v="0"/>
    <d v="2013-03-20T00:00:00"/>
    <x v="0"/>
    <x v="21"/>
    <s v="C"/>
    <x v="3"/>
    <x v="0"/>
    <x v="110"/>
    <s v=""/>
    <x v="4"/>
    <x v="2"/>
    <x v="0"/>
    <x v="0"/>
    <x v="0"/>
    <d v="1899-12-30T00:00:00"/>
    <d v="1899-12-30T00:00:00"/>
  </r>
  <r>
    <n v="310"/>
    <x v="0"/>
    <x v="109"/>
    <x v="266"/>
    <m/>
    <x v="4"/>
    <m/>
    <m/>
    <x v="2"/>
    <d v="2011-01-03T00:00:00"/>
    <x v="1"/>
    <d v="2011-12-06T00:00:00"/>
    <d v="2013-02-26T00:00:00"/>
    <x v="11"/>
    <x v="0"/>
    <x v="0"/>
    <x v="4"/>
    <x v="0"/>
    <m/>
    <m/>
    <x v="98"/>
    <m/>
    <m/>
    <x v="0"/>
    <x v="0"/>
    <n v="300000"/>
    <m/>
    <x v="1"/>
    <n v="0"/>
    <x v="10"/>
    <x v="0"/>
    <m/>
    <m/>
    <x v="0"/>
    <m/>
    <x v="0"/>
    <d v="2013-02-28T00:00:00"/>
    <x v="3"/>
    <x v="21"/>
    <s v="C"/>
    <x v="3"/>
    <x v="0"/>
    <x v="110"/>
    <s v=""/>
    <x v="4"/>
    <x v="2"/>
    <x v="2"/>
    <x v="3"/>
    <x v="0"/>
    <d v="1899-12-30T00:00:00"/>
    <d v="1899-12-30T00:00:00"/>
  </r>
  <r>
    <n v="311"/>
    <x v="0"/>
    <x v="109"/>
    <x v="266"/>
    <m/>
    <x v="4"/>
    <m/>
    <m/>
    <x v="1"/>
    <d v="2011-01-03T00:00:00"/>
    <x v="1"/>
    <d v="2011-07-27T00:00:00"/>
    <d v="2012-08-06T00:00:00"/>
    <x v="10"/>
    <x v="0"/>
    <x v="0"/>
    <x v="8"/>
    <x v="0"/>
    <m/>
    <m/>
    <x v="21"/>
    <m/>
    <m/>
    <x v="0"/>
    <x v="0"/>
    <n v="450000"/>
    <m/>
    <x v="1"/>
    <n v="0"/>
    <x v="10"/>
    <x v="0"/>
    <m/>
    <m/>
    <x v="0"/>
    <m/>
    <x v="0"/>
    <d v="2012-08-13T00:00:00"/>
    <x v="0"/>
    <x v="21"/>
    <s v="C"/>
    <x v="3"/>
    <x v="0"/>
    <x v="110"/>
    <s v=""/>
    <x v="4"/>
    <x v="2"/>
    <x v="0"/>
    <x v="0"/>
    <x v="0"/>
    <d v="1899-12-30T00:00:00"/>
    <d v="1899-12-30T00:00:00"/>
  </r>
  <r>
    <n v="312"/>
    <x v="0"/>
    <x v="109"/>
    <x v="266"/>
    <m/>
    <x v="4"/>
    <m/>
    <m/>
    <x v="1"/>
    <d v="2011-01-03T00:00:00"/>
    <x v="1"/>
    <d v="2011-07-27T00:00:00"/>
    <d v="2012-08-06T00:00:00"/>
    <x v="10"/>
    <x v="0"/>
    <x v="0"/>
    <x v="8"/>
    <x v="0"/>
    <m/>
    <m/>
    <x v="75"/>
    <m/>
    <m/>
    <x v="0"/>
    <x v="0"/>
    <n v="40000"/>
    <m/>
    <x v="1"/>
    <n v="0"/>
    <x v="10"/>
    <x v="0"/>
    <m/>
    <m/>
    <x v="0"/>
    <m/>
    <x v="0"/>
    <d v="2012-08-13T00:00:00"/>
    <x v="3"/>
    <x v="21"/>
    <s v="C"/>
    <x v="3"/>
    <x v="0"/>
    <x v="110"/>
    <s v=""/>
    <x v="4"/>
    <x v="2"/>
    <x v="2"/>
    <x v="3"/>
    <x v="0"/>
    <d v="1899-12-30T00:00:00"/>
    <d v="1899-12-30T00:00:00"/>
  </r>
  <r>
    <n v="313"/>
    <x v="0"/>
    <x v="13"/>
    <x v="267"/>
    <m/>
    <x v="4"/>
    <s v="FRANÇA"/>
    <m/>
    <x v="1"/>
    <d v="2011-01-03T00:00:00"/>
    <x v="1"/>
    <d v="2013-12-31T00:00:00"/>
    <d v="2011-04-08T00:00:00"/>
    <x v="1"/>
    <x v="1"/>
    <x v="2"/>
    <x v="16"/>
    <x v="0"/>
    <m/>
    <m/>
    <x v="78"/>
    <m/>
    <m/>
    <x v="0"/>
    <x v="0"/>
    <n v="12500"/>
    <m/>
    <x v="1"/>
    <n v="0"/>
    <x v="0"/>
    <x v="0"/>
    <m/>
    <m/>
    <x v="0"/>
    <m/>
    <x v="0"/>
    <d v="2013-04-23T00:00:00"/>
    <x v="5"/>
    <x v="4"/>
    <s v="O"/>
    <x v="3"/>
    <x v="0"/>
    <x v="52"/>
    <s v=""/>
    <x v="4"/>
    <x v="2"/>
    <x v="4"/>
    <x v="3"/>
    <x v="0"/>
    <d v="1899-12-30T00:00:00"/>
    <d v="1899-12-30T00:00:00"/>
  </r>
  <r>
    <n v="314"/>
    <x v="0"/>
    <x v="51"/>
    <x v="268"/>
    <m/>
    <x v="4"/>
    <s v="MOÇAMBIQUE"/>
    <m/>
    <x v="1"/>
    <d v="2011-01-03T00:00:00"/>
    <x v="1"/>
    <d v="2011-12-31T00:00:00"/>
    <d v="2011-12-16T00:00:00"/>
    <x v="1"/>
    <x v="1"/>
    <x v="2"/>
    <x v="16"/>
    <x v="0"/>
    <m/>
    <d v="2011-12-16T00:00:00"/>
    <x v="78"/>
    <m/>
    <m/>
    <x v="0"/>
    <x v="0"/>
    <n v="12500"/>
    <m/>
    <x v="1"/>
    <n v="0"/>
    <x v="0"/>
    <x v="0"/>
    <m/>
    <m/>
    <x v="0"/>
    <m/>
    <x v="0"/>
    <d v="2013-04-23T00:00:00"/>
    <x v="5"/>
    <x v="7"/>
    <s v="Q"/>
    <x v="3"/>
    <x v="0"/>
    <x v="110"/>
    <s v=""/>
    <x v="4"/>
    <x v="2"/>
    <x v="4"/>
    <x v="3"/>
    <x v="0"/>
    <d v="1899-12-30T00:00:00"/>
    <d v="1899-12-30T00:00:00"/>
  </r>
  <r>
    <n v="315"/>
    <x v="0"/>
    <x v="25"/>
    <x v="269"/>
    <m/>
    <x v="4"/>
    <s v="BRASIL"/>
    <m/>
    <x v="1"/>
    <d v="2011-01-03T00:00:00"/>
    <x v="1"/>
    <d v="2011-12-31T00:00:00"/>
    <d v="2012-12-30T00:00:00"/>
    <x v="10"/>
    <x v="1"/>
    <x v="2"/>
    <x v="16"/>
    <x v="0"/>
    <m/>
    <d v="2011-12-30T00:00:00"/>
    <x v="45"/>
    <m/>
    <m/>
    <x v="0"/>
    <x v="0"/>
    <n v="10000"/>
    <n v="0"/>
    <x v="1"/>
    <n v="0"/>
    <x v="0"/>
    <x v="0"/>
    <m/>
    <m/>
    <x v="0"/>
    <m/>
    <x v="0"/>
    <d v="2013-04-23T00:00:00"/>
    <x v="5"/>
    <x v="10"/>
    <s v="E"/>
    <x v="3"/>
    <x v="0"/>
    <x v="110"/>
    <s v=""/>
    <x v="4"/>
    <x v="2"/>
    <x v="4"/>
    <x v="3"/>
    <x v="0"/>
    <d v="1899-12-30T00:00:00"/>
    <d v="1899-12-30T00:00:00"/>
  </r>
  <r>
    <n v="316"/>
    <x v="0"/>
    <x v="51"/>
    <x v="268"/>
    <m/>
    <x v="4"/>
    <s v="ANGOLA"/>
    <m/>
    <x v="1"/>
    <d v="2011-01-03T00:00:00"/>
    <x v="1"/>
    <d v="2011-12-31T00:00:00"/>
    <d v="2012-12-22T00:00:00"/>
    <x v="10"/>
    <x v="1"/>
    <x v="2"/>
    <x v="16"/>
    <x v="0"/>
    <m/>
    <m/>
    <x v="78"/>
    <m/>
    <m/>
    <x v="0"/>
    <x v="0"/>
    <n v="12500"/>
    <m/>
    <x v="1"/>
    <n v="0"/>
    <x v="0"/>
    <x v="0"/>
    <m/>
    <m/>
    <x v="0"/>
    <m/>
    <x v="0"/>
    <d v="2013-04-23T00:00:00"/>
    <x v="5"/>
    <x v="7"/>
    <s v="Q"/>
    <x v="3"/>
    <x v="0"/>
    <x v="110"/>
    <s v=""/>
    <x v="4"/>
    <x v="2"/>
    <x v="4"/>
    <x v="3"/>
    <x v="0"/>
    <d v="1899-12-30T00:00:00"/>
    <d v="1899-12-30T00:00:00"/>
  </r>
  <r>
    <n v="317"/>
    <x v="0"/>
    <x v="51"/>
    <x v="270"/>
    <m/>
    <x v="4"/>
    <s v="ESPANHA"/>
    <m/>
    <x v="1"/>
    <d v="2011-01-03T00:00:00"/>
    <x v="1"/>
    <d v="2011-12-31T00:00:00"/>
    <d v="2012-12-22T00:00:00"/>
    <x v="10"/>
    <x v="1"/>
    <x v="2"/>
    <x v="16"/>
    <x v="0"/>
    <m/>
    <m/>
    <x v="140"/>
    <m/>
    <m/>
    <x v="0"/>
    <x v="0"/>
    <n v="12000"/>
    <m/>
    <x v="1"/>
    <n v="0"/>
    <x v="0"/>
    <x v="0"/>
    <m/>
    <m/>
    <x v="0"/>
    <m/>
    <x v="0"/>
    <d v="2013-04-23T00:00:00"/>
    <x v="5"/>
    <x v="7"/>
    <s v="M"/>
    <x v="3"/>
    <x v="0"/>
    <x v="110"/>
    <s v=""/>
    <x v="4"/>
    <x v="2"/>
    <x v="4"/>
    <x v="3"/>
    <x v="0"/>
    <d v="1899-12-30T00:00:00"/>
    <d v="1899-12-30T00:00:00"/>
  </r>
  <r>
    <n v="318"/>
    <x v="0"/>
    <x v="110"/>
    <x v="271"/>
    <m/>
    <x v="4"/>
    <s v="EUA - OSCAR"/>
    <s v="União Ibérica"/>
    <x v="1"/>
    <d v="2011-01-03T00:00:00"/>
    <x v="1"/>
    <d v="2011-12-31T00:00:00"/>
    <d v="2012-12-30T00:00:00"/>
    <x v="10"/>
    <x v="1"/>
    <x v="2"/>
    <x v="16"/>
    <x v="0"/>
    <m/>
    <d v="2011-12-30T00:00:00"/>
    <x v="141"/>
    <m/>
    <m/>
    <x v="0"/>
    <x v="0"/>
    <n v="3000"/>
    <n v="0"/>
    <x v="1"/>
    <n v="0"/>
    <x v="0"/>
    <x v="0"/>
    <m/>
    <m/>
    <x v="0"/>
    <m/>
    <x v="0"/>
    <d v="2012-10-03T00:00:00"/>
    <x v="5"/>
    <x v="6"/>
    <s v="J"/>
    <x v="3"/>
    <x v="0"/>
    <x v="110"/>
    <s v=""/>
    <x v="4"/>
    <x v="2"/>
    <x v="4"/>
    <x v="3"/>
    <x v="0"/>
    <d v="1899-12-30T00:00:00"/>
    <d v="1899-12-30T00:00:00"/>
  </r>
  <r>
    <n v="319"/>
    <x v="0"/>
    <x v="97"/>
    <x v="272"/>
    <m/>
    <x v="4"/>
    <m/>
    <m/>
    <x v="3"/>
    <m/>
    <x v="8"/>
    <m/>
    <m/>
    <x v="8"/>
    <x v="4"/>
    <x v="5"/>
    <x v="23"/>
    <x v="0"/>
    <m/>
    <m/>
    <x v="116"/>
    <m/>
    <m/>
    <x v="0"/>
    <x v="0"/>
    <n v="30000"/>
    <n v="0"/>
    <x v="1"/>
    <n v="0"/>
    <x v="7"/>
    <x v="0"/>
    <m/>
    <m/>
    <x v="0"/>
    <m/>
    <x v="0"/>
    <d v="2013-01-18T00:00:00"/>
    <x v="5"/>
    <x v="14"/>
    <s v="P"/>
    <x v="3"/>
    <x v="0"/>
    <x v="110"/>
    <s v=""/>
    <x v="4"/>
    <x v="2"/>
    <x v="4"/>
    <x v="3"/>
    <x v="0"/>
    <d v="1899-12-30T00:00:00"/>
    <d v="1899-12-30T00:00:00"/>
  </r>
  <r>
    <n v="320"/>
    <x v="0"/>
    <x v="109"/>
    <x v="266"/>
    <m/>
    <x v="4"/>
    <m/>
    <m/>
    <x v="1"/>
    <d v="2011-01-03T00:00:00"/>
    <x v="1"/>
    <d v="2011-05-04T00:00:00"/>
    <d v="2012-08-06T00:00:00"/>
    <x v="10"/>
    <x v="0"/>
    <x v="1"/>
    <x v="5"/>
    <x v="2"/>
    <m/>
    <m/>
    <x v="80"/>
    <m/>
    <m/>
    <x v="0"/>
    <x v="0"/>
    <n v="50000"/>
    <m/>
    <x v="1"/>
    <n v="0"/>
    <x v="10"/>
    <x v="0"/>
    <m/>
    <m/>
    <x v="0"/>
    <m/>
    <x v="0"/>
    <d v="2012-08-13T00:00:00"/>
    <x v="3"/>
    <x v="21"/>
    <s v="C"/>
    <x v="3"/>
    <x v="0"/>
    <x v="110"/>
    <s v=""/>
    <x v="4"/>
    <x v="2"/>
    <x v="2"/>
    <x v="3"/>
    <x v="0"/>
    <d v="1899-12-30T00:00:00"/>
    <d v="1899-12-30T00:00:00"/>
  </r>
  <r>
    <n v="321"/>
    <x v="0"/>
    <x v="111"/>
    <x v="273"/>
    <m/>
    <x v="4"/>
    <m/>
    <m/>
    <x v="3"/>
    <m/>
    <x v="8"/>
    <m/>
    <m/>
    <x v="8"/>
    <x v="0"/>
    <x v="1"/>
    <x v="5"/>
    <x v="2"/>
    <m/>
    <d v="1997-12-05T00:00:00"/>
    <x v="142"/>
    <n v="0"/>
    <m/>
    <x v="0"/>
    <x v="0"/>
    <n v="0"/>
    <n v="0"/>
    <x v="1"/>
    <n v="0"/>
    <x v="7"/>
    <x v="0"/>
    <m/>
    <m/>
    <x v="0"/>
    <m/>
    <x v="0"/>
    <d v="2013-01-18T00:00:00"/>
    <x v="3"/>
    <x v="2"/>
    <s v="R"/>
    <x v="3"/>
    <x v="0"/>
    <x v="110"/>
    <s v=""/>
    <x v="4"/>
    <x v="2"/>
    <x v="2"/>
    <x v="3"/>
    <x v="0"/>
    <d v="1899-12-30T00:00:00"/>
    <d v="1899-12-30T00:00:00"/>
  </r>
  <r>
    <n v="322"/>
    <x v="0"/>
    <x v="112"/>
    <x v="274"/>
    <n v="902"/>
    <x v="112"/>
    <m/>
    <m/>
    <x v="0"/>
    <d v="1999-06-18T00:00:00"/>
    <x v="12"/>
    <m/>
    <d v="1999-10-29T00:00:00"/>
    <x v="12"/>
    <x v="0"/>
    <x v="0"/>
    <x v="3"/>
    <x v="0"/>
    <m/>
    <d v="2000-04-18T00:00:00"/>
    <x v="143"/>
    <n v="31673.66"/>
    <m/>
    <x v="0"/>
    <x v="0"/>
    <n v="31673.66"/>
    <n v="0"/>
    <x v="1"/>
    <n v="0"/>
    <x v="0"/>
    <x v="0"/>
    <m/>
    <m/>
    <x v="0"/>
    <d v="2001-01-17T00:00:00"/>
    <x v="0"/>
    <d v="2013-01-28T00:00:00"/>
    <x v="2"/>
    <x v="3"/>
    <s v="A"/>
    <x v="9"/>
    <x v="0"/>
    <x v="125"/>
    <s v="Elsa Bruxelas"/>
    <x v="20"/>
    <x v="10"/>
    <x v="0"/>
    <x v="1"/>
    <x v="0"/>
    <d v="1899-12-30T00:00:00"/>
    <d v="1899-12-30T00:00:00"/>
  </r>
  <r>
    <n v="323"/>
    <x v="0"/>
    <x v="113"/>
    <x v="275"/>
    <m/>
    <x v="4"/>
    <m/>
    <m/>
    <x v="1"/>
    <m/>
    <x v="8"/>
    <m/>
    <m/>
    <x v="8"/>
    <x v="0"/>
    <x v="0"/>
    <x v="1"/>
    <x v="0"/>
    <m/>
    <m/>
    <x v="144"/>
    <n v="32559.03"/>
    <m/>
    <x v="0"/>
    <x v="0"/>
    <n v="32559.03"/>
    <n v="0"/>
    <x v="1"/>
    <n v="0"/>
    <x v="0"/>
    <x v="0"/>
    <m/>
    <m/>
    <x v="0"/>
    <m/>
    <x v="0"/>
    <d v="2013-01-18T00:00:00"/>
    <x v="1"/>
    <x v="8"/>
    <s v="J"/>
    <x v="3"/>
    <x v="0"/>
    <x v="126"/>
    <s v=""/>
    <x v="4"/>
    <x v="2"/>
    <x v="1"/>
    <x v="1"/>
    <x v="0"/>
    <d v="1899-12-30T00:00:00"/>
    <d v="1899-12-30T00:00:00"/>
  </r>
  <r>
    <n v="324"/>
    <x v="0"/>
    <x v="114"/>
    <x v="276"/>
    <n v="11765"/>
    <x v="113"/>
    <m/>
    <s v="DO OUTRO LADO"/>
    <x v="0"/>
    <d v="1998-03-13T00:00:00"/>
    <x v="13"/>
    <m/>
    <d v="1998-06-04T00:00:00"/>
    <x v="13"/>
    <x v="0"/>
    <x v="0"/>
    <x v="3"/>
    <x v="0"/>
    <m/>
    <m/>
    <x v="143"/>
    <n v="37906.89"/>
    <m/>
    <x v="0"/>
    <x v="0"/>
    <n v="37906.89"/>
    <n v="0"/>
    <x v="1"/>
    <n v="0"/>
    <x v="0"/>
    <x v="0"/>
    <m/>
    <m/>
    <x v="0"/>
    <d v="1999-06-29T00:00:00"/>
    <x v="0"/>
    <d v="2013-01-28T00:00:00"/>
    <x v="2"/>
    <x v="10"/>
    <s v="E"/>
    <x v="10"/>
    <x v="0"/>
    <x v="32"/>
    <s v="Margarida Cardoso"/>
    <x v="88"/>
    <x v="11"/>
    <x v="0"/>
    <x v="1"/>
    <x v="0"/>
    <d v="1899-12-30T00:00:00"/>
    <d v="1899-12-30T00:00:00"/>
  </r>
  <r>
    <n v="325"/>
    <x v="0"/>
    <x v="115"/>
    <x v="277"/>
    <n v="11766"/>
    <x v="114"/>
    <m/>
    <s v="LISBOA AFRICANA"/>
    <x v="3"/>
    <m/>
    <x v="8"/>
    <m/>
    <m/>
    <x v="8"/>
    <x v="0"/>
    <x v="0"/>
    <x v="4"/>
    <x v="0"/>
    <m/>
    <m/>
    <x v="143"/>
    <n v="36162.85"/>
    <m/>
    <x v="0"/>
    <x v="0"/>
    <n v="36162.85"/>
    <n v="0"/>
    <x v="1"/>
    <n v="0"/>
    <x v="0"/>
    <x v="0"/>
    <m/>
    <m/>
    <x v="0"/>
    <d v="1996-12-31T00:00:00"/>
    <x v="0"/>
    <d v="2013-01-18T00:00:00"/>
    <x v="3"/>
    <x v="12"/>
    <s v="A"/>
    <x v="11"/>
    <x v="0"/>
    <x v="127"/>
    <s v="Ariel de Bigault"/>
    <x v="89"/>
    <x v="12"/>
    <x v="2"/>
    <x v="1"/>
    <x v="0"/>
    <d v="1899-12-30T00:00:00"/>
    <d v="1899-12-30T00:00:00"/>
  </r>
  <r>
    <n v="326"/>
    <x v="0"/>
    <x v="52"/>
    <x v="278"/>
    <m/>
    <x v="4"/>
    <m/>
    <m/>
    <x v="2"/>
    <d v="2009-01-02T00:00:00"/>
    <x v="0"/>
    <d v="2009-11-11T00:00:00"/>
    <d v="2010-03-26T00:00:00"/>
    <x v="2"/>
    <x v="0"/>
    <x v="0"/>
    <x v="0"/>
    <x v="0"/>
    <m/>
    <d v="2010-04-19T00:00:00"/>
    <x v="46"/>
    <m/>
    <m/>
    <x v="0"/>
    <x v="0"/>
    <n v="630000"/>
    <m/>
    <x v="1"/>
    <n v="0"/>
    <x v="7"/>
    <x v="0"/>
    <m/>
    <m/>
    <x v="1"/>
    <m/>
    <x v="0"/>
    <d v="2012-07-17T00:00:00"/>
    <x v="0"/>
    <x v="2"/>
    <s v="A"/>
    <x v="3"/>
    <x v="0"/>
    <x v="128"/>
    <s v=""/>
    <x v="4"/>
    <x v="2"/>
    <x v="0"/>
    <x v="0"/>
    <x v="0"/>
    <d v="1899-12-30T00:00:00"/>
    <d v="1899-12-30T00:00:00"/>
  </r>
  <r>
    <n v="327"/>
    <x v="0"/>
    <x v="116"/>
    <x v="279"/>
    <m/>
    <x v="4"/>
    <m/>
    <m/>
    <x v="3"/>
    <m/>
    <x v="8"/>
    <m/>
    <m/>
    <x v="8"/>
    <x v="3"/>
    <x v="4"/>
    <x v="25"/>
    <x v="0"/>
    <m/>
    <m/>
    <x v="31"/>
    <m/>
    <m/>
    <x v="0"/>
    <x v="0"/>
    <n v="7500"/>
    <n v="0"/>
    <x v="1"/>
    <n v="0"/>
    <x v="0"/>
    <x v="1"/>
    <m/>
    <m/>
    <x v="0"/>
    <m/>
    <x v="3"/>
    <d v="2012-11-27T00:00:00"/>
    <x v="5"/>
    <x v="0"/>
    <s v="A"/>
    <x v="3"/>
    <x v="0"/>
    <x v="110"/>
    <s v=""/>
    <x v="4"/>
    <x v="2"/>
    <x v="4"/>
    <x v="3"/>
    <x v="0"/>
    <d v="1899-12-30T00:00:00"/>
    <d v="1899-12-30T00:00:00"/>
  </r>
  <r>
    <n v="328"/>
    <x v="0"/>
    <x v="117"/>
    <x v="280"/>
    <n v="12004"/>
    <x v="115"/>
    <m/>
    <m/>
    <x v="1"/>
    <m/>
    <x v="8"/>
    <m/>
    <m/>
    <x v="8"/>
    <x v="0"/>
    <x v="0"/>
    <x v="1"/>
    <x v="0"/>
    <m/>
    <m/>
    <x v="145"/>
    <m/>
    <m/>
    <x v="0"/>
    <x v="0"/>
    <n v="28186.89"/>
    <m/>
    <x v="1"/>
    <n v="0"/>
    <x v="0"/>
    <x v="1"/>
    <m/>
    <m/>
    <x v="0"/>
    <d v="2004-01-22T00:00:00"/>
    <x v="0"/>
    <d v="2012-07-17T00:00:00"/>
    <x v="1"/>
    <x v="9"/>
    <s v="D"/>
    <x v="12"/>
    <x v="0"/>
    <x v="129"/>
    <s v="Mário Vasques Neves"/>
    <x v="90"/>
    <x v="13"/>
    <x v="1"/>
    <x v="2"/>
    <x v="1"/>
    <d v="1899-12-30T00:00:00"/>
    <d v="1899-12-30T00:00:00"/>
  </r>
  <r>
    <n v="329"/>
    <x v="0"/>
    <x v="118"/>
    <x v="281"/>
    <m/>
    <x v="4"/>
    <s v="OSCAR"/>
    <m/>
    <x v="3"/>
    <m/>
    <x v="8"/>
    <m/>
    <m/>
    <x v="8"/>
    <x v="3"/>
    <x v="4"/>
    <x v="21"/>
    <x v="0"/>
    <m/>
    <d v="2005-11-28T00:00:00"/>
    <x v="45"/>
    <n v="8000"/>
    <m/>
    <x v="0"/>
    <x v="0"/>
    <n v="8000"/>
    <n v="0"/>
    <x v="1"/>
    <n v="0"/>
    <x v="0"/>
    <x v="0"/>
    <m/>
    <m/>
    <x v="0"/>
    <m/>
    <x v="3"/>
    <d v="2013-01-18T00:00:00"/>
    <x v="5"/>
    <x v="8"/>
    <s v="N"/>
    <x v="3"/>
    <x v="0"/>
    <x v="110"/>
    <s v=""/>
    <x v="4"/>
    <x v="2"/>
    <x v="4"/>
    <x v="3"/>
    <x v="0"/>
    <d v="1899-12-30T00:00:00"/>
    <d v="1899-12-30T00:00:00"/>
  </r>
  <r>
    <n v="330"/>
    <x v="0"/>
    <x v="119"/>
    <x v="282"/>
    <m/>
    <x v="4"/>
    <m/>
    <m/>
    <x v="3"/>
    <m/>
    <x v="8"/>
    <m/>
    <m/>
    <x v="8"/>
    <x v="3"/>
    <x v="4"/>
    <x v="20"/>
    <x v="0"/>
    <m/>
    <m/>
    <x v="122"/>
    <m/>
    <m/>
    <x v="0"/>
    <x v="0"/>
    <n v="5000"/>
    <n v="0"/>
    <x v="1"/>
    <n v="0"/>
    <x v="7"/>
    <x v="0"/>
    <m/>
    <m/>
    <x v="0"/>
    <m/>
    <x v="0"/>
    <d v="2013-01-18T00:00:00"/>
    <x v="5"/>
    <x v="0"/>
    <s v="F"/>
    <x v="3"/>
    <x v="0"/>
    <x v="110"/>
    <s v=""/>
    <x v="4"/>
    <x v="2"/>
    <x v="4"/>
    <x v="3"/>
    <x v="0"/>
    <d v="1899-12-30T00:00:00"/>
    <d v="1899-12-30T00:00:00"/>
  </r>
  <r>
    <n v="331"/>
    <x v="0"/>
    <x v="120"/>
    <x v="283"/>
    <m/>
    <x v="4"/>
    <m/>
    <m/>
    <x v="3"/>
    <m/>
    <x v="8"/>
    <m/>
    <m/>
    <x v="8"/>
    <x v="3"/>
    <x v="4"/>
    <x v="20"/>
    <x v="0"/>
    <m/>
    <m/>
    <x v="45"/>
    <n v="8000"/>
    <m/>
    <x v="0"/>
    <x v="0"/>
    <n v="8000"/>
    <n v="0"/>
    <x v="1"/>
    <n v="0"/>
    <x v="0"/>
    <x v="0"/>
    <m/>
    <m/>
    <x v="0"/>
    <m/>
    <x v="0"/>
    <d v="2013-01-18T00:00:00"/>
    <x v="5"/>
    <x v="19"/>
    <s v="F"/>
    <x v="3"/>
    <x v="0"/>
    <x v="110"/>
    <s v=""/>
    <x v="4"/>
    <x v="2"/>
    <x v="4"/>
    <x v="3"/>
    <x v="0"/>
    <d v="1899-12-30T00:00:00"/>
    <d v="1899-12-30T00:00:00"/>
  </r>
  <r>
    <n v="332"/>
    <x v="0"/>
    <x v="66"/>
    <x v="284"/>
    <m/>
    <x v="4"/>
    <m/>
    <m/>
    <x v="3"/>
    <m/>
    <x v="8"/>
    <m/>
    <m/>
    <x v="8"/>
    <x v="2"/>
    <x v="3"/>
    <x v="18"/>
    <x v="0"/>
    <m/>
    <d v="2006-04-20T00:00:00"/>
    <x v="146"/>
    <m/>
    <m/>
    <x v="0"/>
    <x v="0"/>
    <n v="2317.19"/>
    <n v="0"/>
    <x v="1"/>
    <n v="0"/>
    <x v="0"/>
    <x v="0"/>
    <m/>
    <m/>
    <x v="0"/>
    <m/>
    <x v="0"/>
    <d v="2012-10-25T00:00:00"/>
    <x v="5"/>
    <x v="2"/>
    <s v="C"/>
    <x v="3"/>
    <x v="0"/>
    <x v="110"/>
    <s v=""/>
    <x v="4"/>
    <x v="2"/>
    <x v="4"/>
    <x v="3"/>
    <x v="0"/>
    <d v="1899-12-30T00:00:00"/>
    <d v="1899-12-30T00:00:00"/>
  </r>
  <r>
    <n v="333"/>
    <x v="0"/>
    <x v="62"/>
    <x v="285"/>
    <m/>
    <x v="4"/>
    <m/>
    <m/>
    <x v="3"/>
    <m/>
    <x v="8"/>
    <m/>
    <m/>
    <x v="8"/>
    <x v="2"/>
    <x v="3"/>
    <x v="18"/>
    <x v="0"/>
    <m/>
    <d v="2010-11-29T00:00:00"/>
    <x v="147"/>
    <m/>
    <m/>
    <x v="0"/>
    <x v="0"/>
    <n v="6760.6"/>
    <n v="0"/>
    <x v="1"/>
    <n v="0"/>
    <x v="0"/>
    <x v="0"/>
    <m/>
    <m/>
    <x v="0"/>
    <m/>
    <x v="0"/>
    <d v="2012-10-25T00:00:00"/>
    <x v="5"/>
    <x v="2"/>
    <s v="R"/>
    <x v="3"/>
    <x v="0"/>
    <x v="110"/>
    <s v=""/>
    <x v="4"/>
    <x v="2"/>
    <x v="4"/>
    <x v="3"/>
    <x v="0"/>
    <d v="1899-12-30T00:00:00"/>
    <d v="1899-12-30T00:00:00"/>
  </r>
  <r>
    <n v="334"/>
    <x v="0"/>
    <x v="121"/>
    <x v="286"/>
    <m/>
    <x v="4"/>
    <m/>
    <m/>
    <x v="3"/>
    <m/>
    <x v="8"/>
    <m/>
    <m/>
    <x v="8"/>
    <x v="4"/>
    <x v="5"/>
    <x v="22"/>
    <x v="0"/>
    <m/>
    <m/>
    <x v="148"/>
    <m/>
    <m/>
    <x v="0"/>
    <x v="0"/>
    <n v="2250"/>
    <n v="0"/>
    <x v="1"/>
    <n v="0"/>
    <x v="7"/>
    <x v="0"/>
    <m/>
    <m/>
    <x v="0"/>
    <m/>
    <x v="0"/>
    <d v="2013-01-18T00:00:00"/>
    <x v="5"/>
    <x v="0"/>
    <s v="D"/>
    <x v="3"/>
    <x v="0"/>
    <x v="110"/>
    <s v=""/>
    <x v="4"/>
    <x v="2"/>
    <x v="4"/>
    <x v="3"/>
    <x v="0"/>
    <d v="1899-12-30T00:00:00"/>
    <d v="1899-12-30T00:00:00"/>
  </r>
  <r>
    <n v="335"/>
    <x v="0"/>
    <x v="72"/>
    <x v="208"/>
    <m/>
    <x v="4"/>
    <m/>
    <m/>
    <x v="3"/>
    <m/>
    <x v="8"/>
    <m/>
    <m/>
    <x v="8"/>
    <x v="4"/>
    <x v="5"/>
    <x v="22"/>
    <x v="0"/>
    <m/>
    <d v="2010-08-13T00:00:00"/>
    <x v="149"/>
    <m/>
    <m/>
    <x v="0"/>
    <x v="0"/>
    <n v="17250"/>
    <m/>
    <x v="1"/>
    <n v="0"/>
    <x v="0"/>
    <x v="0"/>
    <m/>
    <m/>
    <x v="0"/>
    <m/>
    <x v="0"/>
    <d v="2013-02-04T00:00:00"/>
    <x v="5"/>
    <x v="9"/>
    <s v="O"/>
    <x v="3"/>
    <x v="0"/>
    <x v="110"/>
    <s v=""/>
    <x v="4"/>
    <x v="2"/>
    <x v="4"/>
    <x v="3"/>
    <x v="0"/>
    <d v="1899-12-30T00:00:00"/>
    <d v="1899-12-30T00:00:00"/>
  </r>
  <r>
    <n v="336"/>
    <x v="0"/>
    <x v="122"/>
    <x v="287"/>
    <m/>
    <x v="4"/>
    <m/>
    <m/>
    <x v="3"/>
    <m/>
    <x v="8"/>
    <m/>
    <m/>
    <x v="8"/>
    <x v="4"/>
    <x v="5"/>
    <x v="22"/>
    <x v="0"/>
    <m/>
    <d v="2004-11-13T00:00:00"/>
    <x v="61"/>
    <m/>
    <m/>
    <x v="0"/>
    <x v="0"/>
    <n v="2500"/>
    <n v="1250"/>
    <x v="1"/>
    <n v="1250"/>
    <x v="2"/>
    <x v="1"/>
    <m/>
    <m/>
    <x v="0"/>
    <m/>
    <x v="0"/>
    <d v="2014-01-23T00:00:00"/>
    <x v="5"/>
    <x v="19"/>
    <s v="P"/>
    <x v="3"/>
    <x v="0"/>
    <x v="110"/>
    <s v=""/>
    <x v="4"/>
    <x v="2"/>
    <x v="4"/>
    <x v="3"/>
    <x v="0"/>
    <d v="1899-12-30T00:00:00"/>
    <d v="1899-12-30T00:00:00"/>
  </r>
  <r>
    <n v="337"/>
    <x v="0"/>
    <x v="6"/>
    <x v="241"/>
    <n v="11565"/>
    <x v="116"/>
    <m/>
    <m/>
    <x v="0"/>
    <d v="2007-04-30T00:00:00"/>
    <x v="7"/>
    <d v="2007-07-31T00:00:00"/>
    <d v="2008-02-20T00:00:00"/>
    <x v="7"/>
    <x v="0"/>
    <x v="0"/>
    <x v="4"/>
    <x v="0"/>
    <m/>
    <d v="2008-04-16T00:00:00"/>
    <x v="15"/>
    <m/>
    <n v="11000"/>
    <x v="0"/>
    <x v="0"/>
    <n v="66000"/>
    <m/>
    <x v="1"/>
    <n v="0"/>
    <x v="0"/>
    <x v="0"/>
    <d v="2008-08-22T00:00:00"/>
    <d v="2010-04-05T00:00:00"/>
    <x v="11"/>
    <d v="2011-03-29T00:00:00"/>
    <x v="0"/>
    <d v="2012-08-10T00:00:00"/>
    <x v="3"/>
    <x v="2"/>
    <s v="A"/>
    <x v="2"/>
    <x v="0"/>
    <x v="130"/>
    <s v="Marcelo Felix"/>
    <x v="23"/>
    <x v="5"/>
    <x v="2"/>
    <x v="0"/>
    <x v="0"/>
    <d v="2008-08-22T00:00:00"/>
    <d v="2010-04-05T00:00:00"/>
  </r>
  <r>
    <n v="338"/>
    <x v="0"/>
    <x v="28"/>
    <x v="244"/>
    <n v="11157"/>
    <x v="117"/>
    <m/>
    <m/>
    <x v="1"/>
    <d v="2009-01-02T00:00:00"/>
    <x v="0"/>
    <d v="2009-07-22T00:00:00"/>
    <d v="2010-02-09T00:00:00"/>
    <x v="2"/>
    <x v="0"/>
    <x v="0"/>
    <x v="8"/>
    <x v="0"/>
    <m/>
    <d v="2010-04-20T00:00:00"/>
    <x v="3"/>
    <m/>
    <n v="4000"/>
    <x v="0"/>
    <x v="0"/>
    <n v="24000"/>
    <m/>
    <x v="1"/>
    <n v="0"/>
    <x v="0"/>
    <x v="0"/>
    <d v="2010-02-10T00:00:00"/>
    <d v="2010-05-31T00:00:00"/>
    <x v="12"/>
    <d v="2011-08-01T00:00:00"/>
    <x v="0"/>
    <d v="2012-08-10T00:00:00"/>
    <x v="3"/>
    <x v="11"/>
    <s v="C"/>
    <x v="2"/>
    <x v="0"/>
    <x v="131"/>
    <s v="Dulce Fernandes"/>
    <x v="91"/>
    <x v="5"/>
    <x v="2"/>
    <x v="0"/>
    <x v="0"/>
    <d v="2010-02-10T00:00:00"/>
    <d v="2010-05-31T00:00:00"/>
  </r>
  <r>
    <n v="339"/>
    <x v="0"/>
    <x v="9"/>
    <x v="288"/>
    <n v="11579"/>
    <x v="118"/>
    <m/>
    <s v="O SEGREDO DUM CORAÇÃO CULPADO"/>
    <x v="0"/>
    <d v="2009-01-02T00:00:00"/>
    <x v="0"/>
    <d v="2009-06-03T00:00:00"/>
    <d v="2010-02-09T00:00:00"/>
    <x v="2"/>
    <x v="0"/>
    <x v="0"/>
    <x v="4"/>
    <x v="0"/>
    <m/>
    <d v="2010-03-12T00:00:00"/>
    <x v="150"/>
    <m/>
    <n v="10500"/>
    <x v="0"/>
    <x v="0"/>
    <n v="63000"/>
    <m/>
    <x v="1"/>
    <n v="0"/>
    <x v="0"/>
    <x v="0"/>
    <d v="2009-09-07T00:00:00"/>
    <d v="2009-11-15T00:00:00"/>
    <x v="13"/>
    <d v="2011-03-15T00:00:00"/>
    <x v="0"/>
    <d v="2012-08-10T00:00:00"/>
    <x v="3"/>
    <x v="3"/>
    <s v="E"/>
    <x v="2"/>
    <x v="0"/>
    <x v="132"/>
    <s v="Daniel Blaufuks"/>
    <x v="92"/>
    <x v="5"/>
    <x v="2"/>
    <x v="0"/>
    <x v="0"/>
    <d v="2009-09-07T00:00:00"/>
    <d v="2009-11-15T00:00:00"/>
  </r>
  <r>
    <n v="340"/>
    <x v="0"/>
    <x v="17"/>
    <x v="289"/>
    <n v="11587"/>
    <x v="119"/>
    <m/>
    <s v="LICÍNIO DE AZEVEDO - O CONTADOR DE MOÇAMBIQUE"/>
    <x v="1"/>
    <d v="2009-01-02T00:00:00"/>
    <x v="0"/>
    <d v="2009-07-22T00:00:00"/>
    <d v="2010-02-09T00:00:00"/>
    <x v="2"/>
    <x v="0"/>
    <x v="0"/>
    <x v="4"/>
    <x v="0"/>
    <m/>
    <d v="2010-04-19T00:00:00"/>
    <x v="3"/>
    <m/>
    <n v="4000"/>
    <x v="0"/>
    <x v="0"/>
    <n v="24000"/>
    <m/>
    <x v="1"/>
    <n v="0"/>
    <x v="0"/>
    <x v="0"/>
    <d v="2010-01-01T00:00:00"/>
    <d v="2010-02-28T00:00:00"/>
    <x v="7"/>
    <d v="2011-09-13T00:00:00"/>
    <x v="0"/>
    <d v="2013-01-28T00:00:00"/>
    <x v="3"/>
    <x v="7"/>
    <s v="L"/>
    <x v="2"/>
    <x v="0"/>
    <x v="32"/>
    <s v="Margarida Cardoso"/>
    <x v="93"/>
    <x v="5"/>
    <x v="2"/>
    <x v="0"/>
    <x v="0"/>
    <d v="2010-01-01T00:00:00"/>
    <d v="2010-02-28T00:00:00"/>
  </r>
  <r>
    <n v="341"/>
    <x v="0"/>
    <x v="28"/>
    <x v="290"/>
    <n v="11158"/>
    <x v="120"/>
    <m/>
    <m/>
    <x v="1"/>
    <d v="2008-01-02T00:00:00"/>
    <x v="2"/>
    <d v="2008-08-06T00:00:00"/>
    <d v="2009-03-11T00:00:00"/>
    <x v="0"/>
    <x v="0"/>
    <x v="0"/>
    <x v="8"/>
    <x v="0"/>
    <m/>
    <d v="2009-03-18T00:00:00"/>
    <x v="3"/>
    <m/>
    <n v="4000"/>
    <x v="0"/>
    <x v="0"/>
    <n v="24000"/>
    <m/>
    <x v="1"/>
    <n v="0"/>
    <x v="0"/>
    <x v="0"/>
    <d v="2009-03-21T00:00:00"/>
    <d v="2009-06-28T00:00:00"/>
    <x v="14"/>
    <d v="2011-03-11T00:00:00"/>
    <x v="0"/>
    <d v="2012-08-10T00:00:00"/>
    <x v="3"/>
    <x v="11"/>
    <s v="K"/>
    <x v="2"/>
    <x v="0"/>
    <x v="61"/>
    <s v="Rui Simões"/>
    <x v="94"/>
    <x v="5"/>
    <x v="2"/>
    <x v="0"/>
    <x v="0"/>
    <d v="2009-03-21T00:00:00"/>
    <d v="2009-06-28T00:00:00"/>
  </r>
  <r>
    <n v="342"/>
    <x v="0"/>
    <x v="28"/>
    <x v="251"/>
    <n v="10418"/>
    <x v="121"/>
    <m/>
    <m/>
    <x v="2"/>
    <d v="2009-01-02T00:00:00"/>
    <x v="0"/>
    <d v="2009-12-02T00:00:00"/>
    <d v="2010-11-02T00:00:00"/>
    <x v="2"/>
    <x v="0"/>
    <x v="0"/>
    <x v="4"/>
    <x v="0"/>
    <m/>
    <d v="2010-11-18T00:00:00"/>
    <x v="4"/>
    <m/>
    <n v="14000"/>
    <x v="0"/>
    <x v="0"/>
    <n v="84000"/>
    <m/>
    <x v="1"/>
    <n v="0"/>
    <x v="0"/>
    <x v="0"/>
    <d v="2010-11-09T00:00:00"/>
    <d v="2010-11-28T00:00:00"/>
    <x v="1"/>
    <d v="2011-04-15T00:00:00"/>
    <x v="0"/>
    <d v="2012-10-25T00:00:00"/>
    <x v="3"/>
    <x v="11"/>
    <s v="Q"/>
    <x v="2"/>
    <x v="0"/>
    <x v="133"/>
    <s v="Marta Pessoa"/>
    <x v="95"/>
    <x v="5"/>
    <x v="2"/>
    <x v="0"/>
    <x v="0"/>
    <d v="2010-11-09T00:00:00"/>
    <d v="2010-11-28T00:00:00"/>
  </r>
  <r>
    <n v="343"/>
    <x v="0"/>
    <x v="123"/>
    <x v="291"/>
    <n v="11581"/>
    <x v="122"/>
    <m/>
    <s v="TERRITÓRIOS DE PASSAGEM - JOSÉ PEDRO CROFT"/>
    <x v="0"/>
    <d v="2010-01-04T00:00:00"/>
    <x v="3"/>
    <d v="2010-06-08T00:00:00"/>
    <d v="2010-12-14T00:00:00"/>
    <x v="2"/>
    <x v="0"/>
    <x v="0"/>
    <x v="4"/>
    <x v="0"/>
    <m/>
    <d v="2011-02-04T00:00:00"/>
    <x v="39"/>
    <m/>
    <n v="7000"/>
    <x v="0"/>
    <x v="0"/>
    <n v="42000"/>
    <m/>
    <x v="1"/>
    <n v="0"/>
    <x v="0"/>
    <x v="0"/>
    <d v="2010-10-01T00:00:00"/>
    <d v="2010-12-01T00:00:00"/>
    <x v="15"/>
    <d v="2011-02-01T00:00:00"/>
    <x v="0"/>
    <d v="2012-08-10T00:00:00"/>
    <x v="3"/>
    <x v="0"/>
    <s v="E"/>
    <x v="2"/>
    <x v="0"/>
    <x v="24"/>
    <s v="Solveig Nordlund"/>
    <x v="96"/>
    <x v="5"/>
    <x v="2"/>
    <x v="1"/>
    <x v="0"/>
    <d v="2010-10-01T00:00:00"/>
    <d v="2010-12-01T00:00:00"/>
  </r>
  <r>
    <n v="344"/>
    <x v="0"/>
    <x v="4"/>
    <x v="292"/>
    <n v="11607"/>
    <x v="123"/>
    <m/>
    <s v="MAZAGÃO, MIGRAÇÃO DE UM MITO"/>
    <x v="1"/>
    <d v="2008-01-02T00:00:00"/>
    <x v="2"/>
    <d v="2008-08-06T00:00:00"/>
    <d v="2009-03-11T00:00:00"/>
    <x v="0"/>
    <x v="0"/>
    <x v="0"/>
    <x v="8"/>
    <x v="0"/>
    <m/>
    <d v="2009-10-22T00:00:00"/>
    <x v="3"/>
    <m/>
    <n v="4000"/>
    <x v="0"/>
    <x v="0"/>
    <n v="24000"/>
    <m/>
    <x v="1"/>
    <n v="0"/>
    <x v="0"/>
    <x v="0"/>
    <m/>
    <m/>
    <x v="16"/>
    <d v="2011-04-11T00:00:00"/>
    <x v="0"/>
    <d v="2012-08-10T00:00:00"/>
    <x v="3"/>
    <x v="1"/>
    <s v="M"/>
    <x v="2"/>
    <x v="0"/>
    <x v="134"/>
    <s v="Ricardo Leite"/>
    <x v="97"/>
    <x v="5"/>
    <x v="2"/>
    <x v="1"/>
    <x v="0"/>
    <d v="1899-12-30T00:00:00"/>
    <d v="1899-12-30T00:00:00"/>
  </r>
  <r>
    <n v="345"/>
    <x v="0"/>
    <x v="13"/>
    <x v="293"/>
    <n v="11649"/>
    <x v="124"/>
    <m/>
    <s v="DE SENECTUDE / DA VELHICE"/>
    <x v="2"/>
    <d v="2009-01-02T00:00:00"/>
    <x v="0"/>
    <d v="2009-12-02T00:00:00"/>
    <d v="2010-11-02T00:00:00"/>
    <x v="2"/>
    <x v="0"/>
    <x v="0"/>
    <x v="4"/>
    <x v="0"/>
    <m/>
    <d v="2010-02-16T00:00:00"/>
    <x v="3"/>
    <m/>
    <m/>
    <x v="0"/>
    <x v="0"/>
    <n v="20000"/>
    <m/>
    <x v="1"/>
    <n v="0"/>
    <x v="0"/>
    <x v="0"/>
    <d v="2010-03-01T00:00:00"/>
    <d v="2010-12-01T00:00:00"/>
    <x v="1"/>
    <d v="2011-04-21T00:00:00"/>
    <x v="0"/>
    <d v="2012-08-10T00:00:00"/>
    <x v="3"/>
    <x v="4"/>
    <s v="R"/>
    <x v="2"/>
    <x v="0"/>
    <x v="135"/>
    <s v="Joana Cunha Ferreira"/>
    <x v="46"/>
    <x v="5"/>
    <x v="2"/>
    <x v="1"/>
    <x v="0"/>
    <d v="2010-03-01T00:00:00"/>
    <d v="2010-12-01T00:00:00"/>
  </r>
  <r>
    <n v="346"/>
    <x v="0"/>
    <x v="19"/>
    <x v="47"/>
    <m/>
    <x v="4"/>
    <s v="CALL GIRL - APOIO AUTOMÁTICO 2008"/>
    <m/>
    <x v="3"/>
    <m/>
    <x v="8"/>
    <m/>
    <m/>
    <x v="8"/>
    <x v="0"/>
    <x v="1"/>
    <x v="15"/>
    <x v="4"/>
    <m/>
    <d v="2010-12-23T00:00:00"/>
    <x v="151"/>
    <m/>
    <m/>
    <x v="0"/>
    <x v="0"/>
    <n v="37301.5"/>
    <m/>
    <x v="1"/>
    <n v="0"/>
    <x v="0"/>
    <x v="0"/>
    <m/>
    <m/>
    <x v="0"/>
    <m/>
    <x v="0"/>
    <d v="2012-11-06T00:00:00"/>
    <x v="0"/>
    <x v="8"/>
    <s v="Q"/>
    <x v="3"/>
    <x v="0"/>
    <x v="42"/>
    <s v=""/>
    <x v="4"/>
    <x v="2"/>
    <x v="0"/>
    <x v="0"/>
    <x v="0"/>
    <d v="1899-12-30T00:00:00"/>
    <d v="1899-12-30T00:00:00"/>
  </r>
  <r>
    <n v="347"/>
    <x v="0"/>
    <x v="1"/>
    <x v="294"/>
    <n v="11578"/>
    <x v="125"/>
    <m/>
    <m/>
    <x v="1"/>
    <d v="2004-06-11T00:00:00"/>
    <x v="5"/>
    <m/>
    <d v="2005-02-21T00:00:00"/>
    <x v="6"/>
    <x v="0"/>
    <x v="0"/>
    <x v="1"/>
    <x v="0"/>
    <m/>
    <d v="2007-02-17T00:00:00"/>
    <x v="152"/>
    <m/>
    <n v="11288.16"/>
    <x v="0"/>
    <x v="0"/>
    <n v="107768.16"/>
    <m/>
    <x v="1"/>
    <n v="0"/>
    <x v="0"/>
    <x v="0"/>
    <m/>
    <m/>
    <x v="0"/>
    <d v="2011-05-10T00:00:00"/>
    <x v="0"/>
    <d v="2013-01-28T00:00:00"/>
    <x v="1"/>
    <x v="0"/>
    <s v="D"/>
    <x v="2"/>
    <x v="0"/>
    <x v="136"/>
    <s v="Isabel Aboim Inglez"/>
    <x v="98"/>
    <x v="5"/>
    <x v="1"/>
    <x v="1"/>
    <x v="0"/>
    <d v="1899-12-30T00:00:00"/>
    <d v="1899-12-30T00:00:00"/>
  </r>
  <r>
    <n v="348"/>
    <x v="0"/>
    <x v="2"/>
    <x v="295"/>
    <n v="11582"/>
    <x v="126"/>
    <m/>
    <m/>
    <x v="1"/>
    <d v="2008-01-02T00:00:00"/>
    <x v="2"/>
    <d v="2008-09-24T00:00:00"/>
    <d v="2009-07-20T00:00:00"/>
    <x v="0"/>
    <x v="0"/>
    <x v="0"/>
    <x v="1"/>
    <x v="0"/>
    <m/>
    <d v="2009-08-12T00:00:00"/>
    <x v="2"/>
    <m/>
    <n v="15000"/>
    <x v="0"/>
    <x v="0"/>
    <n v="90000"/>
    <m/>
    <x v="1"/>
    <n v="0"/>
    <x v="0"/>
    <x v="0"/>
    <m/>
    <m/>
    <x v="0"/>
    <d v="2011-09-08T00:00:00"/>
    <x v="0"/>
    <d v="2012-08-10T00:00:00"/>
    <x v="1"/>
    <x v="0"/>
    <s v="F"/>
    <x v="2"/>
    <x v="0"/>
    <x v="137"/>
    <s v="Pedro Brito"/>
    <x v="99"/>
    <x v="5"/>
    <x v="1"/>
    <x v="1"/>
    <x v="0"/>
    <d v="1899-12-30T00:00:00"/>
    <d v="1899-12-30T00:00:00"/>
  </r>
  <r>
    <n v="349"/>
    <x v="0"/>
    <x v="30"/>
    <x v="296"/>
    <n v="11585"/>
    <x v="127"/>
    <m/>
    <m/>
    <x v="1"/>
    <d v="2009-01-02T00:00:00"/>
    <x v="0"/>
    <d v="2009-09-23T00:00:00"/>
    <d v="2010-03-26T00:00:00"/>
    <x v="2"/>
    <x v="0"/>
    <x v="0"/>
    <x v="1"/>
    <x v="0"/>
    <m/>
    <d v="2010-05-18T00:00:00"/>
    <x v="153"/>
    <m/>
    <n v="22000"/>
    <x v="0"/>
    <x v="0"/>
    <n v="132000"/>
    <m/>
    <x v="1"/>
    <n v="0"/>
    <x v="0"/>
    <x v="0"/>
    <m/>
    <m/>
    <x v="0"/>
    <d v="2011-04-11T00:00:00"/>
    <x v="0"/>
    <d v="2012-08-10T00:00:00"/>
    <x v="1"/>
    <x v="12"/>
    <s v="I"/>
    <x v="2"/>
    <x v="0"/>
    <x v="138"/>
    <s v="Marta Monteiro"/>
    <x v="100"/>
    <x v="5"/>
    <x v="1"/>
    <x v="1"/>
    <x v="0"/>
    <d v="1899-12-30T00:00:00"/>
    <d v="1899-12-30T00:00:00"/>
  </r>
  <r>
    <n v="350"/>
    <x v="0"/>
    <x v="2"/>
    <x v="297"/>
    <n v="10584"/>
    <x v="128"/>
    <m/>
    <m/>
    <x v="1"/>
    <d v="2008-01-02T00:00:00"/>
    <x v="2"/>
    <d v="2008-09-24T00:00:00"/>
    <d v="2009-07-20T00:00:00"/>
    <x v="0"/>
    <x v="0"/>
    <x v="0"/>
    <x v="1"/>
    <x v="0"/>
    <m/>
    <d v="2009-08-12T00:00:00"/>
    <x v="2"/>
    <m/>
    <n v="15000"/>
    <x v="0"/>
    <x v="0"/>
    <n v="90000"/>
    <m/>
    <x v="1"/>
    <n v="0"/>
    <x v="0"/>
    <x v="0"/>
    <m/>
    <m/>
    <x v="0"/>
    <d v="2011-03-10T00:00:00"/>
    <x v="0"/>
    <d v="2012-08-10T00:00:00"/>
    <x v="1"/>
    <x v="0"/>
    <s v="M"/>
    <x v="2"/>
    <x v="0"/>
    <x v="139"/>
    <s v="Tiago Albuquerque, João Brás"/>
    <x v="101"/>
    <x v="5"/>
    <x v="1"/>
    <x v="1"/>
    <x v="0"/>
    <d v="1899-12-30T00:00:00"/>
    <d v="1899-12-30T00:00:00"/>
  </r>
  <r>
    <n v="351"/>
    <x v="0"/>
    <x v="124"/>
    <x v="298"/>
    <n v="11648"/>
    <x v="129"/>
    <m/>
    <m/>
    <x v="1"/>
    <d v="2009-01-02T00:00:00"/>
    <x v="0"/>
    <d v="2009-09-23T00:00:00"/>
    <d v="2010-03-26T00:00:00"/>
    <x v="2"/>
    <x v="0"/>
    <x v="0"/>
    <x v="1"/>
    <x v="0"/>
    <m/>
    <d v="2010-05-10T00:00:00"/>
    <x v="154"/>
    <m/>
    <n v="7240"/>
    <x v="0"/>
    <x v="0"/>
    <n v="43440"/>
    <m/>
    <x v="1"/>
    <n v="0"/>
    <x v="0"/>
    <x v="0"/>
    <m/>
    <m/>
    <x v="0"/>
    <d v="2011-07-12T00:00:00"/>
    <x v="0"/>
    <d v="2012-08-10T00:00:00"/>
    <x v="1"/>
    <x v="5"/>
    <s v="Q"/>
    <x v="2"/>
    <x v="0"/>
    <x v="140"/>
    <s v="Joana Toste"/>
    <x v="102"/>
    <x v="5"/>
    <x v="1"/>
    <x v="1"/>
    <x v="0"/>
    <d v="1899-12-30T00:00:00"/>
    <d v="1899-12-30T00:00:00"/>
  </r>
  <r>
    <n v="352"/>
    <x v="0"/>
    <x v="2"/>
    <x v="299"/>
    <n v="11652"/>
    <x v="130"/>
    <m/>
    <m/>
    <x v="1"/>
    <d v="2007-04-30T00:00:00"/>
    <x v="7"/>
    <d v="2007-09-26T00:00:00"/>
    <d v="2008-01-28T00:00:00"/>
    <x v="7"/>
    <x v="0"/>
    <x v="0"/>
    <x v="1"/>
    <x v="0"/>
    <m/>
    <d v="2008-04-21T00:00:00"/>
    <x v="150"/>
    <m/>
    <n v="10500"/>
    <x v="0"/>
    <x v="0"/>
    <n v="63000"/>
    <m/>
    <x v="1"/>
    <n v="0"/>
    <x v="0"/>
    <x v="0"/>
    <m/>
    <m/>
    <x v="0"/>
    <d v="2011-06-14T00:00:00"/>
    <x v="0"/>
    <d v="2012-08-10T00:00:00"/>
    <x v="1"/>
    <x v="0"/>
    <s v="S"/>
    <x v="2"/>
    <x v="0"/>
    <x v="141"/>
    <s v="João Fazenda"/>
    <x v="103"/>
    <x v="5"/>
    <x v="1"/>
    <x v="1"/>
    <x v="0"/>
    <d v="1899-12-30T00:00:00"/>
    <d v="1899-12-30T00:00:00"/>
  </r>
  <r>
    <n v="353"/>
    <x v="0"/>
    <x v="14"/>
    <x v="300"/>
    <n v="11576"/>
    <x v="131"/>
    <m/>
    <m/>
    <x v="0"/>
    <d v="1999-07-16T00:00:00"/>
    <x v="12"/>
    <m/>
    <d v="1999-11-17T00:00:00"/>
    <x v="12"/>
    <x v="0"/>
    <x v="0"/>
    <x v="1"/>
    <x v="0"/>
    <m/>
    <d v="2007-02-17T00:00:00"/>
    <x v="155"/>
    <m/>
    <m/>
    <x v="0"/>
    <x v="0"/>
    <n v="72949.2"/>
    <m/>
    <x v="1"/>
    <n v="0"/>
    <x v="0"/>
    <x v="0"/>
    <m/>
    <m/>
    <x v="0"/>
    <d v="2011-04-04T00:00:00"/>
    <x v="4"/>
    <d v="2012-08-10T00:00:00"/>
    <x v="1"/>
    <x v="4"/>
    <s v="B"/>
    <x v="2"/>
    <x v="0"/>
    <x v="142"/>
    <s v="Graça Gomes"/>
    <x v="104"/>
    <x v="5"/>
    <x v="1"/>
    <x v="2"/>
    <x v="2"/>
    <d v="1899-12-30T00:00:00"/>
    <d v="1899-12-30T00:00:00"/>
  </r>
  <r>
    <n v="354"/>
    <x v="0"/>
    <x v="2"/>
    <x v="301"/>
    <n v="11583"/>
    <x v="132"/>
    <m/>
    <m/>
    <x v="1"/>
    <d v="2005-09-16T00:00:00"/>
    <x v="6"/>
    <m/>
    <d v="2006-03-17T00:00:00"/>
    <x v="4"/>
    <x v="0"/>
    <x v="0"/>
    <x v="1"/>
    <x v="0"/>
    <d v="2006-11-16T00:00:00"/>
    <d v="2008-02-08T00:00:00"/>
    <x v="156"/>
    <m/>
    <n v="30000"/>
    <x v="0"/>
    <x v="0"/>
    <n v="230000"/>
    <m/>
    <x v="1"/>
    <n v="0"/>
    <x v="0"/>
    <x v="0"/>
    <m/>
    <m/>
    <x v="0"/>
    <d v="2011-05-17T00:00:00"/>
    <x v="5"/>
    <d v="2012-08-10T00:00:00"/>
    <x v="1"/>
    <x v="0"/>
    <s v="G"/>
    <x v="2"/>
    <x v="0"/>
    <x v="143"/>
    <s v="Zepe"/>
    <x v="105"/>
    <x v="5"/>
    <x v="1"/>
    <x v="2"/>
    <x v="3"/>
    <d v="1899-12-30T00:00:00"/>
    <d v="1899-12-30T00:00:00"/>
  </r>
  <r>
    <n v="355"/>
    <x v="0"/>
    <x v="3"/>
    <x v="302"/>
    <n v="11654"/>
    <x v="133"/>
    <m/>
    <m/>
    <x v="2"/>
    <d v="2002-12-20T00:00:00"/>
    <x v="14"/>
    <m/>
    <d v="2003-11-14T00:00:00"/>
    <x v="14"/>
    <x v="0"/>
    <x v="0"/>
    <x v="1"/>
    <x v="0"/>
    <d v="2004-04-15T00:00:00"/>
    <d v="2007-02-17T00:00:00"/>
    <x v="156"/>
    <m/>
    <m/>
    <x v="0"/>
    <x v="0"/>
    <n v="200000"/>
    <m/>
    <x v="1"/>
    <n v="0"/>
    <x v="0"/>
    <x v="0"/>
    <m/>
    <m/>
    <x v="0"/>
    <d v="2011-04-21T00:00:00"/>
    <x v="6"/>
    <d v="2012-08-10T00:00:00"/>
    <x v="1"/>
    <x v="0"/>
    <s v="V"/>
    <x v="2"/>
    <x v="0"/>
    <x v="144"/>
    <s v="Carlos Cruz, Vítor Lopes"/>
    <x v="106"/>
    <x v="5"/>
    <x v="1"/>
    <x v="2"/>
    <x v="0"/>
    <d v="1899-12-30T00:00:00"/>
    <d v="1899-12-30T00:00:00"/>
  </r>
  <r>
    <n v="356"/>
    <x v="0"/>
    <x v="44"/>
    <x v="303"/>
    <n v="11650"/>
    <x v="134"/>
    <m/>
    <m/>
    <x v="1"/>
    <d v="2003-11-13T00:00:00"/>
    <x v="9"/>
    <m/>
    <d v="2004-06-04T00:00:00"/>
    <x v="5"/>
    <x v="0"/>
    <x v="0"/>
    <x v="1"/>
    <x v="0"/>
    <d v="2004-07-12T00:00:00"/>
    <d v="2006-05-15T00:00:00"/>
    <x v="156"/>
    <m/>
    <n v="30000"/>
    <x v="0"/>
    <x v="0"/>
    <n v="230000"/>
    <m/>
    <x v="1"/>
    <n v="0"/>
    <x v="0"/>
    <x v="0"/>
    <m/>
    <m/>
    <x v="0"/>
    <d v="2011-06-01T00:00:00"/>
    <x v="7"/>
    <d v="2012-08-10T00:00:00"/>
    <x v="1"/>
    <x v="16"/>
    <s v="S"/>
    <x v="2"/>
    <x v="0"/>
    <x v="145"/>
    <s v="Luís da Matta Almeida, Pedro Lino"/>
    <x v="43"/>
    <x v="5"/>
    <x v="1"/>
    <x v="2"/>
    <x v="4"/>
    <d v="1899-12-30T00:00:00"/>
    <d v="1899-12-30T00:00:00"/>
  </r>
  <r>
    <n v="357"/>
    <x v="0"/>
    <x v="9"/>
    <x v="304"/>
    <n v="11567"/>
    <x v="135"/>
    <m/>
    <m/>
    <x v="1"/>
    <d v="2009-01-02T00:00:00"/>
    <x v="0"/>
    <d v="2010-03-26T00:00:00"/>
    <d v="2010-03-26T00:00:00"/>
    <x v="2"/>
    <x v="0"/>
    <x v="0"/>
    <x v="3"/>
    <x v="0"/>
    <m/>
    <d v="2010-05-14T00:00:00"/>
    <x v="157"/>
    <m/>
    <n v="7300"/>
    <x v="0"/>
    <x v="0"/>
    <n v="43800"/>
    <m/>
    <x v="1"/>
    <n v="0"/>
    <x v="0"/>
    <x v="0"/>
    <d v="2011-02-15T00:00:00"/>
    <d v="2011-02-21T00:00:00"/>
    <x v="1"/>
    <d v="2011-05-18T00:00:00"/>
    <x v="0"/>
    <d v="2012-08-10T00:00:00"/>
    <x v="2"/>
    <x v="3"/>
    <s v="A"/>
    <x v="2"/>
    <x v="0"/>
    <x v="146"/>
    <s v="Fátima Ribeiro"/>
    <x v="13"/>
    <x v="5"/>
    <x v="0"/>
    <x v="1"/>
    <x v="0"/>
    <d v="2011-02-15T00:00:00"/>
    <d v="2011-02-21T00:00:00"/>
  </r>
  <r>
    <n v="358"/>
    <x v="0"/>
    <x v="9"/>
    <x v="305"/>
    <n v="11584"/>
    <x v="136"/>
    <m/>
    <m/>
    <x v="1"/>
    <d v="2008-01-02T00:00:00"/>
    <x v="2"/>
    <d v="2008-09-02T00:00:00"/>
    <d v="2009-04-28T00:00:00"/>
    <x v="0"/>
    <x v="0"/>
    <x v="0"/>
    <x v="3"/>
    <x v="0"/>
    <m/>
    <d v="2009-08-12T00:00:00"/>
    <x v="52"/>
    <m/>
    <n v="8600"/>
    <x v="0"/>
    <x v="0"/>
    <n v="51600"/>
    <m/>
    <x v="1"/>
    <n v="0"/>
    <x v="0"/>
    <x v="0"/>
    <d v="2010-08-17T00:00:00"/>
    <d v="2010-11-10T00:00:00"/>
    <x v="7"/>
    <d v="2011-02-15T00:00:00"/>
    <x v="0"/>
    <d v="2012-08-10T00:00:00"/>
    <x v="2"/>
    <x v="3"/>
    <s v="I"/>
    <x v="2"/>
    <x v="0"/>
    <x v="147"/>
    <s v="Sol de Carvalho"/>
    <x v="107"/>
    <x v="5"/>
    <x v="0"/>
    <x v="1"/>
    <x v="0"/>
    <d v="2010-08-17T00:00:00"/>
    <d v="2010-11-10T00:00:00"/>
  </r>
  <r>
    <n v="359"/>
    <x v="0"/>
    <x v="13"/>
    <x v="306"/>
    <n v="11073"/>
    <x v="137"/>
    <m/>
    <s v="DIZ-ME A VERDADE ACERCA DO AMOR"/>
    <x v="1"/>
    <d v="2010-01-04T00:00:00"/>
    <x v="3"/>
    <d v="2010-09-07T00:00:00"/>
    <d v="2011-03-24T00:00:00"/>
    <x v="1"/>
    <x v="0"/>
    <x v="0"/>
    <x v="3"/>
    <x v="0"/>
    <m/>
    <d v="2011-04-04T00:00:00"/>
    <x v="9"/>
    <m/>
    <n v="8882.01"/>
    <x v="0"/>
    <x v="0"/>
    <n v="53882.01"/>
    <m/>
    <x v="1"/>
    <n v="0"/>
    <x v="0"/>
    <x v="0"/>
    <d v="2011-04-24T00:00:00"/>
    <d v="2011-05-03T00:00:00"/>
    <x v="0"/>
    <d v="2011-06-28T00:00:00"/>
    <x v="0"/>
    <d v="2012-08-20T00:00:00"/>
    <x v="2"/>
    <x v="4"/>
    <s v="O"/>
    <x v="2"/>
    <x v="0"/>
    <x v="148"/>
    <s v="Adriano Luz"/>
    <x v="85"/>
    <x v="5"/>
    <x v="0"/>
    <x v="1"/>
    <x v="0"/>
    <d v="2011-04-24T00:00:00"/>
    <d v="2011-05-03T00:00:00"/>
  </r>
  <r>
    <n v="360"/>
    <x v="0"/>
    <x v="25"/>
    <x v="307"/>
    <n v="11641"/>
    <x v="138"/>
    <m/>
    <m/>
    <x v="1"/>
    <d v="2009-01-02T00:00:00"/>
    <x v="0"/>
    <d v="2010-03-26T00:00:00"/>
    <d v="2009-03-26T00:00:00"/>
    <x v="0"/>
    <x v="0"/>
    <x v="0"/>
    <x v="3"/>
    <x v="0"/>
    <m/>
    <d v="2010-07-21T00:00:00"/>
    <x v="5"/>
    <m/>
    <n v="7800"/>
    <x v="0"/>
    <x v="0"/>
    <n v="46800"/>
    <m/>
    <x v="1"/>
    <n v="0"/>
    <x v="0"/>
    <x v="0"/>
    <d v="2010-12-04T00:00:00"/>
    <m/>
    <x v="1"/>
    <d v="2011-03-15T00:00:00"/>
    <x v="0"/>
    <d v="2012-08-20T00:00:00"/>
    <x v="2"/>
    <x v="10"/>
    <s v="O"/>
    <x v="2"/>
    <x v="0"/>
    <x v="149"/>
    <s v="Nuno Portugal"/>
    <x v="108"/>
    <x v="5"/>
    <x v="0"/>
    <x v="1"/>
    <x v="0"/>
    <d v="2010-12-04T00:00:00"/>
    <d v="1899-12-30T00:00:00"/>
  </r>
  <r>
    <n v="361"/>
    <x v="0"/>
    <x v="42"/>
    <x v="200"/>
    <n v="11655"/>
    <x v="139"/>
    <m/>
    <s v="MÃO MORTA, MÃO MORTA"/>
    <x v="1"/>
    <d v="2009-01-02T00:00:00"/>
    <x v="0"/>
    <d v="2009-09-02T00:00:00"/>
    <d v="2010-03-26T00:00:00"/>
    <x v="2"/>
    <x v="0"/>
    <x v="0"/>
    <x v="3"/>
    <x v="0"/>
    <m/>
    <d v="2010-07-16T00:00:00"/>
    <x v="52"/>
    <m/>
    <n v="8600"/>
    <x v="0"/>
    <x v="0"/>
    <n v="51600"/>
    <m/>
    <x v="1"/>
    <n v="0"/>
    <x v="0"/>
    <x v="0"/>
    <d v="2011-04-18T00:00:00"/>
    <d v="2011-04-23T00:00:00"/>
    <x v="1"/>
    <d v="2011-07-12T00:00:00"/>
    <x v="0"/>
    <d v="2012-08-20T00:00:00"/>
    <x v="2"/>
    <x v="14"/>
    <s v="Z"/>
    <x v="2"/>
    <x v="0"/>
    <x v="150"/>
    <s v="Margarida Leitão"/>
    <x v="109"/>
    <x v="5"/>
    <x v="0"/>
    <x v="1"/>
    <x v="0"/>
    <d v="2011-04-18T00:00:00"/>
    <d v="2011-04-23T00:00:00"/>
  </r>
  <r>
    <n v="362"/>
    <x v="0"/>
    <x v="4"/>
    <x v="308"/>
    <n v="11305"/>
    <x v="140"/>
    <m/>
    <m/>
    <x v="1"/>
    <d v="2008-01-02T00:00:00"/>
    <x v="2"/>
    <d v="2008-09-02T00:00:00"/>
    <d v="2009-04-28T00:00:00"/>
    <x v="0"/>
    <x v="0"/>
    <x v="0"/>
    <x v="3"/>
    <x v="0"/>
    <m/>
    <d v="2009-09-22T00:00:00"/>
    <x v="11"/>
    <m/>
    <n v="8400"/>
    <x v="0"/>
    <x v="0"/>
    <n v="50400"/>
    <m/>
    <x v="1"/>
    <n v="0"/>
    <x v="0"/>
    <x v="0"/>
    <d v="2009-09-01T00:00:00"/>
    <d v="2009-09-30T00:00:00"/>
    <x v="1"/>
    <d v="2011-04-11T00:00:00"/>
    <x v="0"/>
    <d v="2012-08-20T00:00:00"/>
    <x v="0"/>
    <x v="1"/>
    <s v="E"/>
    <x v="2"/>
    <x v="0"/>
    <x v="11"/>
    <s v="Rodrigo Areias"/>
    <x v="46"/>
    <x v="5"/>
    <x v="0"/>
    <x v="0"/>
    <x v="0"/>
    <d v="2009-09-01T00:00:00"/>
    <d v="2009-09-30T00:00:00"/>
  </r>
  <r>
    <n v="363"/>
    <x v="0"/>
    <x v="42"/>
    <x v="309"/>
    <n v="12591"/>
    <x v="141"/>
    <m/>
    <s v="Margarida"/>
    <x v="1"/>
    <d v="2008-01-02T00:00:00"/>
    <x v="2"/>
    <d v="2008-08-06T00:00:00"/>
    <d v="2009-03-11T00:00:00"/>
    <x v="0"/>
    <x v="0"/>
    <x v="0"/>
    <x v="8"/>
    <x v="0"/>
    <m/>
    <d v="2009-07-10T00:00:00"/>
    <x v="158"/>
    <m/>
    <n v="50000"/>
    <x v="0"/>
    <x v="0"/>
    <n v="300000"/>
    <m/>
    <x v="1"/>
    <n v="0"/>
    <x v="0"/>
    <x v="0"/>
    <d v="2010-04-05T00:00:00"/>
    <d v="2010-05-30T00:00:00"/>
    <x v="7"/>
    <d v="2011-07-15T00:00:00"/>
    <x v="0"/>
    <d v="2012-08-20T00:00:00"/>
    <x v="0"/>
    <x v="14"/>
    <s v="M"/>
    <x v="2"/>
    <x v="0"/>
    <x v="151"/>
    <s v="Licinio Azevedo"/>
    <x v="46"/>
    <x v="0"/>
    <x v="0"/>
    <x v="0"/>
    <x v="0"/>
    <d v="2010-04-05T00:00:00"/>
    <d v="2010-05-30T00:00:00"/>
  </r>
  <r>
    <n v="364"/>
    <x v="0"/>
    <x v="52"/>
    <x v="310"/>
    <n v="11019"/>
    <x v="142"/>
    <m/>
    <m/>
    <x v="1"/>
    <d v="2009-01-02T00:00:00"/>
    <x v="0"/>
    <d v="2009-07-01T00:00:00"/>
    <d v="2010-02-09T00:00:00"/>
    <x v="2"/>
    <x v="0"/>
    <x v="0"/>
    <x v="10"/>
    <x v="0"/>
    <m/>
    <d v="2010-02-22T00:00:00"/>
    <x v="156"/>
    <m/>
    <m/>
    <x v="0"/>
    <x v="0"/>
    <n v="200000"/>
    <m/>
    <x v="1"/>
    <n v="0"/>
    <x v="0"/>
    <x v="0"/>
    <d v="2010-03-08T00:00:00"/>
    <d v="2010-05-20T00:00:00"/>
    <x v="1"/>
    <d v="2011-05-10T00:00:00"/>
    <x v="0"/>
    <d v="2012-08-20T00:00:00"/>
    <x v="0"/>
    <x v="2"/>
    <s v="P"/>
    <x v="2"/>
    <x v="0"/>
    <x v="152"/>
    <s v="Margarida Gil"/>
    <x v="26"/>
    <x v="5"/>
    <x v="0"/>
    <x v="0"/>
    <x v="0"/>
    <d v="2010-03-08T00:00:00"/>
    <d v="2010-05-20T00:00:00"/>
  </r>
  <r>
    <n v="365"/>
    <x v="0"/>
    <x v="18"/>
    <x v="311"/>
    <n v="10717"/>
    <x v="143"/>
    <m/>
    <m/>
    <x v="0"/>
    <d v="2008-01-02T00:00:00"/>
    <x v="2"/>
    <d v="2008-05-29T00:00:00"/>
    <d v="2009-03-11T00:00:00"/>
    <x v="0"/>
    <x v="0"/>
    <x v="0"/>
    <x v="0"/>
    <x v="0"/>
    <m/>
    <d v="2009-03-13T00:00:00"/>
    <x v="46"/>
    <m/>
    <n v="126000"/>
    <x v="0"/>
    <x v="0"/>
    <n v="756000"/>
    <m/>
    <x v="1"/>
    <n v="0"/>
    <x v="0"/>
    <x v="0"/>
    <d v="2009-10-19T00:00:00"/>
    <d v="2010-06-04T00:00:00"/>
    <x v="1"/>
    <d v="2011-04-11T00:00:00"/>
    <x v="0"/>
    <d v="2012-08-20T00:00:00"/>
    <x v="0"/>
    <x v="8"/>
    <s v="S"/>
    <x v="2"/>
    <x v="0"/>
    <x v="39"/>
    <s v="João Canijo"/>
    <x v="70"/>
    <x v="5"/>
    <x v="0"/>
    <x v="0"/>
    <x v="0"/>
    <d v="2009-10-19T00:00:00"/>
    <d v="2010-06-04T00:00:00"/>
  </r>
  <r>
    <n v="366"/>
    <x v="0"/>
    <x v="101"/>
    <x v="231"/>
    <n v="10660"/>
    <x v="144"/>
    <m/>
    <m/>
    <x v="0"/>
    <d v="2007-04-30T00:00:00"/>
    <x v="7"/>
    <d v="2007-07-25T00:00:00"/>
    <d v="2008-01-10T00:00:00"/>
    <x v="7"/>
    <x v="0"/>
    <x v="0"/>
    <x v="0"/>
    <x v="0"/>
    <m/>
    <d v="2008-02-07T00:00:00"/>
    <x v="23"/>
    <m/>
    <n v="130000"/>
    <x v="0"/>
    <x v="0"/>
    <n v="780000"/>
    <m/>
    <x v="1"/>
    <n v="0"/>
    <x v="0"/>
    <x v="0"/>
    <d v="2010-06-28T00:00:00"/>
    <d v="2010-08-07T00:00:00"/>
    <x v="1"/>
    <d v="2011-03-21T00:00:00"/>
    <x v="0"/>
    <d v="2012-10-25T00:00:00"/>
    <x v="0"/>
    <x v="0"/>
    <s v="C"/>
    <x v="2"/>
    <x v="0"/>
    <x v="153"/>
    <s v="Teresa Villaverde"/>
    <x v="110"/>
    <x v="5"/>
    <x v="0"/>
    <x v="0"/>
    <x v="0"/>
    <d v="2010-06-28T00:00:00"/>
    <d v="2010-08-07T00:00:00"/>
  </r>
  <r>
    <n v="367"/>
    <x v="0"/>
    <x v="17"/>
    <x v="250"/>
    <n v="13570"/>
    <x v="145"/>
    <m/>
    <s v="DO OUTRO LADO DO RIO"/>
    <x v="1"/>
    <d v="2008-01-02T00:00:00"/>
    <x v="2"/>
    <d v="2008-08-06T00:00:00"/>
    <d v="2009-03-11T00:00:00"/>
    <x v="0"/>
    <x v="0"/>
    <x v="0"/>
    <x v="8"/>
    <x v="0"/>
    <m/>
    <d v="2009-03-18T00:00:00"/>
    <x v="156"/>
    <m/>
    <n v="40000"/>
    <x v="0"/>
    <x v="0"/>
    <n v="240000"/>
    <m/>
    <x v="1"/>
    <n v="0"/>
    <x v="0"/>
    <x v="0"/>
    <d v="2010-10-06T00:00:00"/>
    <d v="2010-11-24T00:00:00"/>
    <x v="1"/>
    <d v="2011-06-15T00:00:00"/>
    <x v="0"/>
    <d v="2012-08-20T00:00:00"/>
    <x v="0"/>
    <x v="7"/>
    <s v="P"/>
    <x v="2"/>
    <x v="0"/>
    <x v="154"/>
    <s v="Pocas Pascoal"/>
    <x v="111"/>
    <x v="0"/>
    <x v="0"/>
    <x v="0"/>
    <x v="0"/>
    <d v="2010-10-06T00:00:00"/>
    <d v="2010-11-24T00:00:00"/>
  </r>
  <r>
    <n v="368"/>
    <x v="0"/>
    <x v="23"/>
    <x v="312"/>
    <n v="13508"/>
    <x v="146"/>
    <m/>
    <m/>
    <x v="1"/>
    <d v="2011-01-03T00:00:00"/>
    <x v="1"/>
    <d v="2011-03-16T00:00:00"/>
    <d v="2012-08-06T00:00:00"/>
    <x v="10"/>
    <x v="0"/>
    <x v="0"/>
    <x v="11"/>
    <x v="0"/>
    <m/>
    <d v="2012-12-28T00:00:00"/>
    <x v="27"/>
    <n v="480000"/>
    <n v="100000"/>
    <x v="0"/>
    <x v="0"/>
    <n v="580000"/>
    <n v="50000"/>
    <x v="8"/>
    <n v="150000"/>
    <x v="4"/>
    <x v="0"/>
    <m/>
    <m/>
    <x v="0"/>
    <d v="2015-02-09T00:00:00"/>
    <x v="0"/>
    <d v="2015-02-09T00:00:00"/>
    <x v="0"/>
    <x v="9"/>
    <s v="J"/>
    <x v="5"/>
    <x v="0"/>
    <x v="50"/>
    <s v="João Nicolau"/>
    <x v="112"/>
    <x v="4"/>
    <x v="0"/>
    <x v="0"/>
    <x v="0"/>
    <d v="1899-12-30T00:00:00"/>
    <d v="1899-12-30T00:00:00"/>
  </r>
  <r>
    <n v="369"/>
    <x v="1"/>
    <x v="13"/>
    <x v="313"/>
    <m/>
    <x v="4"/>
    <m/>
    <m/>
    <x v="1"/>
    <d v="2011-01-03T00:00:00"/>
    <x v="1"/>
    <d v="2011-03-16T00:00:00"/>
    <d v="2012-08-06T00:00:00"/>
    <x v="10"/>
    <x v="0"/>
    <x v="0"/>
    <x v="11"/>
    <x v="0"/>
    <m/>
    <d v="2012-12-27T00:00:00"/>
    <x v="27"/>
    <m/>
    <n v="100000"/>
    <x v="0"/>
    <x v="0"/>
    <n v="600000"/>
    <n v="450000"/>
    <x v="8"/>
    <n v="550000"/>
    <x v="6"/>
    <x v="0"/>
    <m/>
    <m/>
    <x v="17"/>
    <m/>
    <x v="0"/>
    <d v="2014-01-23T00:00:00"/>
    <x v="0"/>
    <x v="4"/>
    <s v="T"/>
    <x v="3"/>
    <x v="0"/>
    <x v="155"/>
    <s v=""/>
    <x v="4"/>
    <x v="2"/>
    <x v="0"/>
    <x v="0"/>
    <x v="0"/>
    <d v="1899-12-30T00:00:00"/>
    <d v="1899-12-30T00:00:00"/>
  </r>
  <r>
    <n v="370"/>
    <x v="0"/>
    <x v="10"/>
    <x v="314"/>
    <n v="13211"/>
    <x v="147"/>
    <m/>
    <m/>
    <x v="1"/>
    <d v="2011-01-03T00:00:00"/>
    <x v="1"/>
    <d v="2011-07-06T00:00:00"/>
    <d v="2012-08-06T00:00:00"/>
    <x v="10"/>
    <x v="0"/>
    <x v="0"/>
    <x v="10"/>
    <x v="0"/>
    <m/>
    <d v="2012-11-22T00:00:00"/>
    <x v="156"/>
    <m/>
    <m/>
    <x v="0"/>
    <x v="0"/>
    <n v="200000"/>
    <m/>
    <x v="1"/>
    <n v="0"/>
    <x v="0"/>
    <x v="0"/>
    <d v="2011-10-24T00:00:00"/>
    <m/>
    <x v="15"/>
    <d v="2013-05-17T00:00:00"/>
    <x v="0"/>
    <d v="2013-08-06T00:00:00"/>
    <x v="0"/>
    <x v="4"/>
    <s v="M"/>
    <x v="1"/>
    <x v="0"/>
    <x v="156"/>
    <s v="Imanol Uribe"/>
    <x v="23"/>
    <x v="0"/>
    <x v="0"/>
    <x v="0"/>
    <x v="0"/>
    <d v="2011-10-24T00:00:00"/>
    <d v="1899-12-30T00:00:00"/>
  </r>
  <r>
    <n v="371"/>
    <x v="0"/>
    <x v="13"/>
    <x v="315"/>
    <n v="12945"/>
    <x v="148"/>
    <m/>
    <s v="As Grandes Ondas"/>
    <x v="1"/>
    <d v="2011-01-03T00:00:00"/>
    <x v="1"/>
    <d v="2011-07-06T00:00:00"/>
    <d v="2012-08-06T00:00:00"/>
    <x v="10"/>
    <x v="0"/>
    <x v="0"/>
    <x v="10"/>
    <x v="0"/>
    <m/>
    <d v="2012-11-06T00:00:00"/>
    <x v="156"/>
    <m/>
    <m/>
    <x v="0"/>
    <x v="0"/>
    <n v="200000"/>
    <m/>
    <x v="1"/>
    <n v="0"/>
    <x v="0"/>
    <x v="0"/>
    <d v="2012-09-17T00:00:00"/>
    <d v="2012-11-06T00:00:00"/>
    <x v="0"/>
    <d v="2014-05-06T00:00:00"/>
    <x v="0"/>
    <d v="2014-06-09T00:00:00"/>
    <x v="0"/>
    <x v="4"/>
    <s v="A"/>
    <x v="4"/>
    <x v="0"/>
    <x v="157"/>
    <s v="Lionel Baier"/>
    <x v="26"/>
    <x v="3"/>
    <x v="0"/>
    <x v="0"/>
    <x v="0"/>
    <d v="2012-09-17T00:00:00"/>
    <d v="2012-11-06T00:00:00"/>
  </r>
  <r>
    <n v="372"/>
    <x v="1"/>
    <x v="8"/>
    <x v="316"/>
    <m/>
    <x v="4"/>
    <m/>
    <m/>
    <x v="1"/>
    <d v="2011-01-03T00:00:00"/>
    <x v="1"/>
    <d v="2011-07-27T00:00:00"/>
    <d v="2012-08-06T00:00:00"/>
    <x v="10"/>
    <x v="0"/>
    <x v="0"/>
    <x v="8"/>
    <x v="0"/>
    <m/>
    <m/>
    <x v="21"/>
    <m/>
    <n v="90000"/>
    <x v="0"/>
    <x v="0"/>
    <n v="540000"/>
    <n v="180000"/>
    <x v="4"/>
    <n v="270000"/>
    <x v="1"/>
    <x v="0"/>
    <d v="2013-11-20T00:00:00"/>
    <d v="2013-12-18T00:00:00"/>
    <x v="0"/>
    <m/>
    <x v="0"/>
    <d v="2014-01-23T00:00:00"/>
    <x v="0"/>
    <x v="2"/>
    <s v="O"/>
    <x v="3"/>
    <x v="0"/>
    <x v="158"/>
    <s v=""/>
    <x v="4"/>
    <x v="2"/>
    <x v="0"/>
    <x v="0"/>
    <x v="0"/>
    <d v="2013-11-20T00:00:00"/>
    <d v="2013-12-18T00:00:00"/>
  </r>
  <r>
    <n v="373"/>
    <x v="0"/>
    <x v="4"/>
    <x v="317"/>
    <n v="13573"/>
    <x v="149"/>
    <m/>
    <m/>
    <x v="1"/>
    <d v="2011-01-03T00:00:00"/>
    <x v="1"/>
    <d v="2011-07-27T00:00:00"/>
    <d v="2012-08-06T00:00:00"/>
    <x v="10"/>
    <x v="0"/>
    <x v="0"/>
    <x v="8"/>
    <x v="0"/>
    <m/>
    <d v="2012-11-19T00:00:00"/>
    <x v="3"/>
    <m/>
    <n v="4000"/>
    <x v="0"/>
    <x v="0"/>
    <n v="24000"/>
    <n v="8000"/>
    <x v="9"/>
    <n v="12000"/>
    <x v="4"/>
    <x v="0"/>
    <d v="2013-06-01T00:00:00"/>
    <s v="31-11-2013"/>
    <x v="0"/>
    <d v="2015-03-02T00:00:00"/>
    <x v="0"/>
    <d v="2015-03-10T00:00:00"/>
    <x v="3"/>
    <x v="1"/>
    <s v="A"/>
    <x v="5"/>
    <x v="0"/>
    <x v="159"/>
    <s v="Tiago Afonso"/>
    <x v="79"/>
    <x v="4"/>
    <x v="2"/>
    <x v="1"/>
    <x v="0"/>
    <d v="2013-06-01T00:00:00"/>
    <d v="1899-12-30T00:00:00"/>
  </r>
  <r>
    <n v="374"/>
    <x v="0"/>
    <x v="28"/>
    <x v="318"/>
    <n v="12503"/>
    <x v="150"/>
    <m/>
    <m/>
    <x v="1"/>
    <d v="2011-01-03T00:00:00"/>
    <x v="1"/>
    <d v="2011-07-27T00:00:00"/>
    <d v="2012-08-06T00:00:00"/>
    <x v="10"/>
    <x v="0"/>
    <x v="0"/>
    <x v="8"/>
    <x v="0"/>
    <m/>
    <d v="2012-11-15T00:00:00"/>
    <x v="3"/>
    <m/>
    <n v="4000"/>
    <x v="0"/>
    <x v="0"/>
    <n v="24000"/>
    <m/>
    <x v="1"/>
    <n v="0"/>
    <x v="0"/>
    <x v="0"/>
    <d v="2012-10-14T00:00:00"/>
    <d v="2012-12-06T00:00:00"/>
    <x v="0"/>
    <d v="2013-10-09T00:00:00"/>
    <x v="0"/>
    <d v="2014-01-20T00:00:00"/>
    <x v="3"/>
    <x v="11"/>
    <s v="C"/>
    <x v="1"/>
    <x v="0"/>
    <x v="160"/>
    <s v="Ana Martins"/>
    <x v="113"/>
    <x v="3"/>
    <x v="2"/>
    <x v="0"/>
    <x v="0"/>
    <d v="2012-10-14T00:00:00"/>
    <d v="2012-12-06T00:00:00"/>
  </r>
  <r>
    <n v="375"/>
    <x v="1"/>
    <x v="1"/>
    <x v="319"/>
    <m/>
    <x v="4"/>
    <m/>
    <m/>
    <x v="1"/>
    <d v="2011-01-03T00:00:00"/>
    <x v="1"/>
    <d v="2011-05-18T00:00:00"/>
    <d v="2012-08-06T00:00:00"/>
    <x v="10"/>
    <x v="0"/>
    <x v="0"/>
    <x v="1"/>
    <x v="0"/>
    <m/>
    <d v="2013-01-07T00:00:00"/>
    <x v="159"/>
    <m/>
    <n v="24800"/>
    <x v="0"/>
    <x v="0"/>
    <n v="136400"/>
    <n v="12400"/>
    <x v="10"/>
    <n v="37200"/>
    <x v="11"/>
    <x v="0"/>
    <m/>
    <m/>
    <x v="0"/>
    <m/>
    <x v="0"/>
    <d v="2015-01-16T00:00:00"/>
    <x v="1"/>
    <x v="0"/>
    <s v="C"/>
    <x v="3"/>
    <x v="0"/>
    <x v="2"/>
    <s v=""/>
    <x v="4"/>
    <x v="2"/>
    <x v="1"/>
    <x v="1"/>
    <x v="0"/>
    <d v="1899-12-30T00:00:00"/>
    <d v="1899-12-30T00:00:00"/>
  </r>
  <r>
    <n v="376"/>
    <x v="1"/>
    <x v="125"/>
    <x v="320"/>
    <m/>
    <x v="4"/>
    <m/>
    <m/>
    <x v="1"/>
    <d v="2011-01-03T00:00:00"/>
    <x v="1"/>
    <d v="2011-05-18T00:00:00"/>
    <d v="2012-08-06T00:00:00"/>
    <x v="10"/>
    <x v="0"/>
    <x v="0"/>
    <x v="1"/>
    <x v="0"/>
    <m/>
    <d v="2012-12-07T00:00:00"/>
    <x v="160"/>
    <m/>
    <n v="24800"/>
    <x v="0"/>
    <x v="0"/>
    <n v="148800"/>
    <n v="62000"/>
    <x v="10"/>
    <n v="86800"/>
    <x v="11"/>
    <x v="0"/>
    <m/>
    <m/>
    <x v="0"/>
    <m/>
    <x v="0"/>
    <d v="2014-01-23T00:00:00"/>
    <x v="1"/>
    <x v="4"/>
    <s v="O"/>
    <x v="3"/>
    <x v="0"/>
    <x v="161"/>
    <s v=""/>
    <x v="4"/>
    <x v="2"/>
    <x v="1"/>
    <x v="1"/>
    <x v="0"/>
    <d v="1899-12-30T00:00:00"/>
    <d v="1899-12-30T00:00:00"/>
  </r>
  <r>
    <n v="377"/>
    <x v="0"/>
    <x v="7"/>
    <x v="321"/>
    <n v="13457"/>
    <x v="151"/>
    <m/>
    <m/>
    <x v="1"/>
    <d v="2011-01-03T00:00:00"/>
    <x v="1"/>
    <d v="2011-05-18T00:00:00"/>
    <d v="2012-08-06T00:00:00"/>
    <x v="10"/>
    <x v="0"/>
    <x v="0"/>
    <x v="1"/>
    <x v="0"/>
    <m/>
    <d v="2012-11-16T00:00:00"/>
    <x v="161"/>
    <m/>
    <n v="10600"/>
    <x v="0"/>
    <x v="0"/>
    <n v="63600"/>
    <n v="5300"/>
    <x v="11"/>
    <n v="15900"/>
    <x v="4"/>
    <x v="0"/>
    <m/>
    <m/>
    <x v="0"/>
    <d v="2015-01-15T00:00:00"/>
    <x v="0"/>
    <d v="2014-01-23T00:00:00"/>
    <x v="1"/>
    <x v="2"/>
    <s v="A"/>
    <x v="5"/>
    <x v="0"/>
    <x v="162"/>
    <s v="Mónica Santos, Alice Guimarães"/>
    <x v="114"/>
    <x v="4"/>
    <x v="1"/>
    <x v="1"/>
    <x v="0"/>
    <d v="1899-12-30T00:00:00"/>
    <d v="1899-12-30T00:00:00"/>
  </r>
  <r>
    <n v="378"/>
    <x v="1"/>
    <x v="21"/>
    <x v="322"/>
    <m/>
    <x v="4"/>
    <m/>
    <m/>
    <x v="1"/>
    <d v="2011-01-03T00:00:00"/>
    <x v="1"/>
    <d v="2011-05-18T00:00:00"/>
    <d v="2012-08-06T00:00:00"/>
    <x v="10"/>
    <x v="0"/>
    <x v="0"/>
    <x v="1"/>
    <x v="0"/>
    <m/>
    <d v="2012-11-29T00:00:00"/>
    <x v="4"/>
    <m/>
    <n v="14000"/>
    <x v="0"/>
    <x v="0"/>
    <n v="84000"/>
    <n v="7000"/>
    <x v="12"/>
    <n v="21000"/>
    <x v="11"/>
    <x v="0"/>
    <m/>
    <m/>
    <x v="0"/>
    <m/>
    <x v="0"/>
    <d v="2015-01-16T00:00:00"/>
    <x v="1"/>
    <x v="8"/>
    <s v="A"/>
    <x v="3"/>
    <x v="0"/>
    <x v="163"/>
    <s v=""/>
    <x v="4"/>
    <x v="2"/>
    <x v="1"/>
    <x v="1"/>
    <x v="0"/>
    <d v="1899-12-30T00:00:00"/>
    <d v="1899-12-30T00:00:00"/>
  </r>
  <r>
    <n v="379"/>
    <x v="0"/>
    <x v="4"/>
    <x v="323"/>
    <n v="13103"/>
    <x v="152"/>
    <m/>
    <m/>
    <x v="1"/>
    <d v="2011-01-03T00:00:00"/>
    <x v="1"/>
    <d v="2011-05-18T00:00:00"/>
    <d v="2012-08-06T00:00:00"/>
    <x v="10"/>
    <x v="0"/>
    <x v="0"/>
    <x v="1"/>
    <x v="0"/>
    <m/>
    <d v="2012-11-19T00:00:00"/>
    <x v="96"/>
    <m/>
    <n v="21000"/>
    <x v="0"/>
    <x v="0"/>
    <n v="126000"/>
    <m/>
    <x v="1"/>
    <n v="0"/>
    <x v="0"/>
    <x v="0"/>
    <m/>
    <m/>
    <x v="0"/>
    <d v="2014-07-24T00:00:00"/>
    <x v="0"/>
    <d v="2014-08-06T00:00:00"/>
    <x v="1"/>
    <x v="1"/>
    <s v="F"/>
    <x v="4"/>
    <x v="0"/>
    <x v="164"/>
    <s v="David Doutel, Vasco Sá"/>
    <x v="115"/>
    <x v="1"/>
    <x v="1"/>
    <x v="1"/>
    <x v="0"/>
    <d v="1899-12-30T00:00:00"/>
    <d v="1899-12-30T00:00:00"/>
  </r>
  <r>
    <n v="380"/>
    <x v="0"/>
    <x v="30"/>
    <x v="324"/>
    <n v="12403"/>
    <x v="153"/>
    <m/>
    <m/>
    <x v="1"/>
    <d v="2011-01-03T00:00:00"/>
    <x v="1"/>
    <d v="2011-05-18T00:00:00"/>
    <d v="2012-08-06T00:00:00"/>
    <x v="10"/>
    <x v="0"/>
    <x v="0"/>
    <x v="1"/>
    <x v="0"/>
    <m/>
    <d v="2012-11-15T00:00:00"/>
    <x v="162"/>
    <m/>
    <n v="4800"/>
    <x v="0"/>
    <x v="0"/>
    <n v="28800"/>
    <m/>
    <x v="1"/>
    <n v="0"/>
    <x v="0"/>
    <x v="0"/>
    <m/>
    <m/>
    <x v="0"/>
    <d v="2013-08-22T00:00:00"/>
    <x v="0"/>
    <d v="2013-11-27T00:00:00"/>
    <x v="1"/>
    <x v="12"/>
    <s v="A"/>
    <x v="1"/>
    <x v="0"/>
    <x v="140"/>
    <s v="Joana Toste"/>
    <x v="102"/>
    <x v="3"/>
    <x v="1"/>
    <x v="1"/>
    <x v="0"/>
    <d v="1899-12-30T00:00:00"/>
    <d v="1899-12-30T00:00:00"/>
  </r>
  <r>
    <n v="381"/>
    <x v="0"/>
    <x v="7"/>
    <x v="325"/>
    <m/>
    <x v="4"/>
    <m/>
    <m/>
    <x v="1"/>
    <d v="2011-01-03T00:00:00"/>
    <x v="1"/>
    <d v="2011-06-21T00:00:00"/>
    <d v="2012-08-06T00:00:00"/>
    <x v="10"/>
    <x v="0"/>
    <x v="1"/>
    <x v="2"/>
    <x v="1"/>
    <m/>
    <d v="2012-11-30T00:00:00"/>
    <x v="45"/>
    <m/>
    <m/>
    <x v="0"/>
    <x v="0"/>
    <n v="10000"/>
    <m/>
    <x v="1"/>
    <n v="0"/>
    <x v="0"/>
    <x v="0"/>
    <m/>
    <m/>
    <x v="0"/>
    <m/>
    <x v="0"/>
    <d v="2014-09-09T00:00:00"/>
    <x v="5"/>
    <x v="2"/>
    <s v="T"/>
    <x v="3"/>
    <x v="0"/>
    <x v="19"/>
    <s v=""/>
    <x v="4"/>
    <x v="2"/>
    <x v="4"/>
    <x v="3"/>
    <x v="0"/>
    <d v="1899-12-30T00:00:00"/>
    <d v="1899-12-30T00:00:00"/>
  </r>
  <r>
    <n v="382"/>
    <x v="0"/>
    <x v="4"/>
    <x v="326"/>
    <m/>
    <x v="4"/>
    <m/>
    <m/>
    <x v="1"/>
    <d v="2011-01-03T00:00:00"/>
    <x v="1"/>
    <d v="2011-06-21T00:00:00"/>
    <d v="2012-08-06T00:00:00"/>
    <x v="10"/>
    <x v="0"/>
    <x v="1"/>
    <x v="2"/>
    <x v="1"/>
    <m/>
    <d v="2012-11-19T00:00:00"/>
    <x v="3"/>
    <m/>
    <m/>
    <x v="0"/>
    <x v="0"/>
    <n v="20000"/>
    <m/>
    <x v="1"/>
    <n v="0"/>
    <x v="0"/>
    <x v="0"/>
    <m/>
    <m/>
    <x v="0"/>
    <m/>
    <x v="0"/>
    <d v="2014-10-06T00:00:00"/>
    <x v="5"/>
    <x v="1"/>
    <s v="D"/>
    <x v="3"/>
    <x v="0"/>
    <x v="143"/>
    <s v=""/>
    <x v="4"/>
    <x v="2"/>
    <x v="4"/>
    <x v="3"/>
    <x v="0"/>
    <d v="1899-12-30T00:00:00"/>
    <d v="1899-12-30T00:00:00"/>
  </r>
  <r>
    <n v="383"/>
    <x v="0"/>
    <x v="2"/>
    <x v="327"/>
    <m/>
    <x v="4"/>
    <m/>
    <m/>
    <x v="1"/>
    <d v="2011-01-03T00:00:00"/>
    <x v="1"/>
    <d v="2011-06-21T00:00:00"/>
    <d v="2012-08-06T00:00:00"/>
    <x v="10"/>
    <x v="0"/>
    <x v="1"/>
    <x v="2"/>
    <x v="1"/>
    <m/>
    <d v="2012-12-03T00:00:00"/>
    <x v="45"/>
    <m/>
    <m/>
    <x v="0"/>
    <x v="0"/>
    <n v="10000"/>
    <m/>
    <x v="1"/>
    <n v="0"/>
    <x v="0"/>
    <x v="0"/>
    <m/>
    <m/>
    <x v="0"/>
    <m/>
    <x v="0"/>
    <d v="2014-06-09T00:00:00"/>
    <x v="5"/>
    <x v="0"/>
    <s v="G"/>
    <x v="3"/>
    <x v="0"/>
    <x v="137"/>
    <s v=""/>
    <x v="4"/>
    <x v="2"/>
    <x v="4"/>
    <x v="3"/>
    <x v="0"/>
    <d v="1899-12-30T00:00:00"/>
    <d v="1899-12-30T00:00:00"/>
  </r>
  <r>
    <n v="384"/>
    <x v="1"/>
    <x v="14"/>
    <x v="328"/>
    <m/>
    <x v="4"/>
    <m/>
    <m/>
    <x v="1"/>
    <d v="2011-01-03T00:00:00"/>
    <x v="1"/>
    <d v="2011-06-21T00:00:00"/>
    <d v="2012-08-06T00:00:00"/>
    <x v="10"/>
    <x v="0"/>
    <x v="1"/>
    <x v="2"/>
    <x v="1"/>
    <m/>
    <d v="2012-12-10T00:00:00"/>
    <x v="134"/>
    <m/>
    <m/>
    <x v="0"/>
    <x v="0"/>
    <n v="7000"/>
    <n v="1400"/>
    <x v="1"/>
    <n v="1400"/>
    <x v="8"/>
    <x v="0"/>
    <m/>
    <m/>
    <x v="0"/>
    <m/>
    <x v="0"/>
    <d v="2014-01-23T00:00:00"/>
    <x v="5"/>
    <x v="4"/>
    <s v="A"/>
    <x v="3"/>
    <x v="0"/>
    <x v="165"/>
    <s v=""/>
    <x v="4"/>
    <x v="2"/>
    <x v="4"/>
    <x v="3"/>
    <x v="0"/>
    <d v="1899-12-30T00:00:00"/>
    <d v="1899-12-30T00:00:00"/>
  </r>
  <r>
    <n v="385"/>
    <x v="0"/>
    <x v="30"/>
    <x v="329"/>
    <m/>
    <x v="4"/>
    <m/>
    <m/>
    <x v="1"/>
    <d v="2011-01-03T00:00:00"/>
    <x v="1"/>
    <d v="2011-06-21T00:00:00"/>
    <d v="2012-08-06T00:00:00"/>
    <x v="10"/>
    <x v="0"/>
    <x v="1"/>
    <x v="2"/>
    <x v="1"/>
    <m/>
    <m/>
    <x v="141"/>
    <m/>
    <m/>
    <x v="0"/>
    <x v="0"/>
    <n v="3000"/>
    <m/>
    <x v="1"/>
    <n v="0"/>
    <x v="0"/>
    <x v="0"/>
    <m/>
    <m/>
    <x v="0"/>
    <d v="2014-01-27T00:00:00"/>
    <x v="0"/>
    <d v="2014-04-08T00:00:00"/>
    <x v="5"/>
    <x v="12"/>
    <s v="A"/>
    <x v="4"/>
    <x v="0"/>
    <x v="140"/>
    <s v=""/>
    <x v="4"/>
    <x v="2"/>
    <x v="4"/>
    <x v="3"/>
    <x v="0"/>
    <d v="1899-12-30T00:00:00"/>
    <d v="1899-12-30T00:00:00"/>
  </r>
  <r>
    <n v="386"/>
    <x v="0"/>
    <x v="28"/>
    <x v="330"/>
    <m/>
    <x v="4"/>
    <m/>
    <m/>
    <x v="1"/>
    <d v="2011-01-03T00:00:00"/>
    <x v="1"/>
    <d v="2011-05-04T00:00:00"/>
    <d v="2012-08-06T00:00:00"/>
    <x v="10"/>
    <x v="0"/>
    <x v="1"/>
    <x v="5"/>
    <x v="2"/>
    <m/>
    <d v="2012-11-07T00:00:00"/>
    <x v="163"/>
    <m/>
    <m/>
    <x v="0"/>
    <x v="0"/>
    <n v="9700"/>
    <m/>
    <x v="1"/>
    <n v="0"/>
    <x v="0"/>
    <x v="0"/>
    <m/>
    <m/>
    <x v="0"/>
    <d v="2013-07-22T00:00:00"/>
    <x v="0"/>
    <d v="2013-08-06T00:00:00"/>
    <x v="3"/>
    <x v="11"/>
    <s v="O"/>
    <x v="1"/>
    <x v="0"/>
    <x v="133"/>
    <s v=""/>
    <x v="4"/>
    <x v="2"/>
    <x v="2"/>
    <x v="3"/>
    <x v="0"/>
    <d v="1899-12-30T00:00:00"/>
    <d v="1899-12-30T00:00:00"/>
  </r>
  <r>
    <n v="387"/>
    <x v="0"/>
    <x v="126"/>
    <x v="331"/>
    <m/>
    <x v="4"/>
    <m/>
    <m/>
    <x v="1"/>
    <d v="2011-01-03T00:00:00"/>
    <x v="1"/>
    <d v="2011-05-04T00:00:00"/>
    <d v="2012-08-06T00:00:00"/>
    <x v="10"/>
    <x v="0"/>
    <x v="1"/>
    <x v="5"/>
    <x v="2"/>
    <m/>
    <d v="2013-02-28T00:00:00"/>
    <x v="164"/>
    <m/>
    <m/>
    <x v="0"/>
    <x v="0"/>
    <n v="9300"/>
    <m/>
    <x v="1"/>
    <n v="0"/>
    <x v="0"/>
    <x v="0"/>
    <m/>
    <m/>
    <x v="0"/>
    <m/>
    <x v="0"/>
    <d v="2014-10-06T00:00:00"/>
    <x v="3"/>
    <x v="22"/>
    <s v="F"/>
    <x v="3"/>
    <x v="0"/>
    <x v="166"/>
    <s v=""/>
    <x v="4"/>
    <x v="2"/>
    <x v="2"/>
    <x v="3"/>
    <x v="0"/>
    <d v="1899-12-30T00:00:00"/>
    <d v="1899-12-30T00:00:00"/>
  </r>
  <r>
    <n v="388"/>
    <x v="0"/>
    <x v="28"/>
    <x v="332"/>
    <m/>
    <x v="4"/>
    <m/>
    <m/>
    <x v="1"/>
    <d v="2011-01-03T00:00:00"/>
    <x v="1"/>
    <d v="2011-05-04T00:00:00"/>
    <d v="2012-08-06T00:00:00"/>
    <x v="10"/>
    <x v="0"/>
    <x v="1"/>
    <x v="5"/>
    <x v="2"/>
    <m/>
    <d v="2012-11-07T00:00:00"/>
    <x v="165"/>
    <m/>
    <m/>
    <x v="0"/>
    <x v="0"/>
    <n v="5300"/>
    <m/>
    <x v="1"/>
    <n v="0"/>
    <x v="0"/>
    <x v="0"/>
    <m/>
    <m/>
    <x v="0"/>
    <d v="2013-03-13T00:00:00"/>
    <x v="0"/>
    <d v="2013-05-09T00:00:00"/>
    <x v="3"/>
    <x v="11"/>
    <s v="O"/>
    <x v="1"/>
    <x v="0"/>
    <x v="167"/>
    <s v=""/>
    <x v="4"/>
    <x v="2"/>
    <x v="2"/>
    <x v="3"/>
    <x v="0"/>
    <d v="1899-12-30T00:00:00"/>
    <d v="1899-12-30T00:00:00"/>
  </r>
  <r>
    <n v="389"/>
    <x v="1"/>
    <x v="32"/>
    <x v="333"/>
    <m/>
    <x v="4"/>
    <m/>
    <m/>
    <x v="1"/>
    <d v="2011-01-03T00:00:00"/>
    <x v="1"/>
    <d v="2011-05-04T00:00:00"/>
    <d v="2012-08-06T00:00:00"/>
    <x v="10"/>
    <x v="0"/>
    <x v="1"/>
    <x v="5"/>
    <x v="2"/>
    <m/>
    <d v="2012-12-05T00:00:00"/>
    <x v="166"/>
    <m/>
    <m/>
    <x v="0"/>
    <x v="0"/>
    <n v="8600"/>
    <m/>
    <x v="1"/>
    <n v="0"/>
    <x v="0"/>
    <x v="0"/>
    <m/>
    <m/>
    <x v="0"/>
    <d v="2014-07-14T00:00:00"/>
    <x v="0"/>
    <d v="2014-07-07T00:00:00"/>
    <x v="3"/>
    <x v="13"/>
    <s v="C"/>
    <x v="4"/>
    <x v="0"/>
    <x v="168"/>
    <s v=""/>
    <x v="4"/>
    <x v="2"/>
    <x v="2"/>
    <x v="3"/>
    <x v="0"/>
    <d v="1899-12-30T00:00:00"/>
    <d v="1899-12-30T00:00:00"/>
  </r>
  <r>
    <n v="390"/>
    <x v="0"/>
    <x v="25"/>
    <x v="334"/>
    <m/>
    <x v="4"/>
    <m/>
    <m/>
    <x v="1"/>
    <d v="2011-01-03T00:00:00"/>
    <x v="1"/>
    <d v="2011-05-04T00:00:00"/>
    <d v="2012-08-06T00:00:00"/>
    <x v="10"/>
    <x v="0"/>
    <x v="1"/>
    <x v="5"/>
    <x v="2"/>
    <m/>
    <d v="2012-11-29T00:00:00"/>
    <x v="166"/>
    <m/>
    <m/>
    <x v="0"/>
    <x v="0"/>
    <n v="8600"/>
    <n v="0"/>
    <x v="1"/>
    <n v="0"/>
    <x v="0"/>
    <x v="0"/>
    <m/>
    <m/>
    <x v="0"/>
    <d v="2012-12-21T00:00:00"/>
    <x v="0"/>
    <d v="2013-01-09T00:00:00"/>
    <x v="5"/>
    <x v="10"/>
    <s v="U"/>
    <x v="0"/>
    <x v="0"/>
    <x v="169"/>
    <s v=""/>
    <x v="4"/>
    <x v="2"/>
    <x v="4"/>
    <x v="3"/>
    <x v="0"/>
    <d v="1899-12-30T00:00:00"/>
    <d v="1899-12-30T00:00:00"/>
  </r>
  <r>
    <n v="391"/>
    <x v="0"/>
    <x v="18"/>
    <x v="335"/>
    <m/>
    <x v="4"/>
    <m/>
    <m/>
    <x v="1"/>
    <d v="2011-01-03T00:00:00"/>
    <x v="1"/>
    <d v="2011-05-04T00:00:00"/>
    <d v="2012-08-06T00:00:00"/>
    <x v="10"/>
    <x v="0"/>
    <x v="1"/>
    <x v="5"/>
    <x v="2"/>
    <m/>
    <d v="2012-11-29T00:00:00"/>
    <x v="167"/>
    <m/>
    <m/>
    <x v="0"/>
    <x v="0"/>
    <n v="8500"/>
    <m/>
    <x v="1"/>
    <n v="0"/>
    <x v="0"/>
    <x v="0"/>
    <m/>
    <m/>
    <x v="0"/>
    <d v="2013-07-26T00:00:00"/>
    <x v="0"/>
    <d v="2013-08-06T00:00:00"/>
    <x v="3"/>
    <x v="8"/>
    <s v="T"/>
    <x v="1"/>
    <x v="0"/>
    <x v="135"/>
    <s v=""/>
    <x v="4"/>
    <x v="2"/>
    <x v="2"/>
    <x v="3"/>
    <x v="0"/>
    <d v="1899-12-30T00:00:00"/>
    <d v="1899-12-30T00:00:00"/>
  </r>
  <r>
    <n v="392"/>
    <x v="0"/>
    <x v="19"/>
    <x v="336"/>
    <n v="8193"/>
    <x v="154"/>
    <m/>
    <s v="FAMA"/>
    <x v="1"/>
    <d v="2008-01-02T00:00:00"/>
    <x v="2"/>
    <d v="2008-06-24T00:00:00"/>
    <d v="2008-09-29T00:00:00"/>
    <x v="7"/>
    <x v="0"/>
    <x v="0"/>
    <x v="12"/>
    <x v="0"/>
    <m/>
    <d v="2009-03-17T00:00:00"/>
    <x v="34"/>
    <m/>
    <n v="140000"/>
    <x v="0"/>
    <x v="0"/>
    <n v="840000"/>
    <m/>
    <x v="1"/>
    <n v="0"/>
    <x v="0"/>
    <x v="0"/>
    <d v="2009-06-06T00:00:00"/>
    <d v="2009-07-22T00:00:00"/>
    <x v="1"/>
    <d v="2010-01-21T00:00:00"/>
    <x v="0"/>
    <d v="2012-09-18T00:00:00"/>
    <x v="0"/>
    <x v="8"/>
    <s v="A"/>
    <x v="7"/>
    <x v="0"/>
    <x v="43"/>
    <s v="António-Pedro Vasconcelos"/>
    <x v="48"/>
    <x v="7"/>
    <x v="0"/>
    <x v="0"/>
    <x v="0"/>
    <d v="2009-06-06T00:00:00"/>
    <d v="2009-07-22T00:00:00"/>
  </r>
  <r>
    <n v="393"/>
    <x v="0"/>
    <x v="42"/>
    <x v="262"/>
    <n v="10406"/>
    <x v="155"/>
    <m/>
    <m/>
    <x v="1"/>
    <d v="2004-07-16T00:00:00"/>
    <x v="5"/>
    <m/>
    <d v="2005-05-23T00:00:00"/>
    <x v="6"/>
    <x v="0"/>
    <x v="0"/>
    <x v="11"/>
    <x v="0"/>
    <m/>
    <d v="2005-08-26T00:00:00"/>
    <x v="21"/>
    <m/>
    <n v="52650"/>
    <x v="0"/>
    <x v="0"/>
    <n v="502650"/>
    <m/>
    <x v="1"/>
    <n v="0"/>
    <x v="0"/>
    <x v="0"/>
    <d v="2008-10-17T00:00:00"/>
    <d v="2009-08-14T00:00:00"/>
    <x v="0"/>
    <d v="2010-04-26T00:00:00"/>
    <x v="0"/>
    <d v="2012-09-18T00:00:00"/>
    <x v="0"/>
    <x v="14"/>
    <s v="A"/>
    <x v="7"/>
    <x v="0"/>
    <x v="50"/>
    <s v="João Nuno Pinto"/>
    <x v="81"/>
    <x v="7"/>
    <x v="0"/>
    <x v="0"/>
    <x v="0"/>
    <d v="2008-10-17T00:00:00"/>
    <d v="2009-08-14T00:00:00"/>
  </r>
  <r>
    <n v="394"/>
    <x v="0"/>
    <x v="31"/>
    <x v="337"/>
    <n v="9741"/>
    <x v="156"/>
    <m/>
    <m/>
    <x v="1"/>
    <d v="2007-04-30T00:00:00"/>
    <x v="7"/>
    <d v="2007-08-31T00:00:00"/>
    <d v="2007-11-19T00:00:00"/>
    <x v="3"/>
    <x v="0"/>
    <x v="0"/>
    <x v="6"/>
    <x v="0"/>
    <m/>
    <d v="2008-02-07T00:00:00"/>
    <x v="53"/>
    <m/>
    <m/>
    <x v="0"/>
    <x v="0"/>
    <n v="110295"/>
    <m/>
    <x v="1"/>
    <n v="0"/>
    <x v="0"/>
    <x v="0"/>
    <d v="2008-02-25T00:00:00"/>
    <m/>
    <x v="18"/>
    <d v="2010-06-15T00:00:00"/>
    <x v="0"/>
    <d v="2012-09-18T00:00:00"/>
    <x v="0"/>
    <x v="12"/>
    <s v="B"/>
    <x v="7"/>
    <x v="0"/>
    <x v="170"/>
    <s v="Walter Carvalho"/>
    <x v="32"/>
    <x v="6"/>
    <x v="0"/>
    <x v="0"/>
    <x v="0"/>
    <d v="2008-02-25T00:00:00"/>
    <d v="1899-12-30T00:00:00"/>
  </r>
  <r>
    <n v="395"/>
    <x v="0"/>
    <x v="42"/>
    <x v="338"/>
    <n v="11822"/>
    <x v="157"/>
    <m/>
    <s v="DORES, AMORES E ASSEMELHADOS"/>
    <x v="1"/>
    <d v="2005-06-17T00:00:00"/>
    <x v="6"/>
    <m/>
    <d v="2005-10-27T00:00:00"/>
    <x v="6"/>
    <x v="0"/>
    <x v="0"/>
    <x v="6"/>
    <x v="0"/>
    <m/>
    <d v="2006-12-20T00:00:00"/>
    <x v="168"/>
    <n v="104803"/>
    <m/>
    <x v="0"/>
    <x v="0"/>
    <n v="104803"/>
    <m/>
    <x v="1"/>
    <n v="0"/>
    <x v="0"/>
    <x v="0"/>
    <m/>
    <m/>
    <x v="0"/>
    <d v="2010-11-11T00:00:00"/>
    <x v="0"/>
    <d v="2012-09-18T00:00:00"/>
    <x v="0"/>
    <x v="14"/>
    <s v="D"/>
    <x v="7"/>
    <x v="0"/>
    <x v="171"/>
    <s v="Ricardo Pinto e Silva"/>
    <x v="116"/>
    <x v="7"/>
    <x v="0"/>
    <x v="0"/>
    <x v="0"/>
    <d v="1899-12-30T00:00:00"/>
    <d v="1899-12-30T00:00:00"/>
  </r>
  <r>
    <n v="396"/>
    <x v="0"/>
    <x v="41"/>
    <x v="246"/>
    <n v="9772"/>
    <x v="158"/>
    <m/>
    <s v="ONDE ESTÁ A FELICIDADE"/>
    <x v="0"/>
    <d v="2007-04-30T00:00:00"/>
    <x v="7"/>
    <d v="2007-07-25T00:00:00"/>
    <d v="2008-01-10T00:00:00"/>
    <x v="7"/>
    <x v="0"/>
    <x v="0"/>
    <x v="0"/>
    <x v="0"/>
    <m/>
    <d v="2008-02-07T00:00:00"/>
    <x v="23"/>
    <m/>
    <n v="130000"/>
    <x v="0"/>
    <x v="0"/>
    <n v="780000"/>
    <m/>
    <x v="1"/>
    <n v="0"/>
    <x v="0"/>
    <x v="0"/>
    <d v="2009-06-14T00:00:00"/>
    <m/>
    <x v="0"/>
    <d v="2010-07-21T00:00:00"/>
    <x v="0"/>
    <d v="2012-09-18T00:00:00"/>
    <x v="0"/>
    <x v="13"/>
    <s v="E"/>
    <x v="7"/>
    <x v="0"/>
    <x v="172"/>
    <s v="Alberto Seixas Santos"/>
    <x v="81"/>
    <x v="7"/>
    <x v="0"/>
    <x v="0"/>
    <x v="0"/>
    <d v="2009-06-14T00:00:00"/>
    <d v="1899-12-30T00:00:00"/>
  </r>
  <r>
    <n v="397"/>
    <x v="0"/>
    <x v="25"/>
    <x v="269"/>
    <n v="8635"/>
    <x v="159"/>
    <m/>
    <m/>
    <x v="1"/>
    <d v="2008-01-02T00:00:00"/>
    <x v="2"/>
    <d v="2008-09-02T00:00:00"/>
    <d v="2009-04-28T00:00:00"/>
    <x v="0"/>
    <x v="0"/>
    <x v="0"/>
    <x v="3"/>
    <x v="0"/>
    <m/>
    <d v="2009-05-27T00:00:00"/>
    <x v="11"/>
    <m/>
    <n v="8400"/>
    <x v="0"/>
    <x v="0"/>
    <n v="50400"/>
    <m/>
    <x v="1"/>
    <n v="0"/>
    <x v="0"/>
    <x v="0"/>
    <d v="2009-08-04T00:00:00"/>
    <d v="2009-09-06T00:00:00"/>
    <x v="1"/>
    <d v="2010-06-29T00:00:00"/>
    <x v="0"/>
    <d v="2013-01-09T00:00:00"/>
    <x v="0"/>
    <x v="10"/>
    <s v="E"/>
    <x v="7"/>
    <x v="0"/>
    <x v="173"/>
    <s v="António Ferreira"/>
    <x v="23"/>
    <x v="7"/>
    <x v="0"/>
    <x v="0"/>
    <x v="0"/>
    <d v="2009-08-04T00:00:00"/>
    <d v="2009-09-06T00:00:00"/>
  </r>
  <r>
    <n v="398"/>
    <x v="0"/>
    <x v="47"/>
    <x v="339"/>
    <n v="9050"/>
    <x v="160"/>
    <m/>
    <m/>
    <x v="2"/>
    <d v="2008-01-02T00:00:00"/>
    <x v="2"/>
    <d v="2008-11-12T00:00:00"/>
    <d v="2009-05-22T00:00:00"/>
    <x v="0"/>
    <x v="0"/>
    <x v="0"/>
    <x v="0"/>
    <x v="0"/>
    <m/>
    <d v="2009-05-26T00:00:00"/>
    <x v="0"/>
    <m/>
    <n v="120000"/>
    <x v="0"/>
    <x v="0"/>
    <n v="720000"/>
    <m/>
    <x v="1"/>
    <n v="0"/>
    <x v="0"/>
    <x v="0"/>
    <d v="2009-10-18T00:00:00"/>
    <d v="2010-03-15T00:00:00"/>
    <x v="1"/>
    <d v="2010-07-30T00:00:00"/>
    <x v="0"/>
    <d v="2012-09-18T00:00:00"/>
    <x v="0"/>
    <x v="0"/>
    <s v="F"/>
    <x v="7"/>
    <x v="0"/>
    <x v="35"/>
    <s v="João Botelho"/>
    <x v="117"/>
    <x v="7"/>
    <x v="0"/>
    <x v="0"/>
    <x v="0"/>
    <d v="2009-10-18T00:00:00"/>
    <d v="2010-03-15T00:00:00"/>
  </r>
  <r>
    <n v="399"/>
    <x v="0"/>
    <x v="127"/>
    <x v="270"/>
    <n v="9066"/>
    <x v="161"/>
    <s v="A SELVA - APOIO AUTOMÁTICO 2007"/>
    <m/>
    <x v="3"/>
    <m/>
    <x v="8"/>
    <m/>
    <m/>
    <x v="8"/>
    <x v="0"/>
    <x v="0"/>
    <x v="14"/>
    <x v="0"/>
    <m/>
    <d v="2007-12-06T00:00:00"/>
    <x v="169"/>
    <m/>
    <m/>
    <x v="0"/>
    <x v="0"/>
    <n v="116785"/>
    <m/>
    <x v="1"/>
    <n v="0"/>
    <x v="0"/>
    <x v="0"/>
    <m/>
    <m/>
    <x v="0"/>
    <d v="2010-03-26T00:00:00"/>
    <x v="0"/>
    <d v="2012-11-06T00:00:00"/>
    <x v="0"/>
    <x v="2"/>
    <s v="M"/>
    <x v="7"/>
    <x v="0"/>
    <x v="174"/>
    <s v="Hugo Diogo"/>
    <x v="118"/>
    <x v="7"/>
    <x v="0"/>
    <x v="0"/>
    <x v="0"/>
    <d v="1899-12-30T00:00:00"/>
    <d v="1899-12-30T00:00:00"/>
  </r>
  <r>
    <n v="400"/>
    <x v="0"/>
    <x v="52"/>
    <x v="340"/>
    <n v="9059"/>
    <x v="162"/>
    <m/>
    <m/>
    <x v="1"/>
    <d v="2009-01-02T00:00:00"/>
    <x v="0"/>
    <d v="2009-05-27T00:00:00"/>
    <d v="2009-08-06T00:00:00"/>
    <x v="0"/>
    <x v="0"/>
    <x v="0"/>
    <x v="12"/>
    <x v="0"/>
    <m/>
    <d v="2009-08-11T00:00:00"/>
    <x v="34"/>
    <m/>
    <n v="140000"/>
    <x v="0"/>
    <x v="0"/>
    <n v="840000"/>
    <m/>
    <x v="1"/>
    <n v="0"/>
    <x v="0"/>
    <x v="0"/>
    <d v="2009-09-13T00:00:00"/>
    <d v="2010-01-30T00:00:00"/>
    <x v="1"/>
    <d v="2010-05-17T00:00:00"/>
    <x v="0"/>
    <d v="2012-09-18T00:00:00"/>
    <x v="0"/>
    <x v="2"/>
    <s v="M"/>
    <x v="7"/>
    <x v="0"/>
    <x v="175"/>
    <s v="Raúl Ruiz"/>
    <x v="119"/>
    <x v="7"/>
    <x v="0"/>
    <x v="0"/>
    <x v="0"/>
    <d v="2009-09-13T00:00:00"/>
    <d v="2010-01-30T00:00:00"/>
  </r>
  <r>
    <n v="401"/>
    <x v="0"/>
    <x v="8"/>
    <x v="195"/>
    <n v="10829"/>
    <x v="163"/>
    <m/>
    <m/>
    <x v="0"/>
    <d v="2008-01-02T00:00:00"/>
    <x v="2"/>
    <d v="2008-05-29T00:00:00"/>
    <d v="2009-03-11T00:00:00"/>
    <x v="0"/>
    <x v="0"/>
    <x v="0"/>
    <x v="0"/>
    <x v="0"/>
    <m/>
    <d v="2009-03-18T00:00:00"/>
    <x v="123"/>
    <m/>
    <n v="114000"/>
    <x v="0"/>
    <x v="0"/>
    <n v="684000"/>
    <m/>
    <x v="1"/>
    <n v="0"/>
    <x v="0"/>
    <x v="0"/>
    <d v="2009-08-04T00:00:00"/>
    <d v="2010-01-31T00:00:00"/>
    <x v="0"/>
    <d v="2010-07-21T00:00:00"/>
    <x v="0"/>
    <d v="2012-09-18T00:00:00"/>
    <x v="0"/>
    <x v="2"/>
    <s v="O"/>
    <x v="7"/>
    <x v="0"/>
    <x v="176"/>
    <s v="Edgar Pêra"/>
    <x v="49"/>
    <x v="7"/>
    <x v="0"/>
    <x v="0"/>
    <x v="0"/>
    <d v="2009-08-04T00:00:00"/>
    <d v="2010-01-31T00:00:00"/>
  </r>
  <r>
    <n v="402"/>
    <x v="0"/>
    <x v="13"/>
    <x v="267"/>
    <n v="10082"/>
    <x v="164"/>
    <m/>
    <m/>
    <x v="1"/>
    <d v="2009-01-02T00:00:00"/>
    <x v="0"/>
    <d v="2009-05-27T00:00:00"/>
    <d v="2009-08-06T00:00:00"/>
    <x v="0"/>
    <x v="0"/>
    <x v="0"/>
    <x v="12"/>
    <x v="0"/>
    <m/>
    <d v="2009-08-12T00:00:00"/>
    <x v="34"/>
    <m/>
    <n v="140000"/>
    <x v="0"/>
    <x v="0"/>
    <n v="840000"/>
    <m/>
    <x v="1"/>
    <n v="0"/>
    <x v="0"/>
    <x v="0"/>
    <d v="2010-02-22T00:00:00"/>
    <d v="2010-03-30T00:00:00"/>
    <x v="1"/>
    <d v="2010-05-14T00:00:00"/>
    <x v="0"/>
    <d v="2012-09-18T00:00:00"/>
    <x v="0"/>
    <x v="4"/>
    <s v="O"/>
    <x v="7"/>
    <x v="0"/>
    <x v="52"/>
    <s v="Manoel de Oliveira"/>
    <x v="16"/>
    <x v="7"/>
    <x v="0"/>
    <x v="0"/>
    <x v="0"/>
    <d v="2010-02-22T00:00:00"/>
    <d v="2010-03-30T00:00:00"/>
  </r>
  <r>
    <n v="403"/>
    <x v="0"/>
    <x v="29"/>
    <x v="197"/>
    <n v="11054"/>
    <x v="165"/>
    <m/>
    <s v="CORAÇÕES PARTIDOS"/>
    <x v="1"/>
    <d v="2006-03-22T00:00:00"/>
    <x v="4"/>
    <m/>
    <d v="2006-08-11T00:00:00"/>
    <x v="4"/>
    <x v="0"/>
    <x v="0"/>
    <x v="11"/>
    <x v="0"/>
    <m/>
    <d v="2006-08-14T00:00:00"/>
    <x v="21"/>
    <m/>
    <n v="67500"/>
    <x v="0"/>
    <x v="0"/>
    <n v="517500"/>
    <m/>
    <x v="1"/>
    <n v="0"/>
    <x v="0"/>
    <x v="0"/>
    <d v="2009-02-02T00:00:00"/>
    <d v="2009-04-04T00:00:00"/>
    <x v="0"/>
    <d v="2010-08-31T00:00:00"/>
    <x v="0"/>
    <d v="2012-09-18T00:00:00"/>
    <x v="0"/>
    <x v="11"/>
    <s v="O"/>
    <x v="7"/>
    <x v="0"/>
    <x v="177"/>
    <s v="Mónica Santana Baptista, Rui Santos, Hugo Martins, Tiago Nunes, Hugo Alves, Patrícia Raposo"/>
    <x v="120"/>
    <x v="7"/>
    <x v="0"/>
    <x v="0"/>
    <x v="0"/>
    <d v="2009-02-02T00:00:00"/>
    <d v="2009-04-04T00:00:00"/>
  </r>
  <r>
    <n v="404"/>
    <x v="0"/>
    <x v="10"/>
    <x v="133"/>
    <n v="9074"/>
    <x v="166"/>
    <m/>
    <m/>
    <x v="1"/>
    <d v="2005-07-01T00:00:00"/>
    <x v="6"/>
    <m/>
    <d v="2006-03-13T00:00:00"/>
    <x v="4"/>
    <x v="0"/>
    <x v="0"/>
    <x v="8"/>
    <x v="0"/>
    <m/>
    <d v="2006-12-19T00:00:00"/>
    <x v="21"/>
    <m/>
    <n v="67500"/>
    <x v="0"/>
    <x v="0"/>
    <n v="517500"/>
    <m/>
    <x v="1"/>
    <n v="0"/>
    <x v="0"/>
    <x v="0"/>
    <d v="2009-03-18T00:00:00"/>
    <m/>
    <x v="0"/>
    <d v="2010-02-15T00:00:00"/>
    <x v="0"/>
    <d v="2012-09-18T00:00:00"/>
    <x v="0"/>
    <x v="4"/>
    <s v="O"/>
    <x v="7"/>
    <x v="0"/>
    <x v="178"/>
    <s v="João Ribeiro"/>
    <x v="46"/>
    <x v="7"/>
    <x v="0"/>
    <x v="0"/>
    <x v="0"/>
    <d v="2009-03-18T00:00:00"/>
    <d v="1899-12-30T00:00:00"/>
  </r>
  <r>
    <n v="405"/>
    <x v="0"/>
    <x v="128"/>
    <x v="268"/>
    <n v="9432"/>
    <x v="167"/>
    <m/>
    <m/>
    <x v="1"/>
    <d v="2007-04-30T00:00:00"/>
    <x v="7"/>
    <d v="2007-08-10T00:00:00"/>
    <d v="2007-10-17T00:00:00"/>
    <x v="3"/>
    <x v="0"/>
    <x v="0"/>
    <x v="8"/>
    <x v="0"/>
    <m/>
    <d v="2007-10-19T00:00:00"/>
    <x v="21"/>
    <m/>
    <m/>
    <x v="0"/>
    <x v="0"/>
    <n v="450000"/>
    <m/>
    <x v="1"/>
    <n v="0"/>
    <x v="0"/>
    <x v="0"/>
    <d v="2009-06-18T00:00:00"/>
    <d v="2009-08-21T00:00:00"/>
    <x v="0"/>
    <d v="2010-06-12T00:00:00"/>
    <x v="0"/>
    <d v="2012-09-18T00:00:00"/>
    <x v="0"/>
    <x v="6"/>
    <s v="Q"/>
    <x v="7"/>
    <x v="0"/>
    <x v="179"/>
    <s v="José Carlos de Oliveira"/>
    <x v="121"/>
    <x v="7"/>
    <x v="0"/>
    <x v="0"/>
    <x v="0"/>
    <d v="2009-06-18T00:00:00"/>
    <d v="2009-08-21T00:00:00"/>
  </r>
  <r>
    <n v="406"/>
    <x v="0"/>
    <x v="42"/>
    <x v="230"/>
    <n v="10032"/>
    <x v="168"/>
    <m/>
    <m/>
    <x v="1"/>
    <d v="2008-01-02T00:00:00"/>
    <x v="2"/>
    <d v="2008-04-23T00:00:00"/>
    <d v="2008-11-12T00:00:00"/>
    <x v="7"/>
    <x v="0"/>
    <x v="0"/>
    <x v="11"/>
    <x v="0"/>
    <m/>
    <d v="2008-11-14T00:00:00"/>
    <x v="27"/>
    <m/>
    <n v="100000"/>
    <x v="0"/>
    <x v="0"/>
    <n v="600000"/>
    <m/>
    <x v="1"/>
    <n v="0"/>
    <x v="0"/>
    <x v="0"/>
    <d v="2008-12-01T00:00:00"/>
    <d v="2009-01-24T00:00:00"/>
    <x v="1"/>
    <d v="2010-12-09T00:00:00"/>
    <x v="0"/>
    <d v="2012-09-27T00:00:00"/>
    <x v="0"/>
    <x v="14"/>
    <s v="Q"/>
    <x v="7"/>
    <x v="0"/>
    <x v="106"/>
    <s v="Vicente Alves do Ó"/>
    <x v="0"/>
    <x v="7"/>
    <x v="0"/>
    <x v="0"/>
    <x v="0"/>
    <d v="2008-12-01T00:00:00"/>
    <d v="2009-01-24T00:00:00"/>
  </r>
  <r>
    <n v="407"/>
    <x v="0"/>
    <x v="11"/>
    <x v="199"/>
    <n v="10408"/>
    <x v="169"/>
    <m/>
    <s v="BUSINESS CLASS"/>
    <x v="1"/>
    <d v="2003-10-31T00:00:00"/>
    <x v="9"/>
    <m/>
    <d v="2004-06-21T00:00:00"/>
    <x v="5"/>
    <x v="0"/>
    <x v="0"/>
    <x v="11"/>
    <x v="0"/>
    <d v="2004-07-23T00:00:00"/>
    <d v="2005-05-17T00:00:00"/>
    <x v="21"/>
    <m/>
    <n v="67500"/>
    <x v="0"/>
    <x v="0"/>
    <n v="517500"/>
    <m/>
    <x v="1"/>
    <n v="0"/>
    <x v="0"/>
    <x v="0"/>
    <d v="2010-04-23T00:00:00"/>
    <d v="2010-05-12T00:00:00"/>
    <x v="1"/>
    <d v="2010-06-11T00:00:00"/>
    <x v="0"/>
    <d v="2012-10-25T00:00:00"/>
    <x v="0"/>
    <x v="4"/>
    <s v="V"/>
    <x v="7"/>
    <x v="0"/>
    <x v="30"/>
    <s v="Sérgio Tréfaut"/>
    <x v="77"/>
    <x v="7"/>
    <x v="0"/>
    <x v="0"/>
    <x v="0"/>
    <d v="2010-04-23T00:00:00"/>
    <d v="2010-05-12T00:00:00"/>
  </r>
  <r>
    <n v="408"/>
    <x v="0"/>
    <x v="129"/>
    <x v="115"/>
    <m/>
    <x v="4"/>
    <m/>
    <m/>
    <x v="1"/>
    <d v="2008-01-02T00:00:00"/>
    <x v="2"/>
    <d v="2008-05-07T00:00:00"/>
    <d v="2008-10-23T00:00:00"/>
    <x v="7"/>
    <x v="0"/>
    <x v="1"/>
    <x v="7"/>
    <x v="3"/>
    <m/>
    <d v="2008-11-07T00:00:00"/>
    <x v="45"/>
    <m/>
    <m/>
    <x v="0"/>
    <x v="0"/>
    <n v="10000"/>
    <m/>
    <x v="1"/>
    <n v="0"/>
    <x v="0"/>
    <x v="0"/>
    <m/>
    <m/>
    <x v="0"/>
    <d v="2008-11-20T00:00:00"/>
    <x v="0"/>
    <d v="2012-10-25T00:00:00"/>
    <x v="4"/>
    <x v="12"/>
    <s v="A"/>
    <x v="13"/>
    <x v="0"/>
    <x v="24"/>
    <s v=""/>
    <x v="4"/>
    <x v="2"/>
    <x v="3"/>
    <x v="3"/>
    <x v="0"/>
    <d v="1899-12-30T00:00:00"/>
    <d v="1899-12-30T00:00:00"/>
  </r>
  <r>
    <n v="409"/>
    <x v="0"/>
    <x v="28"/>
    <x v="244"/>
    <m/>
    <x v="4"/>
    <m/>
    <m/>
    <x v="3"/>
    <m/>
    <x v="8"/>
    <m/>
    <m/>
    <x v="8"/>
    <x v="0"/>
    <x v="1"/>
    <x v="5"/>
    <x v="2"/>
    <m/>
    <d v="2010-02-19T00:00:00"/>
    <x v="31"/>
    <m/>
    <m/>
    <x v="0"/>
    <x v="0"/>
    <n v="7500"/>
    <m/>
    <x v="1"/>
    <n v="0"/>
    <x v="0"/>
    <x v="0"/>
    <m/>
    <m/>
    <x v="0"/>
    <d v="2011-01-08T00:00:00"/>
    <x v="0"/>
    <d v="2010-10-26T00:00:00"/>
    <x v="3"/>
    <x v="11"/>
    <s v="C"/>
    <x v="2"/>
    <x v="0"/>
    <x v="131"/>
    <s v=""/>
    <x v="4"/>
    <x v="2"/>
    <x v="2"/>
    <x v="3"/>
    <x v="0"/>
    <d v="1899-12-30T00:00:00"/>
    <d v="1899-12-30T00:00:00"/>
  </r>
  <r>
    <n v="410"/>
    <x v="0"/>
    <x v="28"/>
    <x v="251"/>
    <m/>
    <x v="4"/>
    <m/>
    <m/>
    <x v="3"/>
    <m/>
    <x v="8"/>
    <m/>
    <m/>
    <x v="8"/>
    <x v="0"/>
    <x v="1"/>
    <x v="5"/>
    <x v="2"/>
    <m/>
    <m/>
    <x v="19"/>
    <m/>
    <m/>
    <x v="0"/>
    <x v="0"/>
    <n v="9000"/>
    <m/>
    <x v="1"/>
    <n v="0"/>
    <x v="0"/>
    <x v="0"/>
    <m/>
    <m/>
    <x v="0"/>
    <d v="2008-07-11T00:00:00"/>
    <x v="0"/>
    <d v="2012-10-29T00:00:00"/>
    <x v="3"/>
    <x v="11"/>
    <s v="Q"/>
    <x v="13"/>
    <x v="0"/>
    <x v="133"/>
    <s v=""/>
    <x v="4"/>
    <x v="2"/>
    <x v="2"/>
    <x v="3"/>
    <x v="0"/>
    <d v="1899-12-30T00:00:00"/>
    <d v="1899-12-30T00:00:00"/>
  </r>
  <r>
    <n v="411"/>
    <x v="0"/>
    <x v="6"/>
    <x v="255"/>
    <n v="11645"/>
    <x v="170"/>
    <m/>
    <m/>
    <x v="2"/>
    <d v="2008-01-02T00:00:00"/>
    <x v="2"/>
    <d v="2008-12-03T00:00:00"/>
    <d v="2009-07-20T00:00:00"/>
    <x v="0"/>
    <x v="0"/>
    <x v="0"/>
    <x v="4"/>
    <x v="0"/>
    <m/>
    <d v="2009-08-12T00:00:00"/>
    <x v="9"/>
    <m/>
    <n v="9000"/>
    <x v="0"/>
    <x v="0"/>
    <n v="54000"/>
    <m/>
    <x v="1"/>
    <n v="0"/>
    <x v="0"/>
    <x v="0"/>
    <d v="2010-07-01T00:00:00"/>
    <d v="2010-08-31T00:00:00"/>
    <x v="19"/>
    <d v="2011-02-17T00:00:00"/>
    <x v="0"/>
    <d v="2012-10-29T00:00:00"/>
    <x v="3"/>
    <x v="2"/>
    <s v="O"/>
    <x v="2"/>
    <x v="0"/>
    <x v="180"/>
    <s v="José Fernandes"/>
    <x v="122"/>
    <x v="5"/>
    <x v="2"/>
    <x v="1"/>
    <x v="0"/>
    <d v="2010-07-01T00:00:00"/>
    <d v="2010-08-31T00:00:00"/>
  </r>
  <r>
    <n v="412"/>
    <x v="0"/>
    <x v="19"/>
    <x v="47"/>
    <m/>
    <x v="4"/>
    <s v="CALL GIRL - APOIO AUTOMÁTICO 2009"/>
    <m/>
    <x v="1"/>
    <d v="2009-01-02T00:00:00"/>
    <x v="0"/>
    <d v="2009-01-30T00:00:00"/>
    <d v="2009-03-13T00:00:00"/>
    <x v="0"/>
    <x v="0"/>
    <x v="1"/>
    <x v="15"/>
    <x v="4"/>
    <m/>
    <d v="2011-03-18T00:00:00"/>
    <x v="170"/>
    <m/>
    <m/>
    <x v="0"/>
    <x v="0"/>
    <n v="143711"/>
    <n v="0"/>
    <x v="1"/>
    <n v="0"/>
    <x v="0"/>
    <x v="0"/>
    <m/>
    <m/>
    <x v="0"/>
    <m/>
    <x v="0"/>
    <d v="2012-11-06T00:00:00"/>
    <x v="0"/>
    <x v="8"/>
    <s v="Q"/>
    <x v="3"/>
    <x v="0"/>
    <x v="42"/>
    <s v=""/>
    <x v="4"/>
    <x v="2"/>
    <x v="0"/>
    <x v="0"/>
    <x v="0"/>
    <d v="1899-12-30T00:00:00"/>
    <d v="1899-12-30T00:00:00"/>
  </r>
  <r>
    <n v="413"/>
    <x v="0"/>
    <x v="19"/>
    <x v="341"/>
    <m/>
    <x v="4"/>
    <s v="CALL GIRL - APOIO AUTOMÁTICO 2009"/>
    <m/>
    <x v="1"/>
    <d v="2009-01-02T00:00:00"/>
    <x v="0"/>
    <d v="2009-01-30T00:00:00"/>
    <d v="2009-03-13T00:00:00"/>
    <x v="0"/>
    <x v="0"/>
    <x v="1"/>
    <x v="15"/>
    <x v="3"/>
    <m/>
    <d v="2011-04-18T00:00:00"/>
    <x v="45"/>
    <m/>
    <m/>
    <x v="0"/>
    <x v="0"/>
    <n v="10000"/>
    <n v="0"/>
    <x v="1"/>
    <n v="0"/>
    <x v="0"/>
    <x v="0"/>
    <m/>
    <m/>
    <x v="0"/>
    <m/>
    <x v="0"/>
    <d v="2013-01-09T00:00:00"/>
    <x v="4"/>
    <x v="8"/>
    <s v="J"/>
    <x v="3"/>
    <x v="0"/>
    <x v="181"/>
    <s v=""/>
    <x v="4"/>
    <x v="2"/>
    <x v="3"/>
    <x v="3"/>
    <x v="0"/>
    <d v="1899-12-30T00:00:00"/>
    <d v="1899-12-30T00:00:00"/>
  </r>
  <r>
    <n v="414"/>
    <x v="0"/>
    <x v="19"/>
    <x v="48"/>
    <m/>
    <x v="4"/>
    <s v="CALL GIRL - APOIO AUTOMÁTICO 2009"/>
    <m/>
    <x v="1"/>
    <d v="2009-01-02T00:00:00"/>
    <x v="0"/>
    <d v="2009-01-30T00:00:00"/>
    <d v="2009-03-13T00:00:00"/>
    <x v="0"/>
    <x v="0"/>
    <x v="1"/>
    <x v="15"/>
    <x v="3"/>
    <m/>
    <d v="2011-04-18T00:00:00"/>
    <x v="45"/>
    <m/>
    <m/>
    <x v="0"/>
    <x v="0"/>
    <n v="10000"/>
    <m/>
    <x v="1"/>
    <n v="0"/>
    <x v="0"/>
    <x v="0"/>
    <m/>
    <m/>
    <x v="0"/>
    <d v="2011-08-19T00:00:00"/>
    <x v="0"/>
    <d v="2012-11-06T00:00:00"/>
    <x v="4"/>
    <x v="8"/>
    <s v="O"/>
    <x v="2"/>
    <x v="0"/>
    <x v="115"/>
    <s v=""/>
    <x v="4"/>
    <x v="2"/>
    <x v="3"/>
    <x v="3"/>
    <x v="0"/>
    <d v="1899-12-30T00:00:00"/>
    <d v="1899-12-30T00:00:00"/>
  </r>
  <r>
    <n v="415"/>
    <x v="0"/>
    <x v="19"/>
    <x v="48"/>
    <m/>
    <x v="4"/>
    <s v="A BELA E O PAPARAZZO - APOIO AUTOMÁTICO 2011"/>
    <m/>
    <x v="1"/>
    <d v="2011-01-03T00:00:00"/>
    <x v="1"/>
    <d v="2011-01-31T00:00:00"/>
    <d v="2011-08-19T00:00:00"/>
    <x v="1"/>
    <x v="0"/>
    <x v="0"/>
    <x v="14"/>
    <x v="0"/>
    <m/>
    <d v="2014-07-22T00:00:00"/>
    <x v="171"/>
    <m/>
    <m/>
    <x v="0"/>
    <x v="0"/>
    <n v="106732.63"/>
    <m/>
    <x v="1"/>
    <n v="0"/>
    <x v="0"/>
    <x v="0"/>
    <m/>
    <m/>
    <x v="0"/>
    <m/>
    <x v="0"/>
    <d v="2014-08-06T00:00:00"/>
    <x v="5"/>
    <x v="8"/>
    <s v="O"/>
    <x v="3"/>
    <x v="0"/>
    <x v="108"/>
    <s v=""/>
    <x v="4"/>
    <x v="2"/>
    <x v="4"/>
    <x v="3"/>
    <x v="0"/>
    <d v="1899-12-30T00:00:00"/>
    <d v="1899-12-30T00:00:00"/>
  </r>
  <r>
    <n v="416"/>
    <x v="0"/>
    <x v="19"/>
    <x v="342"/>
    <m/>
    <x v="4"/>
    <s v="CALL GIRL - APOIO AUTOMÁTICO 2009"/>
    <m/>
    <x v="1"/>
    <d v="2009-01-02T00:00:00"/>
    <x v="0"/>
    <d v="2009-01-30T00:00:00"/>
    <d v="2009-03-13T00:00:00"/>
    <x v="0"/>
    <x v="0"/>
    <x v="1"/>
    <x v="15"/>
    <x v="3"/>
    <m/>
    <d v="2011-04-18T00:00:00"/>
    <x v="45"/>
    <m/>
    <m/>
    <x v="0"/>
    <x v="0"/>
    <n v="10000"/>
    <n v="0"/>
    <x v="1"/>
    <n v="0"/>
    <x v="0"/>
    <x v="0"/>
    <m/>
    <m/>
    <x v="0"/>
    <m/>
    <x v="0"/>
    <d v="2013-01-09T00:00:00"/>
    <x v="4"/>
    <x v="8"/>
    <s v="S"/>
    <x v="3"/>
    <x v="0"/>
    <x v="115"/>
    <s v=""/>
    <x v="4"/>
    <x v="2"/>
    <x v="3"/>
    <x v="3"/>
    <x v="0"/>
    <d v="1899-12-30T00:00:00"/>
    <d v="1899-12-30T00:00:00"/>
  </r>
  <r>
    <n v="417"/>
    <x v="0"/>
    <x v="28"/>
    <x v="67"/>
    <m/>
    <x v="4"/>
    <m/>
    <m/>
    <x v="1"/>
    <d v="2009-01-02T00:00:00"/>
    <x v="0"/>
    <d v="2009-05-06T00:00:00"/>
    <d v="2009-02-09T00:00:00"/>
    <x v="0"/>
    <x v="0"/>
    <x v="1"/>
    <x v="5"/>
    <x v="2"/>
    <m/>
    <d v="2010-04-27T00:00:00"/>
    <x v="31"/>
    <m/>
    <m/>
    <x v="0"/>
    <x v="0"/>
    <n v="7500"/>
    <m/>
    <x v="1"/>
    <n v="0"/>
    <x v="0"/>
    <x v="0"/>
    <m/>
    <m/>
    <x v="0"/>
    <d v="2012-11-08T00:00:00"/>
    <x v="0"/>
    <d v="2012-11-08T00:00:00"/>
    <x v="5"/>
    <x v="11"/>
    <s v="G"/>
    <x v="0"/>
    <x v="0"/>
    <x v="61"/>
    <s v=""/>
    <x v="4"/>
    <x v="2"/>
    <x v="4"/>
    <x v="3"/>
    <x v="0"/>
    <d v="1899-12-30T00:00:00"/>
    <d v="1899-12-30T00:00:00"/>
  </r>
  <r>
    <n v="418"/>
    <x v="0"/>
    <x v="52"/>
    <x v="343"/>
    <n v="10580"/>
    <x v="171"/>
    <m/>
    <m/>
    <x v="2"/>
    <d v="2008-01-02T00:00:00"/>
    <x v="2"/>
    <d v="2008-12-03T00:00:00"/>
    <d v="2009-07-20T00:00:00"/>
    <x v="0"/>
    <x v="0"/>
    <x v="0"/>
    <x v="4"/>
    <x v="0"/>
    <m/>
    <d v="2009-07-23T00:00:00"/>
    <x v="4"/>
    <m/>
    <n v="14000"/>
    <x v="0"/>
    <x v="0"/>
    <n v="84000"/>
    <m/>
    <x v="1"/>
    <n v="0"/>
    <x v="0"/>
    <x v="0"/>
    <d v="2009-06-22T00:00:00"/>
    <d v="2009-07-30T00:00:00"/>
    <x v="20"/>
    <d v="2010-05-12T00:00:00"/>
    <x v="0"/>
    <d v="2012-11-08T00:00:00"/>
    <x v="3"/>
    <x v="2"/>
    <s v="4"/>
    <x v="7"/>
    <x v="0"/>
    <x v="182"/>
    <s v="Rita Nunes"/>
    <x v="123"/>
    <x v="7"/>
    <x v="2"/>
    <x v="1"/>
    <x v="0"/>
    <d v="2009-06-22T00:00:00"/>
    <d v="2009-07-30T00:00:00"/>
  </r>
  <r>
    <n v="419"/>
    <x v="0"/>
    <x v="41"/>
    <x v="344"/>
    <n v="11823"/>
    <x v="172"/>
    <m/>
    <m/>
    <x v="0"/>
    <d v="2006-10-16T00:00:00"/>
    <x v="4"/>
    <m/>
    <d v="2007-05-11T00:00:00"/>
    <x v="3"/>
    <x v="0"/>
    <x v="0"/>
    <x v="3"/>
    <x v="0"/>
    <m/>
    <d v="2007-10-22T00:00:00"/>
    <x v="9"/>
    <m/>
    <n v="6750"/>
    <x v="0"/>
    <x v="0"/>
    <n v="51750"/>
    <m/>
    <x v="1"/>
    <n v="0"/>
    <x v="0"/>
    <x v="0"/>
    <m/>
    <m/>
    <x v="1"/>
    <d v="2010-07-21T00:00:00"/>
    <x v="0"/>
    <m/>
    <x v="2"/>
    <x v="13"/>
    <s v="A"/>
    <x v="7"/>
    <x v="0"/>
    <x v="106"/>
    <s v="Vicente Alves do Ó"/>
    <x v="76"/>
    <x v="7"/>
    <x v="0"/>
    <x v="1"/>
    <x v="0"/>
    <d v="1899-12-30T00:00:00"/>
    <d v="1899-12-30T00:00:00"/>
  </r>
  <r>
    <n v="420"/>
    <x v="0"/>
    <x v="14"/>
    <x v="345"/>
    <n v="11175"/>
    <x v="173"/>
    <m/>
    <m/>
    <x v="1"/>
    <d v="2007-04-30T00:00:00"/>
    <x v="7"/>
    <d v="2007-09-26T00:00:00"/>
    <d v="2008-01-28T00:00:00"/>
    <x v="7"/>
    <x v="0"/>
    <x v="0"/>
    <x v="1"/>
    <x v="0"/>
    <m/>
    <d v="2008-10-17T00:00:00"/>
    <x v="172"/>
    <m/>
    <n v="6915.33"/>
    <x v="0"/>
    <x v="0"/>
    <n v="41492"/>
    <m/>
    <x v="1"/>
    <n v="0"/>
    <x v="0"/>
    <x v="0"/>
    <m/>
    <m/>
    <x v="0"/>
    <d v="2010-07-07T00:00:00"/>
    <x v="0"/>
    <d v="2012-11-19T00:00:00"/>
    <x v="1"/>
    <x v="4"/>
    <s v="A"/>
    <x v="7"/>
    <x v="0"/>
    <x v="183"/>
    <s v="Manuel Matos Barbosa"/>
    <x v="124"/>
    <x v="7"/>
    <x v="1"/>
    <x v="1"/>
    <x v="0"/>
    <d v="1899-12-30T00:00:00"/>
    <d v="1899-12-30T00:00:00"/>
  </r>
  <r>
    <n v="421"/>
    <x v="0"/>
    <x v="130"/>
    <x v="346"/>
    <n v="11824"/>
    <x v="174"/>
    <m/>
    <m/>
    <x v="1"/>
    <d v="2008-01-02T00:00:00"/>
    <x v="2"/>
    <d v="2008-09-02T00:00:00"/>
    <d v="2009-04-28T00:00:00"/>
    <x v="0"/>
    <x v="0"/>
    <x v="0"/>
    <x v="3"/>
    <x v="0"/>
    <m/>
    <d v="2009-05-21T00:00:00"/>
    <x v="11"/>
    <m/>
    <n v="8400"/>
    <x v="0"/>
    <x v="0"/>
    <n v="50400"/>
    <m/>
    <x v="1"/>
    <n v="0"/>
    <x v="0"/>
    <x v="0"/>
    <d v="2009-06-01T00:00:00"/>
    <d v="2009-06-06T00:00:00"/>
    <x v="0"/>
    <d v="2010-11-22T00:00:00"/>
    <x v="0"/>
    <m/>
    <x v="2"/>
    <x v="4"/>
    <s v="A"/>
    <x v="7"/>
    <x v="0"/>
    <x v="184"/>
    <s v="António da Cunha Telles"/>
    <x v="76"/>
    <x v="7"/>
    <x v="0"/>
    <x v="1"/>
    <x v="0"/>
    <d v="2009-06-01T00:00:00"/>
    <d v="2009-06-06T00:00:00"/>
  </r>
  <r>
    <n v="422"/>
    <x v="0"/>
    <x v="40"/>
    <x v="253"/>
    <n v="11825"/>
    <x v="175"/>
    <m/>
    <m/>
    <x v="1"/>
    <d v="2007-04-30T00:00:00"/>
    <x v="7"/>
    <d v="2007-09-17T00:00:00"/>
    <d v="2008-06-03T00:00:00"/>
    <x v="7"/>
    <x v="0"/>
    <x v="0"/>
    <x v="3"/>
    <x v="0"/>
    <m/>
    <d v="2009-06-04T00:00:00"/>
    <x v="9"/>
    <m/>
    <n v="9000"/>
    <x v="0"/>
    <x v="0"/>
    <n v="54000"/>
    <m/>
    <x v="1"/>
    <n v="0"/>
    <x v="0"/>
    <x v="0"/>
    <d v="2009-07-13T00:00:00"/>
    <d v="2009-08-13T00:00:00"/>
    <x v="1"/>
    <d v="2010-01-14T00:00:00"/>
    <x v="0"/>
    <d v="2012-11-20T00:00:00"/>
    <x v="2"/>
    <x v="10"/>
    <s v="A"/>
    <x v="7"/>
    <x v="0"/>
    <x v="185"/>
    <s v="João Viana"/>
    <x v="88"/>
    <x v="7"/>
    <x v="0"/>
    <x v="1"/>
    <x v="0"/>
    <d v="2009-07-13T00:00:00"/>
    <d v="2009-08-13T00:00:00"/>
  </r>
  <r>
    <n v="423"/>
    <x v="0"/>
    <x v="130"/>
    <x v="347"/>
    <n v="11826"/>
    <x v="176"/>
    <m/>
    <s v="PORTUGAL, ARGENTINA"/>
    <x v="1"/>
    <d v="2007-04-30T00:00:00"/>
    <x v="7"/>
    <d v="2007-09-17T00:00:00"/>
    <d v="2008-06-03T00:00:00"/>
    <x v="7"/>
    <x v="0"/>
    <x v="0"/>
    <x v="3"/>
    <x v="0"/>
    <m/>
    <d v="2008-10-10T00:00:00"/>
    <x v="9"/>
    <m/>
    <n v="9000"/>
    <x v="0"/>
    <x v="0"/>
    <n v="54000"/>
    <m/>
    <x v="1"/>
    <n v="0"/>
    <x v="0"/>
    <x v="0"/>
    <m/>
    <m/>
    <x v="0"/>
    <d v="2010-03-31T00:00:00"/>
    <x v="0"/>
    <d v="2012-11-20T00:00:00"/>
    <x v="2"/>
    <x v="4"/>
    <s v="A"/>
    <x v="7"/>
    <x v="0"/>
    <x v="186"/>
    <s v="Paulo Filipe Monteiro"/>
    <x v="125"/>
    <x v="7"/>
    <x v="0"/>
    <x v="1"/>
    <x v="0"/>
    <d v="1899-12-30T00:00:00"/>
    <d v="1899-12-30T00:00:00"/>
  </r>
  <r>
    <n v="424"/>
    <x v="0"/>
    <x v="13"/>
    <x v="348"/>
    <n v="11836"/>
    <x v="177"/>
    <m/>
    <m/>
    <x v="0"/>
    <d v="2007-04-30T00:00:00"/>
    <x v="7"/>
    <d v="2007-07-31T00:00:00"/>
    <d v="2008-02-20T00:00:00"/>
    <x v="7"/>
    <x v="0"/>
    <x v="0"/>
    <x v="4"/>
    <x v="0"/>
    <m/>
    <d v="2008-03-07T00:00:00"/>
    <x v="4"/>
    <m/>
    <n v="14000"/>
    <x v="0"/>
    <x v="0"/>
    <n v="84000"/>
    <m/>
    <x v="1"/>
    <n v="0"/>
    <x v="0"/>
    <x v="0"/>
    <d v="2008-11-02T00:00:00"/>
    <d v="2009-05-08T00:00:00"/>
    <x v="21"/>
    <d v="2010-10-01T00:00:00"/>
    <x v="0"/>
    <d v="2012-11-19T00:00:00"/>
    <x v="3"/>
    <x v="4"/>
    <s v="A"/>
    <x v="7"/>
    <x v="0"/>
    <x v="187"/>
    <s v="Graça Castanheira"/>
    <x v="126"/>
    <x v="7"/>
    <x v="2"/>
    <x v="0"/>
    <x v="0"/>
    <d v="2008-11-02T00:00:00"/>
    <d v="2009-05-08T00:00:00"/>
  </r>
  <r>
    <n v="425"/>
    <x v="0"/>
    <x v="13"/>
    <x v="349"/>
    <n v="11837"/>
    <x v="178"/>
    <m/>
    <m/>
    <x v="1"/>
    <d v="2006-04-03T00:00:00"/>
    <x v="4"/>
    <m/>
    <d v="2006-08-03T00:00:00"/>
    <x v="4"/>
    <x v="0"/>
    <x v="0"/>
    <x v="26"/>
    <x v="0"/>
    <m/>
    <d v="2006-11-20T00:00:00"/>
    <x v="80"/>
    <m/>
    <n v="7500"/>
    <x v="0"/>
    <x v="0"/>
    <n v="57500"/>
    <m/>
    <x v="1"/>
    <n v="0"/>
    <x v="0"/>
    <x v="0"/>
    <d v="2008-03-24T00:00:00"/>
    <m/>
    <x v="0"/>
    <d v="2010-04-27T00:00:00"/>
    <x v="0"/>
    <m/>
    <x v="3"/>
    <x v="4"/>
    <s v="A"/>
    <x v="7"/>
    <x v="0"/>
    <x v="188"/>
    <s v="Joana Pontes"/>
    <x v="16"/>
    <x v="7"/>
    <x v="2"/>
    <x v="0"/>
    <x v="0"/>
    <d v="2008-03-24T00:00:00"/>
    <d v="1899-12-30T00:00:00"/>
  </r>
  <r>
    <n v="426"/>
    <x v="0"/>
    <x v="23"/>
    <x v="350"/>
    <n v="11720"/>
    <x v="179"/>
    <m/>
    <m/>
    <x v="0"/>
    <d v="2006-04-13T00:00:00"/>
    <x v="4"/>
    <d v="2006-05-17T00:00:00"/>
    <d v="2006-11-03T00:00:00"/>
    <x v="4"/>
    <x v="0"/>
    <x v="0"/>
    <x v="4"/>
    <x v="0"/>
    <m/>
    <d v="2007-02-17T00:00:00"/>
    <x v="80"/>
    <m/>
    <n v="7500"/>
    <x v="0"/>
    <x v="0"/>
    <n v="57500"/>
    <m/>
    <x v="1"/>
    <n v="0"/>
    <x v="0"/>
    <x v="0"/>
    <d v="2009-05-21T00:00:00"/>
    <m/>
    <x v="1"/>
    <d v="2010-10-11T00:00:00"/>
    <x v="0"/>
    <d v="2013-01-24T00:00:00"/>
    <x v="3"/>
    <x v="9"/>
    <s v="C"/>
    <x v="7"/>
    <x v="0"/>
    <x v="189"/>
    <s v="Maria João Soares"/>
    <x v="127"/>
    <x v="7"/>
    <x v="2"/>
    <x v="1"/>
    <x v="0"/>
    <d v="2009-05-21T00:00:00"/>
    <d v="1899-12-30T00:00:00"/>
  </r>
  <r>
    <n v="427"/>
    <x v="0"/>
    <x v="14"/>
    <x v="192"/>
    <n v="11847"/>
    <x v="180"/>
    <m/>
    <s v="CONTOS DO VENTO"/>
    <x v="1"/>
    <d v="2007-04-30T00:00:00"/>
    <x v="7"/>
    <d v="2007-09-26T00:00:00"/>
    <d v="2008-01-28T00:00:00"/>
    <x v="7"/>
    <x v="0"/>
    <x v="0"/>
    <x v="1"/>
    <x v="0"/>
    <m/>
    <d v="2008-10-17T00:00:00"/>
    <x v="173"/>
    <m/>
    <n v="6194.17"/>
    <x v="0"/>
    <x v="0"/>
    <n v="37165"/>
    <m/>
    <x v="1"/>
    <n v="0"/>
    <x v="0"/>
    <x v="0"/>
    <m/>
    <m/>
    <x v="0"/>
    <d v="2010-07-27T00:00:00"/>
    <x v="0"/>
    <d v="2012-11-19T00:00:00"/>
    <x v="1"/>
    <x v="4"/>
    <s v="C"/>
    <x v="7"/>
    <x v="0"/>
    <x v="190"/>
    <s v="Cláudio Jordão, Nelson Martins"/>
    <x v="128"/>
    <x v="7"/>
    <x v="1"/>
    <x v="1"/>
    <x v="0"/>
    <d v="1899-12-30T00:00:00"/>
    <d v="1899-12-30T00:00:00"/>
  </r>
  <r>
    <n v="428"/>
    <x v="0"/>
    <x v="9"/>
    <x v="351"/>
    <n v="11829"/>
    <x v="181"/>
    <m/>
    <s v="SNIPERS"/>
    <x v="1"/>
    <d v="2008-01-02T00:00:00"/>
    <x v="2"/>
    <d v="2008-09-02T00:00:00"/>
    <d v="2009-04-28T00:00:00"/>
    <x v="0"/>
    <x v="0"/>
    <x v="0"/>
    <x v="3"/>
    <x v="0"/>
    <m/>
    <d v="2009-08-12T00:00:00"/>
    <x v="11"/>
    <m/>
    <n v="8400"/>
    <x v="0"/>
    <x v="0"/>
    <n v="50400"/>
    <m/>
    <x v="1"/>
    <n v="0"/>
    <x v="0"/>
    <x v="0"/>
    <d v="2009-07-25T00:00:00"/>
    <d v="2009-07-29T00:00:00"/>
    <x v="1"/>
    <d v="2010-02-10T00:00:00"/>
    <x v="0"/>
    <m/>
    <x v="2"/>
    <x v="3"/>
    <s v="D"/>
    <x v="7"/>
    <x v="0"/>
    <x v="191"/>
    <s v="Luís Alvarães, Luís Mário Lopes"/>
    <x v="129"/>
    <x v="7"/>
    <x v="0"/>
    <x v="1"/>
    <x v="0"/>
    <d v="2009-07-25T00:00:00"/>
    <d v="2009-07-29T00:00:00"/>
  </r>
  <r>
    <n v="429"/>
    <x v="0"/>
    <x v="44"/>
    <x v="352"/>
    <n v="11848"/>
    <x v="182"/>
    <m/>
    <s v="Repartição"/>
    <x v="1"/>
    <d v="2004-06-11T00:00:00"/>
    <x v="5"/>
    <m/>
    <d v="2005-02-21T00:00:00"/>
    <x v="6"/>
    <x v="0"/>
    <x v="0"/>
    <x v="1"/>
    <x v="0"/>
    <m/>
    <m/>
    <x v="174"/>
    <m/>
    <m/>
    <x v="0"/>
    <x v="0"/>
    <n v="0"/>
    <m/>
    <x v="1"/>
    <n v="0"/>
    <x v="0"/>
    <x v="0"/>
    <m/>
    <m/>
    <x v="0"/>
    <d v="2010-07-27T00:00:00"/>
    <x v="0"/>
    <m/>
    <x v="1"/>
    <x v="16"/>
    <s v="E"/>
    <x v="7"/>
    <x v="0"/>
    <x v="192"/>
    <s v="Sandra Santos"/>
    <x v="43"/>
    <x v="7"/>
    <x v="1"/>
    <x v="1"/>
    <x v="0"/>
    <d v="1899-12-30T00:00:00"/>
    <d v="1899-12-30T00:00:00"/>
  </r>
  <r>
    <n v="430"/>
    <x v="0"/>
    <x v="30"/>
    <x v="353"/>
    <n v="11856"/>
    <x v="183"/>
    <m/>
    <s v="O Meu Amigo"/>
    <x v="1"/>
    <d v="2006-10-13T00:00:00"/>
    <x v="4"/>
    <d v="2006-11-28T00:00:00"/>
    <d v="2007-07-31T00:00:00"/>
    <x v="3"/>
    <x v="0"/>
    <x v="0"/>
    <x v="1"/>
    <x v="0"/>
    <m/>
    <m/>
    <x v="174"/>
    <m/>
    <m/>
    <x v="0"/>
    <x v="0"/>
    <n v="0"/>
    <m/>
    <x v="1"/>
    <n v="0"/>
    <x v="0"/>
    <x v="0"/>
    <m/>
    <m/>
    <x v="0"/>
    <d v="2010-01-26T00:00:00"/>
    <x v="0"/>
    <m/>
    <x v="1"/>
    <x v="12"/>
    <s v="E"/>
    <x v="7"/>
    <x v="0"/>
    <x v="193"/>
    <s v="Nuno Beato"/>
    <x v="43"/>
    <x v="7"/>
    <x v="1"/>
    <x v="2"/>
    <x v="5"/>
    <d v="1899-12-30T00:00:00"/>
    <d v="1899-12-30T00:00:00"/>
  </r>
  <r>
    <n v="431"/>
    <x v="0"/>
    <x v="41"/>
    <x v="354"/>
    <n v="11842"/>
    <x v="184"/>
    <m/>
    <s v=" S. TOMÉ E PRÍNCIPE (TERRA DE CONTRASTES)"/>
    <x v="1"/>
    <d v="2006-02-24T00:00:00"/>
    <x v="4"/>
    <d v="2006-04-03T00:00:00"/>
    <d v="2006-08-03T00:00:00"/>
    <x v="4"/>
    <x v="0"/>
    <x v="0"/>
    <x v="26"/>
    <x v="0"/>
    <m/>
    <d v="2007-10-11T00:00:00"/>
    <x v="80"/>
    <m/>
    <n v="75000"/>
    <x v="0"/>
    <x v="0"/>
    <n v="125000"/>
    <m/>
    <x v="1"/>
    <n v="0"/>
    <x v="0"/>
    <x v="0"/>
    <m/>
    <m/>
    <x v="0"/>
    <d v="2010-02-26T00:00:00"/>
    <x v="0"/>
    <m/>
    <x v="3"/>
    <x v="13"/>
    <s v="E"/>
    <x v="7"/>
    <x v="0"/>
    <x v="194"/>
    <s v="Francisco Manso"/>
    <x v="130"/>
    <x v="7"/>
    <x v="2"/>
    <x v="1"/>
    <x v="0"/>
    <d v="1899-12-30T00:00:00"/>
    <d v="1899-12-30T00:00:00"/>
  </r>
  <r>
    <n v="432"/>
    <x v="0"/>
    <x v="2"/>
    <x v="355"/>
    <n v="11857"/>
    <x v="185"/>
    <m/>
    <m/>
    <x v="1"/>
    <d v="2006-10-13T00:00:00"/>
    <x v="4"/>
    <d v="2006-11-28T00:00:00"/>
    <d v="2007-07-31T00:00:00"/>
    <x v="3"/>
    <x v="0"/>
    <x v="0"/>
    <x v="1"/>
    <x v="0"/>
    <m/>
    <m/>
    <x v="174"/>
    <m/>
    <m/>
    <x v="0"/>
    <x v="0"/>
    <n v="0"/>
    <m/>
    <x v="1"/>
    <n v="0"/>
    <x v="0"/>
    <x v="0"/>
    <m/>
    <m/>
    <x v="0"/>
    <d v="2010-03-18T00:00:00"/>
    <x v="0"/>
    <m/>
    <x v="1"/>
    <x v="0"/>
    <s v="F"/>
    <x v="7"/>
    <x v="0"/>
    <x v="195"/>
    <s v="André Dias"/>
    <x v="104"/>
    <x v="7"/>
    <x v="1"/>
    <x v="2"/>
    <x v="3"/>
    <d v="1899-12-30T00:00:00"/>
    <d v="1899-12-30T00:00:00"/>
  </r>
  <r>
    <n v="433"/>
    <x v="0"/>
    <x v="131"/>
    <x v="356"/>
    <n v="11279"/>
    <x v="186"/>
    <m/>
    <m/>
    <x v="2"/>
    <d v="2006-09-22T00:00:00"/>
    <x v="4"/>
    <d v="2006-11-03T00:00:00"/>
    <d v="2007-04-19T00:00:00"/>
    <x v="3"/>
    <x v="0"/>
    <x v="0"/>
    <x v="4"/>
    <x v="0"/>
    <m/>
    <d v="2008-04-17T00:00:00"/>
    <x v="75"/>
    <m/>
    <n v="6000"/>
    <x v="0"/>
    <x v="0"/>
    <n v="46000"/>
    <m/>
    <x v="1"/>
    <n v="0"/>
    <x v="0"/>
    <x v="0"/>
    <m/>
    <m/>
    <x v="0"/>
    <d v="2010-11-02T00:00:00"/>
    <x v="0"/>
    <m/>
    <x v="3"/>
    <x v="15"/>
    <s v="H"/>
    <x v="7"/>
    <x v="0"/>
    <x v="196"/>
    <s v="Pedro Sena Nunes"/>
    <x v="77"/>
    <x v="7"/>
    <x v="2"/>
    <x v="0"/>
    <x v="0"/>
    <d v="1899-12-30T00:00:00"/>
    <d v="1899-12-30T00:00:00"/>
  </r>
  <r>
    <n v="434"/>
    <x v="0"/>
    <x v="28"/>
    <x v="357"/>
    <n v="8644"/>
    <x v="187"/>
    <m/>
    <m/>
    <x v="0"/>
    <d v="2007-04-30T00:00:00"/>
    <x v="7"/>
    <d v="2007-07-31T00:00:00"/>
    <d v="2008-02-20T00:00:00"/>
    <x v="7"/>
    <x v="0"/>
    <x v="0"/>
    <x v="4"/>
    <x v="0"/>
    <m/>
    <d v="2008-03-11T00:00:00"/>
    <x v="33"/>
    <m/>
    <n v="12000"/>
    <x v="0"/>
    <x v="0"/>
    <n v="72000"/>
    <m/>
    <x v="1"/>
    <n v="0"/>
    <x v="0"/>
    <x v="0"/>
    <d v="2008-04-22T00:00:00"/>
    <m/>
    <x v="0"/>
    <d v="2010-02-18T00:00:00"/>
    <x v="0"/>
    <m/>
    <x v="3"/>
    <x v="11"/>
    <s v="I"/>
    <x v="7"/>
    <x v="0"/>
    <x v="61"/>
    <s v="Rui Simões"/>
    <x v="131"/>
    <x v="7"/>
    <x v="2"/>
    <x v="0"/>
    <x v="0"/>
    <d v="2008-04-22T00:00:00"/>
    <d v="1899-12-30T00:00:00"/>
  </r>
  <r>
    <n v="435"/>
    <x v="0"/>
    <x v="110"/>
    <x v="271"/>
    <n v="9490"/>
    <x v="188"/>
    <m/>
    <s v="União Ibérica"/>
    <x v="0"/>
    <d v="2006-04-13T00:00:00"/>
    <x v="4"/>
    <d v="2006-05-17T00:00:00"/>
    <d v="2006-11-03T00:00:00"/>
    <x v="4"/>
    <x v="0"/>
    <x v="0"/>
    <x v="4"/>
    <x v="0"/>
    <m/>
    <d v="2006-12-20T00:00:00"/>
    <x v="80"/>
    <m/>
    <m/>
    <x v="0"/>
    <x v="0"/>
    <n v="50000"/>
    <m/>
    <x v="1"/>
    <n v="0"/>
    <x v="0"/>
    <x v="0"/>
    <d v="2006-12-04T00:00:00"/>
    <m/>
    <x v="0"/>
    <d v="2010-11-22T00:00:00"/>
    <x v="0"/>
    <d v="2013-01-24T00:00:00"/>
    <x v="3"/>
    <x v="6"/>
    <s v="J"/>
    <x v="7"/>
    <x v="0"/>
    <x v="197"/>
    <s v="Miguel Gonçalves Mendes"/>
    <x v="27"/>
    <x v="7"/>
    <x v="2"/>
    <x v="0"/>
    <x v="0"/>
    <d v="2006-12-04T00:00:00"/>
    <d v="1899-12-30T00:00:00"/>
  </r>
  <r>
    <n v="436"/>
    <x v="0"/>
    <x v="32"/>
    <x v="358"/>
    <n v="11830"/>
    <x v="189"/>
    <m/>
    <m/>
    <x v="1"/>
    <d v="2005-07-01T00:00:00"/>
    <x v="6"/>
    <m/>
    <d v="2006-04-24T00:00:00"/>
    <x v="4"/>
    <x v="0"/>
    <x v="0"/>
    <x v="3"/>
    <x v="0"/>
    <d v="2006-11-20T00:00:00"/>
    <d v="2007-03-18T00:00:00"/>
    <x v="9"/>
    <m/>
    <n v="6750"/>
    <x v="0"/>
    <x v="0"/>
    <n v="51750"/>
    <m/>
    <x v="1"/>
    <n v="0"/>
    <x v="0"/>
    <x v="0"/>
    <m/>
    <m/>
    <x v="0"/>
    <d v="2010-08-18T00:00:00"/>
    <x v="8"/>
    <m/>
    <x v="2"/>
    <x v="13"/>
    <s v="L"/>
    <x v="7"/>
    <x v="0"/>
    <x v="198"/>
    <s v="Susana Nobre"/>
    <x v="132"/>
    <x v="7"/>
    <x v="0"/>
    <x v="1"/>
    <x v="0"/>
    <d v="1899-12-30T00:00:00"/>
    <d v="1899-12-30T00:00:00"/>
  </r>
  <r>
    <n v="437"/>
    <x v="0"/>
    <x v="126"/>
    <x v="359"/>
    <n v="11838"/>
    <x v="190"/>
    <m/>
    <m/>
    <x v="1"/>
    <d v="2004-11-26T00:00:00"/>
    <x v="5"/>
    <m/>
    <d v="2005-08-03T00:00:00"/>
    <x v="6"/>
    <x v="0"/>
    <x v="0"/>
    <x v="4"/>
    <x v="0"/>
    <m/>
    <m/>
    <x v="174"/>
    <m/>
    <m/>
    <x v="0"/>
    <x v="0"/>
    <n v="0"/>
    <m/>
    <x v="1"/>
    <n v="0"/>
    <x v="0"/>
    <x v="0"/>
    <m/>
    <m/>
    <x v="0"/>
    <d v="2010-07-23T00:00:00"/>
    <x v="0"/>
    <m/>
    <x v="3"/>
    <x v="22"/>
    <s v="L"/>
    <x v="7"/>
    <x v="0"/>
    <x v="199"/>
    <s v="Susana de Sousa Dias"/>
    <x v="133"/>
    <x v="7"/>
    <x v="2"/>
    <x v="0"/>
    <x v="0"/>
    <d v="1899-12-30T00:00:00"/>
    <d v="1899-12-30T00:00:00"/>
  </r>
  <r>
    <n v="438"/>
    <x v="0"/>
    <x v="28"/>
    <x v="360"/>
    <n v="11839"/>
    <x v="191"/>
    <m/>
    <m/>
    <x v="0"/>
    <d v="2009-01-02T00:00:00"/>
    <x v="0"/>
    <d v="2009-06-03T00:00:00"/>
    <d v="2010-02-09T00:00:00"/>
    <x v="2"/>
    <x v="0"/>
    <x v="0"/>
    <x v="4"/>
    <x v="0"/>
    <m/>
    <d v="2010-02-19T00:00:00"/>
    <x v="4"/>
    <m/>
    <n v="14000"/>
    <x v="0"/>
    <x v="0"/>
    <n v="84000"/>
    <m/>
    <x v="1"/>
    <n v="0"/>
    <x v="0"/>
    <x v="0"/>
    <d v="2009-11-20T00:00:00"/>
    <d v="2009-12-17T00:00:00"/>
    <x v="22"/>
    <d v="2010-08-04T00:00:00"/>
    <x v="0"/>
    <m/>
    <x v="3"/>
    <x v="11"/>
    <s v="L"/>
    <x v="7"/>
    <x v="0"/>
    <x v="200"/>
    <s v="Luís Alves de Matos"/>
    <x v="77"/>
    <x v="7"/>
    <x v="2"/>
    <x v="0"/>
    <x v="0"/>
    <d v="2009-11-20T00:00:00"/>
    <d v="2009-12-17T00:00:00"/>
  </r>
  <r>
    <n v="439"/>
    <x v="0"/>
    <x v="2"/>
    <x v="361"/>
    <n v="11849"/>
    <x v="192"/>
    <m/>
    <s v="Cuidado, Memória de Cão"/>
    <x v="1"/>
    <d v="2005-09-23T00:00:00"/>
    <x v="6"/>
    <m/>
    <d v="2006-04-11T00:00:00"/>
    <x v="4"/>
    <x v="0"/>
    <x v="0"/>
    <x v="1"/>
    <x v="0"/>
    <m/>
    <m/>
    <x v="174"/>
    <m/>
    <m/>
    <x v="0"/>
    <x v="0"/>
    <n v="0"/>
    <m/>
    <x v="1"/>
    <n v="0"/>
    <x v="0"/>
    <x v="0"/>
    <m/>
    <m/>
    <x v="0"/>
    <d v="2010-06-18T00:00:00"/>
    <x v="0"/>
    <m/>
    <x v="1"/>
    <x v="0"/>
    <s v="M"/>
    <x v="7"/>
    <x v="0"/>
    <x v="71"/>
    <s v="João Morais Ribeiro"/>
    <x v="88"/>
    <x v="7"/>
    <x v="1"/>
    <x v="1"/>
    <x v="0"/>
    <d v="1899-12-30T00:00:00"/>
    <d v="1899-12-30T00:00:00"/>
  </r>
  <r>
    <n v="440"/>
    <x v="0"/>
    <x v="23"/>
    <x v="362"/>
    <n v="12469"/>
    <x v="193"/>
    <m/>
    <m/>
    <x v="1"/>
    <d v="2008-01-02T00:00:00"/>
    <x v="2"/>
    <d v="2008-09-02T00:00:00"/>
    <d v="2009-04-28T00:00:00"/>
    <x v="0"/>
    <x v="0"/>
    <x v="0"/>
    <x v="3"/>
    <x v="0"/>
    <m/>
    <d v="2009-07-22T00:00:00"/>
    <x v="175"/>
    <m/>
    <n v="8260"/>
    <x v="0"/>
    <x v="0"/>
    <n v="49560"/>
    <m/>
    <x v="1"/>
    <n v="0"/>
    <x v="0"/>
    <x v="0"/>
    <d v="2009-12-20T00:00:00"/>
    <d v="2009-12-30T00:00:00"/>
    <x v="1"/>
    <d v="2010-09-28T00:00:00"/>
    <x v="0"/>
    <m/>
    <x v="2"/>
    <x v="9"/>
    <s v="N"/>
    <x v="7"/>
    <x v="0"/>
    <x v="201"/>
    <s v="Jorge Cramez, João Rosas, Telmo Churro"/>
    <x v="85"/>
    <x v="7"/>
    <x v="0"/>
    <x v="1"/>
    <x v="0"/>
    <d v="2009-12-20T00:00:00"/>
    <d v="2009-12-30T00:00:00"/>
  </r>
  <r>
    <n v="441"/>
    <x v="0"/>
    <x v="44"/>
    <x v="363"/>
    <n v="11851"/>
    <x v="194"/>
    <m/>
    <m/>
    <x v="1"/>
    <d v="2006-04-21T00:00:00"/>
    <x v="4"/>
    <d v="2006-06-08T00:00:00"/>
    <d v="2006-12-13T00:00:00"/>
    <x v="4"/>
    <x v="0"/>
    <x v="0"/>
    <x v="1"/>
    <x v="0"/>
    <m/>
    <m/>
    <x v="174"/>
    <m/>
    <m/>
    <x v="0"/>
    <x v="0"/>
    <n v="0"/>
    <m/>
    <x v="1"/>
    <n v="0"/>
    <x v="0"/>
    <x v="0"/>
    <m/>
    <m/>
    <x v="0"/>
    <d v="2010-03-31T00:00:00"/>
    <x v="0"/>
    <m/>
    <x v="1"/>
    <x v="16"/>
    <s v="O"/>
    <x v="7"/>
    <x v="0"/>
    <x v="101"/>
    <s v="Luís da Matta Almeida, Pedro Lino"/>
    <x v="76"/>
    <x v="7"/>
    <x v="1"/>
    <x v="1"/>
    <x v="0"/>
    <d v="1899-12-30T00:00:00"/>
    <d v="1899-12-30T00:00:00"/>
  </r>
  <r>
    <n v="442"/>
    <x v="0"/>
    <x v="32"/>
    <x v="364"/>
    <n v="11833"/>
    <x v="195"/>
    <m/>
    <m/>
    <x v="2"/>
    <d v="2006-10-16T00:00:00"/>
    <x v="4"/>
    <m/>
    <d v="2007-05-11T00:00:00"/>
    <x v="3"/>
    <x v="0"/>
    <x v="0"/>
    <x v="3"/>
    <x v="0"/>
    <d v="2008-03-18T00:00:00"/>
    <d v="2009-09-22T00:00:00"/>
    <x v="3"/>
    <m/>
    <n v="3000"/>
    <x v="0"/>
    <x v="0"/>
    <n v="23000"/>
    <m/>
    <x v="1"/>
    <n v="0"/>
    <x v="0"/>
    <x v="0"/>
    <d v="2010-06-01T00:00:00"/>
    <d v="2010-08-20T00:00:00"/>
    <x v="1"/>
    <d v="2010-09-08T00:00:00"/>
    <x v="0"/>
    <m/>
    <x v="2"/>
    <x v="13"/>
    <s v="O"/>
    <x v="7"/>
    <x v="0"/>
    <x v="195"/>
    <s v="Miguel Seabra Lopes, André Dias"/>
    <x v="85"/>
    <x v="7"/>
    <x v="0"/>
    <x v="1"/>
    <x v="0"/>
    <d v="2010-06-01T00:00:00"/>
    <d v="2010-08-20T00:00:00"/>
  </r>
  <r>
    <n v="443"/>
    <x v="0"/>
    <x v="9"/>
    <x v="248"/>
    <n v="11014"/>
    <x v="196"/>
    <m/>
    <m/>
    <x v="2"/>
    <d v="2007-04-30T00:00:00"/>
    <x v="7"/>
    <d v="2007-11-26T00:00:00"/>
    <d v="2008-09-11T00:00:00"/>
    <x v="7"/>
    <x v="0"/>
    <x v="0"/>
    <x v="4"/>
    <x v="0"/>
    <m/>
    <d v="2008-11-12T00:00:00"/>
    <x v="51"/>
    <m/>
    <n v="13500"/>
    <x v="0"/>
    <x v="0"/>
    <n v="81000"/>
    <m/>
    <x v="1"/>
    <n v="0"/>
    <x v="0"/>
    <x v="0"/>
    <d v="2009-09-27T00:00:00"/>
    <d v="2009-11-10T00:00:00"/>
    <x v="5"/>
    <d v="2010-10-20T00:00:00"/>
    <x v="0"/>
    <d v="2012-11-23T00:00:00"/>
    <x v="3"/>
    <x v="3"/>
    <s v="O"/>
    <x v="7"/>
    <x v="0"/>
    <x v="202"/>
    <s v="José Barahona"/>
    <x v="134"/>
    <x v="7"/>
    <x v="2"/>
    <x v="0"/>
    <x v="0"/>
    <d v="2009-09-27T00:00:00"/>
    <d v="2009-11-10T00:00:00"/>
  </r>
  <r>
    <n v="444"/>
    <x v="0"/>
    <x v="44"/>
    <x v="365"/>
    <n v="11852"/>
    <x v="197"/>
    <m/>
    <m/>
    <x v="1"/>
    <d v="2006-04-21T00:00:00"/>
    <x v="4"/>
    <d v="2006-06-08T00:00:00"/>
    <d v="2006-12-13T00:00:00"/>
    <x v="4"/>
    <x v="0"/>
    <x v="0"/>
    <x v="1"/>
    <x v="0"/>
    <m/>
    <m/>
    <x v="174"/>
    <m/>
    <m/>
    <x v="0"/>
    <x v="0"/>
    <n v="0"/>
    <m/>
    <x v="1"/>
    <n v="0"/>
    <x v="0"/>
    <x v="0"/>
    <m/>
    <m/>
    <x v="0"/>
    <d v="2010-12-30T00:00:00"/>
    <x v="0"/>
    <m/>
    <x v="1"/>
    <x v="16"/>
    <s v="O"/>
    <x v="7"/>
    <x v="0"/>
    <x v="161"/>
    <s v="Mário Gajo de Carvalho"/>
    <x v="109"/>
    <x v="7"/>
    <x v="1"/>
    <x v="1"/>
    <x v="0"/>
    <d v="1899-12-30T00:00:00"/>
    <d v="1899-12-30T00:00:00"/>
  </r>
  <r>
    <n v="445"/>
    <x v="0"/>
    <x v="132"/>
    <x v="366"/>
    <n v="9620"/>
    <x v="198"/>
    <m/>
    <s v="Importante é Respirar"/>
    <x v="0"/>
    <d v="2006-04-13T00:00:00"/>
    <x v="4"/>
    <d v="2006-05-17T00:00:00"/>
    <d v="2006-11-03T00:00:00"/>
    <x v="4"/>
    <x v="0"/>
    <x v="0"/>
    <x v="4"/>
    <x v="0"/>
    <m/>
    <d v="2007-02-17T00:00:00"/>
    <x v="80"/>
    <m/>
    <n v="7500"/>
    <x v="0"/>
    <x v="0"/>
    <n v="57500"/>
    <m/>
    <x v="1"/>
    <n v="0"/>
    <x v="0"/>
    <x v="0"/>
    <m/>
    <m/>
    <x v="0"/>
    <d v="2010-03-22T00:00:00"/>
    <x v="0"/>
    <d v="2013-01-24T00:00:00"/>
    <x v="3"/>
    <x v="7"/>
    <s v="P"/>
    <x v="7"/>
    <x v="0"/>
    <x v="203"/>
    <s v="Catarina Mourão"/>
    <x v="135"/>
    <x v="7"/>
    <x v="2"/>
    <x v="0"/>
    <x v="0"/>
    <d v="1899-12-30T00:00:00"/>
    <d v="1899-12-30T00:00:00"/>
  </r>
  <r>
    <n v="446"/>
    <x v="0"/>
    <x v="5"/>
    <x v="367"/>
    <n v="10586"/>
    <x v="199"/>
    <m/>
    <m/>
    <x v="2"/>
    <d v="2004-01-02T00:00:00"/>
    <x v="5"/>
    <m/>
    <d v="2004-10-01T00:00:00"/>
    <x v="5"/>
    <x v="0"/>
    <x v="0"/>
    <x v="3"/>
    <x v="0"/>
    <m/>
    <m/>
    <x v="9"/>
    <m/>
    <n v="6750"/>
    <x v="0"/>
    <x v="0"/>
    <n v="51750"/>
    <m/>
    <x v="1"/>
    <n v="0"/>
    <x v="0"/>
    <x v="0"/>
    <m/>
    <m/>
    <x v="0"/>
    <d v="2010-05-17T00:00:00"/>
    <x v="0"/>
    <m/>
    <x v="2"/>
    <x v="1"/>
    <s v="P"/>
    <x v="7"/>
    <x v="0"/>
    <x v="204"/>
    <s v="João Figueiras"/>
    <x v="136"/>
    <x v="7"/>
    <x v="0"/>
    <x v="1"/>
    <x v="0"/>
    <d v="1899-12-30T00:00:00"/>
    <d v="1899-12-30T00:00:00"/>
  </r>
  <r>
    <n v="447"/>
    <x v="0"/>
    <x v="25"/>
    <x v="368"/>
    <n v="11827"/>
    <x v="200"/>
    <m/>
    <m/>
    <x v="1"/>
    <d v="2008-01-02T00:00:00"/>
    <x v="2"/>
    <d v="2008-07-15T00:00:00"/>
    <d v="2009-04-28T00:00:00"/>
    <x v="0"/>
    <x v="0"/>
    <x v="0"/>
    <x v="10"/>
    <x v="0"/>
    <m/>
    <d v="2009-05-15T00:00:00"/>
    <x v="24"/>
    <m/>
    <m/>
    <x v="0"/>
    <x v="0"/>
    <n v="100000"/>
    <m/>
    <x v="1"/>
    <n v="0"/>
    <x v="0"/>
    <x v="0"/>
    <m/>
    <m/>
    <x v="15"/>
    <d v="2010-01-18T00:00:00"/>
    <x v="0"/>
    <d v="2012-11-21T00:00:00"/>
    <x v="0"/>
    <x v="10"/>
    <s v="R"/>
    <x v="7"/>
    <x v="0"/>
    <x v="205"/>
    <s v="Luís Avilés Baqueiro"/>
    <x v="137"/>
    <x v="7"/>
    <x v="0"/>
    <x v="0"/>
    <x v="0"/>
    <d v="1899-12-30T00:00:00"/>
    <d v="1899-12-30T00:00:00"/>
  </r>
  <r>
    <n v="448"/>
    <x v="0"/>
    <x v="29"/>
    <x v="369"/>
    <n v="12989"/>
    <x v="201"/>
    <m/>
    <m/>
    <x v="1"/>
    <d v="2005-08-26T00:00:00"/>
    <x v="6"/>
    <m/>
    <d v="2006-03-13T00:00:00"/>
    <x v="4"/>
    <x v="0"/>
    <x v="0"/>
    <x v="0"/>
    <x v="0"/>
    <d v="2006-04-21T00:00:00"/>
    <d v="2007-08-14T00:00:00"/>
    <x v="23"/>
    <m/>
    <n v="97500"/>
    <x v="0"/>
    <x v="0"/>
    <n v="747500"/>
    <m/>
    <x v="1"/>
    <n v="0"/>
    <x v="0"/>
    <x v="0"/>
    <d v="2009-09-26T00:00:00"/>
    <d v="2009-12-31T00:00:00"/>
    <x v="0"/>
    <d v="2010-12-23T00:00:00"/>
    <x v="0"/>
    <d v="2012-11-21T00:00:00"/>
    <x v="0"/>
    <x v="11"/>
    <s v="R"/>
    <x v="7"/>
    <x v="0"/>
    <x v="206"/>
    <s v="Vítor Gonçalves"/>
    <x v="49"/>
    <x v="3"/>
    <x v="0"/>
    <x v="0"/>
    <x v="0"/>
    <d v="2009-09-26T00:00:00"/>
    <d v="2009-12-31T00:00:00"/>
  </r>
  <r>
    <n v="449"/>
    <x v="0"/>
    <x v="124"/>
    <x v="370"/>
    <n v="11759"/>
    <x v="202"/>
    <m/>
    <m/>
    <x v="1"/>
    <d v="2008-01-02T00:00:00"/>
    <x v="2"/>
    <d v="2008-09-24T00:00:00"/>
    <d v="2009-07-20T00:00:00"/>
    <x v="0"/>
    <x v="0"/>
    <x v="0"/>
    <x v="1"/>
    <x v="0"/>
    <m/>
    <d v="2009-11-19T00:00:00"/>
    <x v="176"/>
    <m/>
    <n v="7556"/>
    <x v="0"/>
    <x v="0"/>
    <n v="45336"/>
    <m/>
    <x v="1"/>
    <n v="0"/>
    <x v="0"/>
    <x v="0"/>
    <m/>
    <m/>
    <x v="0"/>
    <d v="2010-11-30T00:00:00"/>
    <x v="0"/>
    <m/>
    <x v="1"/>
    <x v="5"/>
    <s v="R"/>
    <x v="7"/>
    <x v="0"/>
    <x v="140"/>
    <s v="Joana Toste"/>
    <x v="138"/>
    <x v="7"/>
    <x v="1"/>
    <x v="1"/>
    <x v="0"/>
    <d v="1899-12-30T00:00:00"/>
    <d v="1899-12-30T00:00:00"/>
  </r>
  <r>
    <n v="450"/>
    <x v="0"/>
    <x v="14"/>
    <x v="371"/>
    <n v="11896"/>
    <x v="203"/>
    <m/>
    <m/>
    <x v="2"/>
    <d v="1998-10-12T00:00:00"/>
    <x v="13"/>
    <m/>
    <d v="1999-02-17T00:00:00"/>
    <x v="12"/>
    <x v="0"/>
    <x v="0"/>
    <x v="1"/>
    <x v="0"/>
    <m/>
    <m/>
    <x v="177"/>
    <m/>
    <m/>
    <x v="0"/>
    <x v="0"/>
    <n v="41899"/>
    <m/>
    <x v="1"/>
    <n v="0"/>
    <x v="0"/>
    <x v="0"/>
    <m/>
    <m/>
    <x v="0"/>
    <d v="2008-10-02T00:00:00"/>
    <x v="0"/>
    <m/>
    <x v="1"/>
    <x v="4"/>
    <s v="C"/>
    <x v="13"/>
    <x v="0"/>
    <x v="141"/>
    <s v="João Fazenda"/>
    <x v="43"/>
    <x v="14"/>
    <x v="1"/>
    <x v="1"/>
    <x v="0"/>
    <d v="1899-12-30T00:00:00"/>
    <d v="1899-12-30T00:00:00"/>
  </r>
  <r>
    <n v="451"/>
    <x v="0"/>
    <x v="133"/>
    <x v="372"/>
    <n v="11858"/>
    <x v="204"/>
    <m/>
    <m/>
    <x v="0"/>
    <d v="2006-10-16T00:00:00"/>
    <x v="4"/>
    <m/>
    <d v="2007-05-11T00:00:00"/>
    <x v="3"/>
    <x v="0"/>
    <x v="0"/>
    <x v="3"/>
    <x v="0"/>
    <d v="2007-10-24T00:00:00"/>
    <d v="2008-10-20T00:00:00"/>
    <x v="3"/>
    <m/>
    <n v="3000"/>
    <x v="0"/>
    <x v="0"/>
    <n v="23000"/>
    <m/>
    <x v="1"/>
    <n v="0"/>
    <x v="0"/>
    <x v="0"/>
    <d v="2008-09-22T00:00:00"/>
    <m/>
    <x v="0"/>
    <d v="2010-07-15T00:00:00"/>
    <x v="0"/>
    <m/>
    <x v="2"/>
    <x v="7"/>
    <s v="S"/>
    <x v="7"/>
    <x v="0"/>
    <x v="207"/>
    <s v="Sérgio Brás D'Almeida"/>
    <x v="88"/>
    <x v="7"/>
    <x v="0"/>
    <x v="1"/>
    <x v="0"/>
    <d v="2008-09-22T00:00:00"/>
    <d v="1899-12-30T00:00:00"/>
  </r>
  <r>
    <n v="452"/>
    <x v="0"/>
    <x v="52"/>
    <x v="373"/>
    <n v="11859"/>
    <x v="205"/>
    <m/>
    <m/>
    <x v="1"/>
    <d v="2008-01-02T00:00:00"/>
    <x v="2"/>
    <d v="2008-09-02T00:00:00"/>
    <d v="2009-04-28T00:00:00"/>
    <x v="0"/>
    <x v="0"/>
    <x v="0"/>
    <x v="3"/>
    <x v="0"/>
    <m/>
    <d v="2009-05-18T00:00:00"/>
    <x v="11"/>
    <m/>
    <n v="8400"/>
    <x v="0"/>
    <x v="0"/>
    <n v="50400"/>
    <m/>
    <x v="1"/>
    <n v="0"/>
    <x v="0"/>
    <x v="0"/>
    <d v="2009-06-07T00:00:00"/>
    <d v="2009-06-21T00:00:00"/>
    <x v="1"/>
    <d v="2010-04-15T00:00:00"/>
    <x v="0"/>
    <m/>
    <x v="2"/>
    <x v="2"/>
    <s v="S"/>
    <x v="7"/>
    <x v="0"/>
    <x v="208"/>
    <s v="José Maria Vaz da Silva"/>
    <x v="139"/>
    <x v="7"/>
    <x v="0"/>
    <x v="1"/>
    <x v="0"/>
    <d v="2009-06-07T00:00:00"/>
    <d v="2009-06-21T00:00:00"/>
  </r>
  <r>
    <n v="453"/>
    <x v="0"/>
    <x v="10"/>
    <x v="374"/>
    <n v="10585"/>
    <x v="206"/>
    <m/>
    <m/>
    <x v="1"/>
    <d v="2007-04-30T00:00:00"/>
    <x v="7"/>
    <d v="2007-09-17T00:00:00"/>
    <d v="2008-06-03T00:00:00"/>
    <x v="7"/>
    <x v="0"/>
    <x v="0"/>
    <x v="3"/>
    <x v="0"/>
    <m/>
    <d v="2008-10-17T00:00:00"/>
    <x v="9"/>
    <m/>
    <n v="9000"/>
    <x v="0"/>
    <x v="0"/>
    <n v="54000"/>
    <m/>
    <x v="1"/>
    <n v="0"/>
    <x v="0"/>
    <x v="0"/>
    <d v="2010-03-13T00:00:00"/>
    <d v="2010-04-04T00:00:00"/>
    <x v="1"/>
    <d v="2010-04-19T00:00:00"/>
    <x v="0"/>
    <d v="2012-11-20T00:00:00"/>
    <x v="2"/>
    <x v="4"/>
    <s v="S"/>
    <x v="7"/>
    <x v="0"/>
    <x v="209"/>
    <s v="Gonçalo Galvão Teles"/>
    <x v="57"/>
    <x v="7"/>
    <x v="0"/>
    <x v="1"/>
    <x v="0"/>
    <d v="2010-03-13T00:00:00"/>
    <d v="2010-04-04T00:00:00"/>
  </r>
  <r>
    <n v="454"/>
    <x v="0"/>
    <x v="134"/>
    <x v="375"/>
    <n v="11844"/>
    <x v="207"/>
    <m/>
    <m/>
    <x v="0"/>
    <d v="2008-01-02T00:00:00"/>
    <x v="2"/>
    <d v="2008-06-26T00:00:00"/>
    <d v="2009-03-11T00:00:00"/>
    <x v="0"/>
    <x v="0"/>
    <x v="0"/>
    <x v="4"/>
    <x v="0"/>
    <m/>
    <d v="2009-04-25T00:00:00"/>
    <x v="15"/>
    <m/>
    <n v="11000"/>
    <x v="0"/>
    <x v="0"/>
    <n v="66000"/>
    <m/>
    <x v="1"/>
    <n v="0"/>
    <x v="0"/>
    <x v="0"/>
    <m/>
    <m/>
    <x v="1"/>
    <d v="2010-04-08T00:00:00"/>
    <x v="0"/>
    <m/>
    <x v="3"/>
    <x v="10"/>
    <s v="T"/>
    <x v="7"/>
    <x v="0"/>
    <x v="210"/>
    <s v="Manuel Mozos, Pedro Éfe"/>
    <x v="123"/>
    <x v="7"/>
    <x v="2"/>
    <x v="1"/>
    <x v="0"/>
    <d v="1899-12-30T00:00:00"/>
    <d v="1899-12-30T00:00:00"/>
  </r>
  <r>
    <n v="455"/>
    <x v="0"/>
    <x v="13"/>
    <x v="376"/>
    <n v="11835"/>
    <x v="208"/>
    <m/>
    <s v="PIQUENIQUE NAS ILHAS ASSOLAPADAS"/>
    <x v="1"/>
    <d v="2008-01-02T00:00:00"/>
    <x v="2"/>
    <d v="2008-09-02T00:00:00"/>
    <d v="2009-04-28T00:00:00"/>
    <x v="0"/>
    <x v="0"/>
    <x v="0"/>
    <x v="3"/>
    <x v="0"/>
    <m/>
    <d v="2009-05-18T00:00:00"/>
    <x v="11"/>
    <m/>
    <n v="8400"/>
    <x v="0"/>
    <x v="0"/>
    <n v="50400"/>
    <m/>
    <x v="1"/>
    <n v="0"/>
    <x v="0"/>
    <x v="0"/>
    <d v="2009-08-06T00:00:00"/>
    <d v="2008-12-06T00:00:00"/>
    <x v="1"/>
    <d v="2010-06-15T00:00:00"/>
    <x v="0"/>
    <m/>
    <x v="2"/>
    <x v="4"/>
    <s v="T"/>
    <x v="7"/>
    <x v="0"/>
    <x v="211"/>
    <s v="Jeanne Waltz"/>
    <x v="132"/>
    <x v="7"/>
    <x v="0"/>
    <x v="1"/>
    <x v="0"/>
    <d v="2009-08-06T00:00:00"/>
    <d v="2008-12-06T00:00:00"/>
  </r>
  <r>
    <n v="456"/>
    <x v="0"/>
    <x v="13"/>
    <x v="259"/>
    <n v="11841"/>
    <x v="209"/>
    <m/>
    <s v="Vitor Palla"/>
    <x v="0"/>
    <d v="2008-01-02T00:00:00"/>
    <x v="2"/>
    <d v="2008-06-26T00:00:00"/>
    <d v="2009-03-11T00:00:00"/>
    <x v="0"/>
    <x v="0"/>
    <x v="0"/>
    <x v="4"/>
    <x v="0"/>
    <m/>
    <d v="2009-04-22T00:00:00"/>
    <x v="9"/>
    <m/>
    <n v="9000"/>
    <x v="0"/>
    <x v="0"/>
    <n v="54000"/>
    <m/>
    <x v="1"/>
    <n v="0"/>
    <x v="0"/>
    <x v="0"/>
    <d v="2009-06-05T00:00:00"/>
    <d v="2009-09-05T00:00:00"/>
    <x v="23"/>
    <d v="2010-05-17T00:00:00"/>
    <x v="0"/>
    <m/>
    <x v="3"/>
    <x v="4"/>
    <s v="T"/>
    <x v="7"/>
    <x v="0"/>
    <x v="212"/>
    <s v="Marco Martins, André Príncipe"/>
    <x v="77"/>
    <x v="7"/>
    <x v="2"/>
    <x v="0"/>
    <x v="0"/>
    <d v="2009-06-05T00:00:00"/>
    <d v="2009-09-05T00:00:00"/>
  </r>
  <r>
    <n v="457"/>
    <x v="0"/>
    <x v="130"/>
    <x v="258"/>
    <n v="10034"/>
    <x v="210"/>
    <m/>
    <s v="U - MYA"/>
    <x v="1"/>
    <d v="2008-01-02T00:00:00"/>
    <x v="2"/>
    <d v="2008-09-02T00:00:00"/>
    <d v="2009-04-28T00:00:00"/>
    <x v="0"/>
    <x v="0"/>
    <x v="0"/>
    <x v="3"/>
    <x v="0"/>
    <m/>
    <d v="2009-06-18T00:00:00"/>
    <x v="11"/>
    <m/>
    <n v="8400"/>
    <x v="0"/>
    <x v="0"/>
    <n v="50400"/>
    <m/>
    <x v="1"/>
    <n v="0"/>
    <x v="0"/>
    <x v="0"/>
    <d v="2009-11-17T00:00:00"/>
    <d v="2009-11-22T00:00:00"/>
    <x v="1"/>
    <d v="2010-03-12T00:00:00"/>
    <x v="0"/>
    <m/>
    <x v="2"/>
    <x v="4"/>
    <s v="U"/>
    <x v="7"/>
    <x v="0"/>
    <x v="44"/>
    <s v="Miguel Clara Vasconcelos"/>
    <x v="115"/>
    <x v="7"/>
    <x v="0"/>
    <x v="1"/>
    <x v="0"/>
    <d v="2009-11-17T00:00:00"/>
    <d v="2009-11-22T00:00:00"/>
  </r>
  <r>
    <n v="458"/>
    <x v="0"/>
    <x v="1"/>
    <x v="377"/>
    <n v="10583"/>
    <x v="211"/>
    <m/>
    <m/>
    <x v="0"/>
    <d v="2002-08-02T00:00:00"/>
    <x v="14"/>
    <m/>
    <d v="2003-04-22T00:00:00"/>
    <x v="14"/>
    <x v="0"/>
    <x v="0"/>
    <x v="1"/>
    <x v="0"/>
    <m/>
    <m/>
    <x v="174"/>
    <m/>
    <m/>
    <x v="0"/>
    <x v="0"/>
    <n v="0"/>
    <m/>
    <x v="1"/>
    <n v="0"/>
    <x v="0"/>
    <x v="0"/>
    <m/>
    <m/>
    <x v="0"/>
    <d v="2010-04-14T00:00:00"/>
    <x v="0"/>
    <m/>
    <x v="1"/>
    <x v="0"/>
    <s v="V"/>
    <x v="7"/>
    <x v="0"/>
    <x v="136"/>
    <s v="Isabel Aboim Inglez"/>
    <x v="140"/>
    <x v="7"/>
    <x v="1"/>
    <x v="1"/>
    <x v="0"/>
    <d v="1899-12-30T00:00:00"/>
    <d v="1899-12-30T00:00:00"/>
  </r>
  <r>
    <n v="459"/>
    <x v="0"/>
    <x v="30"/>
    <x v="378"/>
    <n v="11855"/>
    <x v="212"/>
    <m/>
    <m/>
    <x v="1"/>
    <d v="2006-04-21T00:00:00"/>
    <x v="4"/>
    <d v="2006-06-08T00:00:00"/>
    <d v="2006-12-13T00:00:00"/>
    <x v="4"/>
    <x v="0"/>
    <x v="0"/>
    <x v="1"/>
    <x v="0"/>
    <m/>
    <m/>
    <x v="174"/>
    <m/>
    <m/>
    <x v="0"/>
    <x v="0"/>
    <n v="0"/>
    <m/>
    <x v="1"/>
    <n v="0"/>
    <x v="0"/>
    <x v="0"/>
    <m/>
    <m/>
    <x v="0"/>
    <d v="2010-02-10T00:00:00"/>
    <x v="0"/>
    <m/>
    <x v="1"/>
    <x v="12"/>
    <s v="V"/>
    <x v="7"/>
    <x v="0"/>
    <x v="64"/>
    <s v="José Miguel Ribeiro"/>
    <x v="141"/>
    <x v="7"/>
    <x v="1"/>
    <x v="1"/>
    <x v="0"/>
    <d v="1899-12-30T00:00:00"/>
    <d v="1899-12-30T00:00:00"/>
  </r>
  <r>
    <n v="460"/>
    <x v="0"/>
    <x v="23"/>
    <x v="379"/>
    <n v="10747"/>
    <x v="213"/>
    <m/>
    <m/>
    <x v="1"/>
    <d v="2005-07-01T00:00:00"/>
    <x v="6"/>
    <m/>
    <d v="2006-04-24T00:00:00"/>
    <x v="4"/>
    <x v="0"/>
    <x v="0"/>
    <x v="3"/>
    <x v="0"/>
    <m/>
    <m/>
    <x v="174"/>
    <m/>
    <m/>
    <x v="0"/>
    <x v="0"/>
    <n v="0"/>
    <m/>
    <x v="1"/>
    <n v="0"/>
    <x v="0"/>
    <x v="0"/>
    <m/>
    <m/>
    <x v="0"/>
    <d v="2010-07-14T00:00:00"/>
    <x v="0"/>
    <m/>
    <x v="2"/>
    <x v="9"/>
    <s v="V"/>
    <x v="7"/>
    <x v="0"/>
    <x v="53"/>
    <s v="Sandro Aguilar"/>
    <x v="13"/>
    <x v="7"/>
    <x v="0"/>
    <x v="1"/>
    <x v="0"/>
    <d v="1899-12-30T00:00:00"/>
    <d v="1899-12-30T00:00:00"/>
  </r>
  <r>
    <n v="461"/>
    <x v="0"/>
    <x v="127"/>
    <x v="380"/>
    <n v="8656"/>
    <x v="214"/>
    <m/>
    <m/>
    <x v="2"/>
    <d v="2007-04-30T00:00:00"/>
    <x v="7"/>
    <d v="2007-11-19T00:00:00"/>
    <d v="2008-06-16T00:00:00"/>
    <x v="7"/>
    <x v="0"/>
    <x v="0"/>
    <x v="0"/>
    <x v="0"/>
    <m/>
    <d v="2008-07-17T00:00:00"/>
    <x v="0"/>
    <m/>
    <n v="120000"/>
    <x v="0"/>
    <x v="0"/>
    <n v="720000"/>
    <m/>
    <x v="1"/>
    <n v="0"/>
    <x v="0"/>
    <x v="0"/>
    <d v="2009-01-11T00:00:00"/>
    <d v="2009-03-11T00:00:00"/>
    <x v="1"/>
    <d v="2009-11-19T00:00:00"/>
    <x v="0"/>
    <m/>
    <x v="0"/>
    <x v="2"/>
    <s v="D"/>
    <x v="6"/>
    <x v="0"/>
    <x v="22"/>
    <s v="João Mário Grilo"/>
    <x v="16"/>
    <x v="6"/>
    <x v="0"/>
    <x v="0"/>
    <x v="0"/>
    <d v="2009-01-11T00:00:00"/>
    <d v="2009-03-11T00:00:00"/>
  </r>
  <r>
    <n v="462"/>
    <x v="0"/>
    <x v="30"/>
    <x v="381"/>
    <n v="9700"/>
    <x v="215"/>
    <m/>
    <m/>
    <x v="1"/>
    <d v="2007-04-30T00:00:00"/>
    <x v="7"/>
    <d v="2007-09-26T00:00:00"/>
    <d v="2008-01-28T00:00:00"/>
    <x v="7"/>
    <x v="0"/>
    <x v="0"/>
    <x v="1"/>
    <x v="0"/>
    <m/>
    <d v="2008-05-15T00:00:00"/>
    <x v="152"/>
    <m/>
    <n v="19296"/>
    <x v="0"/>
    <x v="0"/>
    <n v="115776"/>
    <m/>
    <x v="1"/>
    <n v="0"/>
    <x v="0"/>
    <x v="0"/>
    <m/>
    <m/>
    <x v="0"/>
    <d v="2009-09-14T00:00:00"/>
    <x v="0"/>
    <d v="2012-11-19T00:00:00"/>
    <x v="1"/>
    <x v="12"/>
    <s v="D"/>
    <x v="6"/>
    <x v="0"/>
    <x v="213"/>
    <s v="Lorenzo Degl'Innocenti"/>
    <x v="142"/>
    <x v="6"/>
    <x v="1"/>
    <x v="1"/>
    <x v="0"/>
    <d v="1899-12-30T00:00:00"/>
    <d v="1899-12-30T00:00:00"/>
  </r>
  <r>
    <n v="463"/>
    <x v="0"/>
    <x v="124"/>
    <x v="382"/>
    <n v="11810"/>
    <x v="216"/>
    <m/>
    <m/>
    <x v="1"/>
    <d v="2007-04-30T00:00:00"/>
    <x v="7"/>
    <d v="2007-09-26T00:00:00"/>
    <d v="2008-01-28T00:00:00"/>
    <x v="7"/>
    <x v="0"/>
    <x v="0"/>
    <x v="1"/>
    <x v="0"/>
    <m/>
    <d v="2008-05-14T00:00:00"/>
    <x v="38"/>
    <m/>
    <n v="5500"/>
    <x v="0"/>
    <x v="0"/>
    <n v="33000"/>
    <m/>
    <x v="1"/>
    <n v="0"/>
    <x v="0"/>
    <x v="0"/>
    <m/>
    <m/>
    <x v="0"/>
    <d v="2009-09-16T00:00:00"/>
    <x v="0"/>
    <d v="2012-11-19T00:00:00"/>
    <x v="1"/>
    <x v="5"/>
    <s v="V"/>
    <x v="6"/>
    <x v="0"/>
    <x v="140"/>
    <s v="Joana Toste"/>
    <x v="143"/>
    <x v="6"/>
    <x v="1"/>
    <x v="1"/>
    <x v="0"/>
    <d v="1899-12-30T00:00:00"/>
    <d v="1899-12-30T00:00:00"/>
  </r>
  <r>
    <n v="464"/>
    <x v="0"/>
    <x v="130"/>
    <x v="383"/>
    <n v="8643"/>
    <x v="217"/>
    <m/>
    <m/>
    <x v="1"/>
    <d v="2007-04-30T00:00:00"/>
    <x v="7"/>
    <d v="2007-05-28T00:00:00"/>
    <d v="2007-10-10T00:00:00"/>
    <x v="3"/>
    <x v="0"/>
    <x v="0"/>
    <x v="11"/>
    <x v="0"/>
    <m/>
    <d v="2007-10-29T00:00:00"/>
    <x v="27"/>
    <m/>
    <n v="100000"/>
    <x v="0"/>
    <x v="0"/>
    <n v="600000"/>
    <m/>
    <x v="1"/>
    <n v="0"/>
    <x v="0"/>
    <x v="0"/>
    <d v="2008-02-02T00:00:00"/>
    <d v="2008-04-04T00:00:00"/>
    <x v="1"/>
    <d v="2009-05-12T00:00:00"/>
    <x v="0"/>
    <d v="2012-11-19T00:00:00"/>
    <x v="0"/>
    <x v="4"/>
    <s v="C"/>
    <x v="6"/>
    <x v="0"/>
    <x v="212"/>
    <s v="Marco Martins"/>
    <x v="144"/>
    <x v="6"/>
    <x v="0"/>
    <x v="0"/>
    <x v="0"/>
    <d v="2008-02-02T00:00:00"/>
    <d v="2008-04-04T00:00:00"/>
  </r>
  <r>
    <n v="465"/>
    <x v="0"/>
    <x v="42"/>
    <x v="383"/>
    <m/>
    <x v="4"/>
    <s v="Festival do Rio"/>
    <m/>
    <x v="3"/>
    <m/>
    <x v="8"/>
    <m/>
    <d v="2009-01-02T00:00:00"/>
    <x v="0"/>
    <x v="3"/>
    <x v="4"/>
    <x v="21"/>
    <x v="0"/>
    <m/>
    <d v="2009-09-18T00:00:00"/>
    <x v="178"/>
    <n v="8817.4599999999991"/>
    <m/>
    <x v="0"/>
    <x v="0"/>
    <n v="8817.4599999999991"/>
    <m/>
    <x v="1"/>
    <n v="0"/>
    <x v="0"/>
    <x v="0"/>
    <m/>
    <m/>
    <x v="0"/>
    <m/>
    <x v="0"/>
    <d v="2012-11-19T00:00:00"/>
    <x v="5"/>
    <x v="14"/>
    <s v="C"/>
    <x v="3"/>
    <x v="0"/>
    <x v="110"/>
    <s v=""/>
    <x v="4"/>
    <x v="2"/>
    <x v="4"/>
    <x v="3"/>
    <x v="0"/>
    <d v="1899-12-30T00:00:00"/>
    <d v="1899-12-30T00:00:00"/>
  </r>
  <r>
    <n v="466"/>
    <x v="0"/>
    <x v="19"/>
    <x v="384"/>
    <m/>
    <x v="4"/>
    <m/>
    <m/>
    <x v="1"/>
    <d v="2007-04-30T00:00:00"/>
    <x v="7"/>
    <d v="2007-06-29T00:00:00"/>
    <d v="2007-10-17T00:00:00"/>
    <x v="3"/>
    <x v="0"/>
    <x v="0"/>
    <x v="12"/>
    <x v="0"/>
    <m/>
    <m/>
    <x v="34"/>
    <m/>
    <m/>
    <x v="0"/>
    <x v="0"/>
    <n v="700000"/>
    <m/>
    <x v="1"/>
    <n v="0"/>
    <x v="7"/>
    <x v="0"/>
    <m/>
    <m/>
    <x v="0"/>
    <m/>
    <x v="0"/>
    <d v="2012-11-19T00:00:00"/>
    <x v="5"/>
    <x v="8"/>
    <s v="O"/>
    <x v="3"/>
    <x v="0"/>
    <x v="110"/>
    <s v=""/>
    <x v="4"/>
    <x v="2"/>
    <x v="4"/>
    <x v="3"/>
    <x v="0"/>
    <d v="1899-12-30T00:00:00"/>
    <d v="1899-12-30T00:00:00"/>
  </r>
  <r>
    <n v="467"/>
    <x v="0"/>
    <x v="52"/>
    <x v="385"/>
    <n v="6728"/>
    <x v="218"/>
    <m/>
    <s v="NOITE DE CÃO"/>
    <x v="1"/>
    <d v="2007-04-30T00:00:00"/>
    <x v="7"/>
    <d v="2007-07-30T00:00:00"/>
    <d v="2008-01-10T00:00:00"/>
    <x v="7"/>
    <x v="0"/>
    <x v="0"/>
    <x v="10"/>
    <x v="0"/>
    <m/>
    <d v="2008-02-13T00:00:00"/>
    <x v="99"/>
    <m/>
    <m/>
    <x v="0"/>
    <x v="0"/>
    <n v="150000"/>
    <m/>
    <x v="1"/>
    <n v="0"/>
    <x v="0"/>
    <x v="0"/>
    <d v="2008-03-09T00:00:00"/>
    <d v="2008-05-09T00:00:00"/>
    <x v="1"/>
    <d v="2008-10-16T00:00:00"/>
    <x v="0"/>
    <d v="2012-11-19T00:00:00"/>
    <x v="0"/>
    <x v="2"/>
    <s v="N"/>
    <x v="13"/>
    <x v="0"/>
    <x v="214"/>
    <s v="Werner Schroeter"/>
    <x v="53"/>
    <x v="14"/>
    <x v="0"/>
    <x v="0"/>
    <x v="0"/>
    <d v="2008-03-09T00:00:00"/>
    <d v="2008-05-09T00:00:00"/>
  </r>
  <r>
    <n v="468"/>
    <x v="0"/>
    <x v="10"/>
    <x v="386"/>
    <m/>
    <x v="4"/>
    <m/>
    <m/>
    <x v="1"/>
    <d v="2007-04-30T00:00:00"/>
    <x v="7"/>
    <d v="2007-07-30T00:00:00"/>
    <d v="2008-01-10T00:00:00"/>
    <x v="7"/>
    <x v="0"/>
    <x v="0"/>
    <x v="10"/>
    <x v="0"/>
    <m/>
    <m/>
    <x v="179"/>
    <m/>
    <m/>
    <x v="0"/>
    <x v="0"/>
    <n v="120000"/>
    <m/>
    <x v="1"/>
    <n v="0"/>
    <x v="7"/>
    <x v="0"/>
    <m/>
    <m/>
    <x v="0"/>
    <m/>
    <x v="0"/>
    <d v="2012-11-19T00:00:00"/>
    <x v="5"/>
    <x v="4"/>
    <s v="N"/>
    <x v="3"/>
    <x v="0"/>
    <x v="110"/>
    <s v=""/>
    <x v="4"/>
    <x v="2"/>
    <x v="4"/>
    <x v="3"/>
    <x v="0"/>
    <d v="1899-12-30T00:00:00"/>
    <d v="1899-12-30T00:00:00"/>
  </r>
  <r>
    <n v="469"/>
    <x v="0"/>
    <x v="13"/>
    <x v="348"/>
    <m/>
    <x v="4"/>
    <s v="DOCLISBOA"/>
    <m/>
    <x v="3"/>
    <m/>
    <x v="8"/>
    <m/>
    <m/>
    <x v="8"/>
    <x v="3"/>
    <x v="4"/>
    <x v="21"/>
    <x v="0"/>
    <m/>
    <m/>
    <x v="65"/>
    <m/>
    <m/>
    <x v="0"/>
    <x v="0"/>
    <n v="1000"/>
    <m/>
    <x v="1"/>
    <n v="0"/>
    <x v="0"/>
    <x v="0"/>
    <m/>
    <m/>
    <x v="0"/>
    <m/>
    <x v="0"/>
    <d v="2012-11-19T00:00:00"/>
    <x v="5"/>
    <x v="4"/>
    <s v="A"/>
    <x v="3"/>
    <x v="0"/>
    <x v="110"/>
    <s v=""/>
    <x v="4"/>
    <x v="2"/>
    <x v="4"/>
    <x v="3"/>
    <x v="0"/>
    <d v="1899-12-30T00:00:00"/>
    <d v="1899-12-30T00:00:00"/>
  </r>
  <r>
    <n v="470"/>
    <x v="0"/>
    <x v="8"/>
    <x v="195"/>
    <m/>
    <x v="4"/>
    <m/>
    <m/>
    <x v="1"/>
    <d v="2011-01-03T00:00:00"/>
    <x v="1"/>
    <d v="2011-12-31T00:00:00"/>
    <d v="2012-05-10T00:00:00"/>
    <x v="10"/>
    <x v="1"/>
    <x v="2"/>
    <x v="13"/>
    <x v="0"/>
    <m/>
    <m/>
    <x v="134"/>
    <m/>
    <m/>
    <x v="0"/>
    <x v="0"/>
    <n v="7000"/>
    <m/>
    <x v="1"/>
    <n v="0"/>
    <x v="0"/>
    <x v="0"/>
    <m/>
    <m/>
    <x v="0"/>
    <m/>
    <x v="0"/>
    <d v="2013-04-23T00:00:00"/>
    <x v="5"/>
    <x v="2"/>
    <s v="O"/>
    <x v="3"/>
    <x v="0"/>
    <x v="110"/>
    <s v=""/>
    <x v="4"/>
    <x v="2"/>
    <x v="4"/>
    <x v="3"/>
    <x v="0"/>
    <d v="1899-12-30T00:00:00"/>
    <d v="1899-12-30T00:00:00"/>
  </r>
  <r>
    <n v="471"/>
    <x v="0"/>
    <x v="29"/>
    <x v="197"/>
    <m/>
    <x v="4"/>
    <m/>
    <m/>
    <x v="1"/>
    <d v="2011-01-03T00:00:00"/>
    <x v="1"/>
    <d v="2011-12-31T00:00:00"/>
    <d v="2012-05-10T00:00:00"/>
    <x v="10"/>
    <x v="1"/>
    <x v="2"/>
    <x v="13"/>
    <x v="0"/>
    <m/>
    <m/>
    <x v="140"/>
    <m/>
    <m/>
    <x v="0"/>
    <x v="0"/>
    <n v="12000"/>
    <m/>
    <x v="1"/>
    <n v="0"/>
    <x v="0"/>
    <x v="0"/>
    <m/>
    <m/>
    <x v="0"/>
    <m/>
    <x v="0"/>
    <d v="2013-04-23T00:00:00"/>
    <x v="5"/>
    <x v="11"/>
    <s v="O"/>
    <x v="3"/>
    <x v="0"/>
    <x v="110"/>
    <s v=""/>
    <x v="4"/>
    <x v="2"/>
    <x v="4"/>
    <x v="3"/>
    <x v="0"/>
    <d v="1899-12-30T00:00:00"/>
    <d v="1899-12-30T00:00:00"/>
  </r>
  <r>
    <n v="472"/>
    <x v="0"/>
    <x v="32"/>
    <x v="109"/>
    <m/>
    <x v="4"/>
    <m/>
    <m/>
    <x v="1"/>
    <d v="2011-01-03T00:00:00"/>
    <x v="1"/>
    <d v="2011-12-31T00:00:00"/>
    <d v="2012-07-27T00:00:00"/>
    <x v="10"/>
    <x v="1"/>
    <x v="2"/>
    <x v="13"/>
    <x v="0"/>
    <m/>
    <m/>
    <x v="134"/>
    <m/>
    <m/>
    <x v="0"/>
    <x v="0"/>
    <n v="7000"/>
    <n v="0"/>
    <x v="1"/>
    <n v="0"/>
    <x v="0"/>
    <x v="0"/>
    <m/>
    <m/>
    <x v="0"/>
    <m/>
    <x v="0"/>
    <d v="2013-04-23T00:00:00"/>
    <x v="5"/>
    <x v="13"/>
    <s v="L"/>
    <x v="3"/>
    <x v="0"/>
    <x v="110"/>
    <s v=""/>
    <x v="4"/>
    <x v="2"/>
    <x v="4"/>
    <x v="3"/>
    <x v="0"/>
    <d v="1899-12-30T00:00:00"/>
    <d v="1899-12-30T00:00:00"/>
  </r>
  <r>
    <n v="473"/>
    <x v="0"/>
    <x v="10"/>
    <x v="374"/>
    <m/>
    <x v="4"/>
    <s v="VILA DO CONDE"/>
    <m/>
    <x v="3"/>
    <m/>
    <x v="8"/>
    <m/>
    <m/>
    <x v="8"/>
    <x v="3"/>
    <x v="4"/>
    <x v="21"/>
    <x v="0"/>
    <m/>
    <m/>
    <x v="65"/>
    <m/>
    <m/>
    <x v="0"/>
    <x v="0"/>
    <n v="1000"/>
    <m/>
    <x v="1"/>
    <n v="0"/>
    <x v="0"/>
    <x v="0"/>
    <m/>
    <m/>
    <x v="0"/>
    <m/>
    <x v="0"/>
    <d v="2012-11-20T00:00:00"/>
    <x v="5"/>
    <x v="4"/>
    <s v="S"/>
    <x v="3"/>
    <x v="0"/>
    <x v="110"/>
    <s v=""/>
    <x v="4"/>
    <x v="2"/>
    <x v="4"/>
    <x v="3"/>
    <x v="0"/>
    <d v="1899-12-30T00:00:00"/>
    <d v="1899-12-30T00:00:00"/>
  </r>
  <r>
    <n v="474"/>
    <x v="0"/>
    <x v="6"/>
    <x v="387"/>
    <n v="11785"/>
    <x v="219"/>
    <m/>
    <m/>
    <x v="1"/>
    <d v="2007-04-30T00:00:00"/>
    <x v="7"/>
    <d v="2007-09-17T00:00:00"/>
    <d v="2008-06-03T00:00:00"/>
    <x v="7"/>
    <x v="0"/>
    <x v="0"/>
    <x v="3"/>
    <x v="0"/>
    <m/>
    <d v="2008-07-16T00:00:00"/>
    <x v="9"/>
    <m/>
    <n v="9000"/>
    <x v="0"/>
    <x v="0"/>
    <n v="54000"/>
    <m/>
    <x v="1"/>
    <n v="0"/>
    <x v="0"/>
    <x v="0"/>
    <m/>
    <m/>
    <x v="0"/>
    <d v="2009-06-24T00:00:00"/>
    <x v="0"/>
    <d v="2012-11-20T00:00:00"/>
    <x v="2"/>
    <x v="2"/>
    <s v="K"/>
    <x v="6"/>
    <x v="0"/>
    <x v="215"/>
    <s v="Christine Reeh"/>
    <x v="139"/>
    <x v="6"/>
    <x v="0"/>
    <x v="1"/>
    <x v="0"/>
    <d v="1899-12-30T00:00:00"/>
    <d v="1899-12-30T00:00:00"/>
  </r>
  <r>
    <n v="475"/>
    <x v="0"/>
    <x v="44"/>
    <x v="388"/>
    <n v="11813"/>
    <x v="220"/>
    <m/>
    <s v="AS AVENTURAS DO JOÃO SEM MEDO"/>
    <x v="1"/>
    <d v="2000-05-19T00:00:00"/>
    <x v="15"/>
    <m/>
    <d v="2000-09-18T00:00:00"/>
    <x v="15"/>
    <x v="0"/>
    <x v="0"/>
    <x v="1"/>
    <x v="0"/>
    <m/>
    <m/>
    <x v="180"/>
    <m/>
    <m/>
    <x v="0"/>
    <x v="0"/>
    <n v="648437.27"/>
    <m/>
    <x v="1"/>
    <n v="0"/>
    <x v="0"/>
    <x v="0"/>
    <m/>
    <m/>
    <x v="0"/>
    <d v="2009-09-25T00:00:00"/>
    <x v="0"/>
    <m/>
    <x v="1"/>
    <x v="16"/>
    <s v="J"/>
    <x v="6"/>
    <x v="0"/>
    <x v="145"/>
    <s v="Luís da Matta Almeida"/>
    <x v="133"/>
    <x v="6"/>
    <x v="1"/>
    <x v="0"/>
    <x v="0"/>
    <d v="1899-12-30T00:00:00"/>
    <d v="1899-12-30T00:00:00"/>
  </r>
  <r>
    <n v="476"/>
    <x v="0"/>
    <x v="1"/>
    <x v="389"/>
    <n v="10587"/>
    <x v="221"/>
    <m/>
    <m/>
    <x v="1"/>
    <d v="2006-04-21T00:00:00"/>
    <x v="4"/>
    <d v="2006-06-08T00:00:00"/>
    <d v="2006-12-13T00:00:00"/>
    <x v="4"/>
    <x v="0"/>
    <x v="0"/>
    <x v="1"/>
    <x v="0"/>
    <d v="2007-01-14T00:00:00"/>
    <d v="2007-11-21T00:00:00"/>
    <x v="75"/>
    <m/>
    <n v="6000"/>
    <x v="0"/>
    <x v="0"/>
    <n v="46000"/>
    <m/>
    <x v="1"/>
    <n v="0"/>
    <x v="0"/>
    <x v="0"/>
    <m/>
    <m/>
    <x v="0"/>
    <d v="2009-11-19T00:00:00"/>
    <x v="0"/>
    <m/>
    <x v="1"/>
    <x v="0"/>
    <s v="A"/>
    <x v="6"/>
    <x v="0"/>
    <x v="3"/>
    <s v="Nuno Amorim"/>
    <x v="145"/>
    <x v="7"/>
    <x v="1"/>
    <x v="1"/>
    <x v="0"/>
    <d v="1899-12-30T00:00:00"/>
    <d v="1899-12-30T00:00:00"/>
  </r>
  <r>
    <n v="477"/>
    <x v="0"/>
    <x v="2"/>
    <x v="390"/>
    <n v="11809"/>
    <x v="222"/>
    <m/>
    <m/>
    <x v="1"/>
    <d v="2004-06-11T00:00:00"/>
    <x v="5"/>
    <m/>
    <d v="2005-02-21T00:00:00"/>
    <x v="6"/>
    <x v="0"/>
    <x v="0"/>
    <x v="1"/>
    <x v="0"/>
    <d v="2005-03-24T00:00:00"/>
    <d v="2005-11-02T00:00:00"/>
    <x v="181"/>
    <m/>
    <n v="6552"/>
    <x v="0"/>
    <x v="0"/>
    <n v="62552"/>
    <m/>
    <x v="1"/>
    <n v="0"/>
    <x v="0"/>
    <x v="0"/>
    <m/>
    <m/>
    <x v="0"/>
    <d v="2009-04-21T00:00:00"/>
    <x v="0"/>
    <m/>
    <x v="1"/>
    <x v="0"/>
    <s v="A"/>
    <x v="6"/>
    <x v="0"/>
    <x v="141"/>
    <s v="João Fazenda"/>
    <x v="146"/>
    <x v="6"/>
    <x v="1"/>
    <x v="1"/>
    <x v="0"/>
    <d v="1899-12-30T00:00:00"/>
    <d v="1899-12-30T00:00:00"/>
  </r>
  <r>
    <n v="478"/>
    <x v="0"/>
    <x v="30"/>
    <x v="391"/>
    <n v="11808"/>
    <x v="223"/>
    <m/>
    <m/>
    <x v="1"/>
    <d v="2006-04-21T00:00:00"/>
    <x v="4"/>
    <d v="2006-06-08T00:00:00"/>
    <d v="2006-12-13T00:00:00"/>
    <x v="4"/>
    <x v="0"/>
    <x v="0"/>
    <x v="1"/>
    <x v="0"/>
    <d v="2007-01-13T00:00:00"/>
    <d v="2007-11-20T00:00:00"/>
    <x v="182"/>
    <m/>
    <n v="4608"/>
    <x v="0"/>
    <x v="0"/>
    <n v="35328"/>
    <m/>
    <x v="1"/>
    <n v="0"/>
    <x v="0"/>
    <x v="0"/>
    <m/>
    <m/>
    <x v="0"/>
    <d v="2009-03-12T00:00:00"/>
    <x v="0"/>
    <m/>
    <x v="1"/>
    <x v="12"/>
    <s v="M"/>
    <x v="6"/>
    <x v="0"/>
    <x v="193"/>
    <s v="Nuno Beato"/>
    <x v="147"/>
    <x v="6"/>
    <x v="1"/>
    <x v="1"/>
    <x v="0"/>
    <d v="1899-12-30T00:00:00"/>
    <d v="1899-12-30T00:00:00"/>
  </r>
  <r>
    <n v="479"/>
    <x v="0"/>
    <x v="67"/>
    <x v="392"/>
    <n v="11806"/>
    <x v="224"/>
    <m/>
    <m/>
    <x v="1"/>
    <d v="2003-08-15T00:00:00"/>
    <x v="9"/>
    <m/>
    <d v="2004-04-12T00:00:00"/>
    <x v="5"/>
    <x v="0"/>
    <x v="0"/>
    <x v="1"/>
    <x v="0"/>
    <d v="2004-05-31T00:00:00"/>
    <d v="2006-01-18T00:00:00"/>
    <x v="162"/>
    <m/>
    <n v="3600"/>
    <x v="0"/>
    <x v="0"/>
    <n v="27600"/>
    <m/>
    <x v="1"/>
    <n v="0"/>
    <x v="0"/>
    <x v="0"/>
    <m/>
    <m/>
    <x v="0"/>
    <d v="2009-01-28T00:00:00"/>
    <x v="0"/>
    <m/>
    <x v="1"/>
    <x v="2"/>
    <s v="O"/>
    <x v="6"/>
    <x v="0"/>
    <x v="216"/>
    <s v="Vitor Hugo"/>
    <x v="148"/>
    <x v="6"/>
    <x v="1"/>
    <x v="1"/>
    <x v="0"/>
    <d v="1899-12-30T00:00:00"/>
    <d v="1899-12-30T00:00:00"/>
  </r>
  <r>
    <n v="480"/>
    <x v="0"/>
    <x v="2"/>
    <x v="393"/>
    <n v="11804"/>
    <x v="225"/>
    <m/>
    <m/>
    <x v="1"/>
    <d v="2005-09-23T00:00:00"/>
    <x v="6"/>
    <m/>
    <d v="2006-04-11T00:00:00"/>
    <x v="4"/>
    <x v="0"/>
    <x v="0"/>
    <x v="1"/>
    <x v="0"/>
    <d v="2006-10-19T00:00:00"/>
    <d v="2007-03-14T00:00:00"/>
    <x v="181"/>
    <m/>
    <n v="8400"/>
    <x v="0"/>
    <x v="0"/>
    <n v="64400"/>
    <m/>
    <x v="1"/>
    <n v="0"/>
    <x v="0"/>
    <x v="0"/>
    <m/>
    <m/>
    <x v="0"/>
    <d v="2009-01-15T00:00:00"/>
    <x v="0"/>
    <m/>
    <x v="1"/>
    <x v="0"/>
    <s v="P"/>
    <x v="6"/>
    <x v="0"/>
    <x v="2"/>
    <s v="Filipe Abranches"/>
    <x v="149"/>
    <x v="6"/>
    <x v="1"/>
    <x v="1"/>
    <x v="0"/>
    <d v="1899-12-30T00:00:00"/>
    <d v="1899-12-30T00:00:00"/>
  </r>
  <r>
    <n v="481"/>
    <x v="0"/>
    <x v="44"/>
    <x v="394"/>
    <n v="8101"/>
    <x v="226"/>
    <m/>
    <s v="Bacalhau Com Todos"/>
    <x v="1"/>
    <d v="2005-09-23T00:00:00"/>
    <x v="6"/>
    <m/>
    <d v="2006-04-11T00:00:00"/>
    <x v="4"/>
    <x v="0"/>
    <x v="0"/>
    <x v="1"/>
    <x v="0"/>
    <m/>
    <d v="2006-05-15T00:00:00"/>
    <x v="40"/>
    <m/>
    <n v="18750"/>
    <x v="0"/>
    <x v="0"/>
    <n v="143750"/>
    <m/>
    <x v="1"/>
    <n v="0"/>
    <x v="0"/>
    <x v="0"/>
    <m/>
    <m/>
    <x v="0"/>
    <d v="2009-03-16T00:00:00"/>
    <x v="0"/>
    <m/>
    <x v="1"/>
    <x v="16"/>
    <s v="P"/>
    <x v="6"/>
    <x v="0"/>
    <x v="64"/>
    <s v="José Miguel Ribeiro"/>
    <x v="150"/>
    <x v="6"/>
    <x v="1"/>
    <x v="1"/>
    <x v="0"/>
    <d v="1899-12-30T00:00:00"/>
    <d v="1899-12-30T00:00:00"/>
  </r>
  <r>
    <n v="482"/>
    <x v="0"/>
    <x v="2"/>
    <x v="395"/>
    <n v="11792"/>
    <x v="227"/>
    <m/>
    <m/>
    <x v="1"/>
    <d v="2004-06-11T00:00:00"/>
    <x v="5"/>
    <m/>
    <d v="2005-02-21T00:00:00"/>
    <x v="6"/>
    <x v="0"/>
    <x v="0"/>
    <x v="1"/>
    <x v="0"/>
    <d v="2005-03-24T00:00:00"/>
    <d v="2005-11-02T00:00:00"/>
    <x v="183"/>
    <m/>
    <n v="10347"/>
    <x v="0"/>
    <x v="0"/>
    <n v="98787"/>
    <m/>
    <x v="1"/>
    <n v="0"/>
    <x v="0"/>
    <x v="0"/>
    <m/>
    <m/>
    <x v="0"/>
    <d v="2009-01-20T00:00:00"/>
    <x v="0"/>
    <m/>
    <x v="1"/>
    <x v="0"/>
    <s v="U"/>
    <x v="6"/>
    <x v="0"/>
    <x v="217"/>
    <s v="Daniel Lima"/>
    <x v="151"/>
    <x v="6"/>
    <x v="1"/>
    <x v="1"/>
    <x v="0"/>
    <d v="1899-12-30T00:00:00"/>
    <d v="1899-12-30T00:00:00"/>
  </r>
  <r>
    <n v="483"/>
    <x v="0"/>
    <x v="67"/>
    <x v="396"/>
    <n v="10953"/>
    <x v="228"/>
    <m/>
    <m/>
    <x v="1"/>
    <d v="2003-08-15T00:00:00"/>
    <x v="9"/>
    <m/>
    <d v="2004-04-12T00:00:00"/>
    <x v="5"/>
    <x v="0"/>
    <x v="0"/>
    <x v="1"/>
    <x v="0"/>
    <d v="2004-05-31T00:00:00"/>
    <d v="2006-01-31T00:00:00"/>
    <x v="181"/>
    <m/>
    <n v="8400"/>
    <x v="0"/>
    <x v="0"/>
    <n v="64400"/>
    <m/>
    <x v="1"/>
    <n v="0"/>
    <x v="0"/>
    <x v="0"/>
    <m/>
    <m/>
    <x v="0"/>
    <d v="2009-02-16T00:00:00"/>
    <x v="0"/>
    <m/>
    <x v="1"/>
    <x v="2"/>
    <s v="U"/>
    <x v="6"/>
    <x v="0"/>
    <x v="218"/>
    <s v="Carlos Cruz"/>
    <x v="88"/>
    <x v="6"/>
    <x v="1"/>
    <x v="1"/>
    <x v="0"/>
    <d v="1899-12-30T00:00:00"/>
    <d v="1899-12-30T00:00:00"/>
  </r>
  <r>
    <n v="484"/>
    <x v="0"/>
    <x v="135"/>
    <x v="397"/>
    <n v="11807"/>
    <x v="229"/>
    <m/>
    <m/>
    <x v="1"/>
    <d v="2006-10-13T00:00:00"/>
    <x v="4"/>
    <d v="2006-11-28T00:00:00"/>
    <d v="2007-07-31T00:00:00"/>
    <x v="3"/>
    <x v="0"/>
    <x v="0"/>
    <x v="1"/>
    <x v="0"/>
    <m/>
    <d v="2007-10-24T00:00:00"/>
    <x v="156"/>
    <m/>
    <n v="30000"/>
    <x v="0"/>
    <x v="0"/>
    <n v="230000"/>
    <m/>
    <x v="1"/>
    <n v="0"/>
    <x v="0"/>
    <x v="0"/>
    <m/>
    <m/>
    <x v="0"/>
    <d v="2009-02-18T00:00:00"/>
    <x v="0"/>
    <m/>
    <x v="1"/>
    <x v="17"/>
    <s v="A"/>
    <x v="6"/>
    <x v="0"/>
    <x v="219"/>
    <s v="Marta Madureira, Pedro Teixeira"/>
    <x v="124"/>
    <x v="6"/>
    <x v="1"/>
    <x v="2"/>
    <x v="3"/>
    <d v="1899-12-30T00:00:00"/>
    <d v="1899-12-30T00:00:00"/>
  </r>
  <r>
    <n v="485"/>
    <x v="0"/>
    <x v="24"/>
    <x v="398"/>
    <n v="9664"/>
    <x v="230"/>
    <m/>
    <s v="JORROS DE AMOR"/>
    <x v="2"/>
    <d v="2007-04-30T00:00:00"/>
    <x v="7"/>
    <d v="2007-11-26T00:00:00"/>
    <d v="2008-09-11T00:00:00"/>
    <x v="7"/>
    <x v="0"/>
    <x v="0"/>
    <x v="4"/>
    <x v="0"/>
    <m/>
    <d v="2008-10-17T00:00:00"/>
    <x v="39"/>
    <m/>
    <n v="7000"/>
    <x v="0"/>
    <x v="0"/>
    <n v="42000"/>
    <m/>
    <x v="1"/>
    <n v="0"/>
    <x v="0"/>
    <x v="0"/>
    <d v="2008-02-15T00:00:00"/>
    <m/>
    <x v="0"/>
    <d v="2009-12-15T00:00:00"/>
    <x v="0"/>
    <d v="2012-11-23T00:00:00"/>
    <x v="3"/>
    <x v="10"/>
    <s v="S"/>
    <x v="6"/>
    <x v="0"/>
    <x v="220"/>
    <s v="João Trabulo"/>
    <x v="152"/>
    <x v="7"/>
    <x v="2"/>
    <x v="0"/>
    <x v="0"/>
    <d v="2008-02-15T00:00:00"/>
    <d v="1899-12-30T00:00:00"/>
  </r>
  <r>
    <n v="486"/>
    <x v="0"/>
    <x v="41"/>
    <x v="399"/>
    <n v="11788"/>
    <x v="231"/>
    <m/>
    <m/>
    <x v="1"/>
    <d v="2004-11-26T00:00:00"/>
    <x v="5"/>
    <m/>
    <d v="2005-08-03T00:00:00"/>
    <x v="6"/>
    <x v="0"/>
    <x v="0"/>
    <x v="4"/>
    <x v="0"/>
    <m/>
    <d v="2006-06-14T00:00:00"/>
    <x v="80"/>
    <m/>
    <n v="5850"/>
    <x v="0"/>
    <x v="0"/>
    <n v="55850"/>
    <m/>
    <x v="1"/>
    <n v="0"/>
    <x v="0"/>
    <x v="0"/>
    <d v="2006-06-14T00:00:00"/>
    <m/>
    <x v="0"/>
    <d v="2009-03-20T00:00:00"/>
    <x v="0"/>
    <m/>
    <x v="3"/>
    <x v="13"/>
    <s v="E"/>
    <x v="6"/>
    <x v="0"/>
    <x v="31"/>
    <s v="Fernando Matos Silva"/>
    <x v="153"/>
    <x v="6"/>
    <x v="2"/>
    <x v="1"/>
    <x v="0"/>
    <d v="2006-06-14T00:00:00"/>
    <d v="1899-12-30T00:00:00"/>
  </r>
  <r>
    <n v="487"/>
    <x v="0"/>
    <x v="47"/>
    <x v="400"/>
    <n v="11232"/>
    <x v="232"/>
    <m/>
    <m/>
    <x v="2"/>
    <d v="2008-01-02T00:00:00"/>
    <x v="2"/>
    <d v="2008-12-03T00:00:00"/>
    <d v="2009-07-20T00:00:00"/>
    <x v="0"/>
    <x v="0"/>
    <x v="0"/>
    <x v="4"/>
    <x v="0"/>
    <m/>
    <d v="2009-08-12T00:00:00"/>
    <x v="14"/>
    <m/>
    <n v="13000"/>
    <x v="0"/>
    <x v="0"/>
    <n v="78000"/>
    <m/>
    <x v="1"/>
    <n v="0"/>
    <x v="0"/>
    <x v="0"/>
    <d v="2009-06-11T00:00:00"/>
    <d v="2009-07-06T00:00:00"/>
    <x v="15"/>
    <d v="2009-09-09T00:00:00"/>
    <x v="0"/>
    <m/>
    <x v="3"/>
    <x v="0"/>
    <s v="P"/>
    <x v="6"/>
    <x v="0"/>
    <x v="35"/>
    <s v="João Botelho"/>
    <x v="154"/>
    <x v="6"/>
    <x v="2"/>
    <x v="1"/>
    <x v="0"/>
    <d v="2009-06-11T00:00:00"/>
    <d v="2009-07-06T00:00:00"/>
  </r>
  <r>
    <n v="488"/>
    <x v="0"/>
    <x v="136"/>
    <x v="401"/>
    <n v="11066"/>
    <x v="233"/>
    <m/>
    <s v="ANTÓNIO SENA: A INCESSANTE MÃO "/>
    <x v="0"/>
    <d v="2008-01-02T00:00:00"/>
    <x v="2"/>
    <d v="2008-06-26T00:00:00"/>
    <d v="2009-03-11T00:00:00"/>
    <x v="0"/>
    <x v="0"/>
    <x v="0"/>
    <x v="4"/>
    <x v="0"/>
    <m/>
    <d v="2009-05-16T00:00:00"/>
    <x v="116"/>
    <m/>
    <n v="6000"/>
    <x v="0"/>
    <x v="0"/>
    <n v="36000"/>
    <m/>
    <x v="1"/>
    <n v="0"/>
    <x v="0"/>
    <x v="0"/>
    <d v="2009-05-15T00:00:00"/>
    <m/>
    <x v="0"/>
    <d v="2009-10-15T00:00:00"/>
    <x v="0"/>
    <m/>
    <x v="3"/>
    <x v="0"/>
    <s v="A"/>
    <x v="6"/>
    <x v="0"/>
    <x v="70"/>
    <s v="Jorge Silva Melo"/>
    <x v="106"/>
    <x v="6"/>
    <x v="2"/>
    <x v="1"/>
    <x v="0"/>
    <d v="2009-05-15T00:00:00"/>
    <d v="1899-12-30T00:00:00"/>
  </r>
  <r>
    <n v="489"/>
    <x v="0"/>
    <x v="137"/>
    <x v="402"/>
    <n v="11791"/>
    <x v="234"/>
    <m/>
    <m/>
    <x v="1"/>
    <d v="2005-07-12T00:00:00"/>
    <x v="6"/>
    <m/>
    <d v="2006-03-13T00:00:00"/>
    <x v="4"/>
    <x v="0"/>
    <x v="0"/>
    <x v="4"/>
    <x v="0"/>
    <m/>
    <d v="2007-01-18T00:00:00"/>
    <x v="80"/>
    <m/>
    <n v="7500"/>
    <x v="0"/>
    <x v="0"/>
    <n v="57500"/>
    <m/>
    <x v="1"/>
    <n v="0"/>
    <x v="0"/>
    <x v="0"/>
    <m/>
    <m/>
    <x v="0"/>
    <d v="2009-11-09T00:00:00"/>
    <x v="0"/>
    <m/>
    <x v="3"/>
    <x v="2"/>
    <s v="P"/>
    <x v="6"/>
    <x v="0"/>
    <x v="221"/>
    <s v="Francisco Villa-Lobos"/>
    <x v="155"/>
    <x v="6"/>
    <x v="2"/>
    <x v="1"/>
    <x v="0"/>
    <d v="1899-12-30T00:00:00"/>
    <d v="1899-12-30T00:00:00"/>
  </r>
  <r>
    <n v="490"/>
    <x v="0"/>
    <x v="138"/>
    <x v="403"/>
    <n v="6250"/>
    <x v="235"/>
    <m/>
    <m/>
    <x v="1"/>
    <d v="2002-08-02T00:00:00"/>
    <x v="14"/>
    <m/>
    <d v="2003-04-22T00:00:00"/>
    <x v="14"/>
    <x v="0"/>
    <x v="0"/>
    <x v="1"/>
    <x v="0"/>
    <d v="2003-06-27T00:00:00"/>
    <d v="2004-07-06T00:00:00"/>
    <x v="184"/>
    <m/>
    <m/>
    <x v="0"/>
    <x v="0"/>
    <n v="49790"/>
    <m/>
    <x v="1"/>
    <n v="0"/>
    <x v="0"/>
    <x v="0"/>
    <m/>
    <m/>
    <x v="0"/>
    <d v="2008-07-16T00:00:00"/>
    <x v="0"/>
    <m/>
    <x v="1"/>
    <x v="10"/>
    <s v="A"/>
    <x v="13"/>
    <x v="0"/>
    <x v="222"/>
    <s v="Fernando José Saraiva"/>
    <x v="156"/>
    <x v="14"/>
    <x v="1"/>
    <x v="1"/>
    <x v="0"/>
    <d v="1899-12-30T00:00:00"/>
    <d v="1899-12-30T00:00:00"/>
  </r>
  <r>
    <n v="491"/>
    <x v="0"/>
    <x v="30"/>
    <x v="404"/>
    <n v="11853"/>
    <x v="236"/>
    <m/>
    <m/>
    <x v="0"/>
    <d v="1998-10-12T00:00:00"/>
    <x v="13"/>
    <m/>
    <d v="1999-02-17T00:00:00"/>
    <x v="12"/>
    <x v="0"/>
    <x v="0"/>
    <x v="1"/>
    <x v="0"/>
    <m/>
    <m/>
    <x v="174"/>
    <m/>
    <m/>
    <x v="0"/>
    <x v="0"/>
    <n v="0"/>
    <m/>
    <x v="1"/>
    <n v="0"/>
    <x v="0"/>
    <x v="0"/>
    <m/>
    <m/>
    <x v="0"/>
    <d v="2010-03-18T00:00:00"/>
    <x v="0"/>
    <m/>
    <x v="1"/>
    <x v="12"/>
    <s v="O"/>
    <x v="7"/>
    <x v="0"/>
    <x v="223"/>
    <s v="Pedro Serrazina"/>
    <x v="88"/>
    <x v="7"/>
    <x v="1"/>
    <x v="1"/>
    <x v="0"/>
    <d v="1899-12-30T00:00:00"/>
    <d v="1899-12-30T00:00:00"/>
  </r>
  <r>
    <n v="492"/>
    <x v="0"/>
    <x v="19"/>
    <x v="405"/>
    <n v="7655"/>
    <x v="237"/>
    <m/>
    <s v="O Meu Pai"/>
    <x v="1"/>
    <d v="2007-04-30T00:00:00"/>
    <x v="7"/>
    <d v="2007-06-29T00:00:00"/>
    <d v="2007-10-17T00:00:00"/>
    <x v="3"/>
    <x v="0"/>
    <x v="0"/>
    <x v="12"/>
    <x v="0"/>
    <m/>
    <d v="2008-06-20T00:00:00"/>
    <x v="34"/>
    <m/>
    <n v="140000"/>
    <x v="0"/>
    <x v="0"/>
    <n v="840000"/>
    <m/>
    <x v="1"/>
    <n v="0"/>
    <x v="0"/>
    <x v="0"/>
    <d v="2008-12-16T00:00:00"/>
    <d v="2009-04-09T00:00:00"/>
    <x v="1"/>
    <d v="2009-09-15T00:00:00"/>
    <x v="0"/>
    <m/>
    <x v="0"/>
    <x v="8"/>
    <s v="A"/>
    <x v="6"/>
    <x v="0"/>
    <x v="42"/>
    <s v="Joaquim Leitão"/>
    <x v="157"/>
    <x v="6"/>
    <x v="0"/>
    <x v="0"/>
    <x v="0"/>
    <d v="2008-12-16T00:00:00"/>
    <d v="2009-04-09T00:00:00"/>
  </r>
  <r>
    <n v="493"/>
    <x v="0"/>
    <x v="29"/>
    <x v="193"/>
    <n v="11502"/>
    <x v="238"/>
    <m/>
    <s v="A Regra"/>
    <x v="2"/>
    <d v="2000-09-08T00:00:00"/>
    <x v="15"/>
    <m/>
    <d v="2000-11-23T00:00:00"/>
    <x v="15"/>
    <x v="0"/>
    <x v="0"/>
    <x v="0"/>
    <x v="0"/>
    <m/>
    <d v="2007-10-21T00:00:00"/>
    <x v="180"/>
    <m/>
    <m/>
    <x v="1"/>
    <x v="0"/>
    <n v="728244.93"/>
    <m/>
    <x v="1"/>
    <n v="0"/>
    <x v="0"/>
    <x v="0"/>
    <m/>
    <m/>
    <x v="0"/>
    <d v="2009-01-13T00:00:00"/>
    <x v="0"/>
    <m/>
    <x v="0"/>
    <x v="11"/>
    <s v="D"/>
    <x v="6"/>
    <x v="0"/>
    <x v="224"/>
    <s v="Joaquim Sapinho"/>
    <x v="34"/>
    <x v="6"/>
    <x v="0"/>
    <x v="0"/>
    <x v="0"/>
    <d v="1899-12-30T00:00:00"/>
    <d v="1899-12-30T00:00:00"/>
  </r>
  <r>
    <n v="494"/>
    <x v="0"/>
    <x v="13"/>
    <x v="406"/>
    <n v="10123"/>
    <x v="239"/>
    <m/>
    <m/>
    <x v="1"/>
    <d v="2005-08-26T00:00:00"/>
    <x v="6"/>
    <m/>
    <d v="2006-03-13T00:00:00"/>
    <x v="4"/>
    <x v="0"/>
    <x v="0"/>
    <x v="0"/>
    <x v="0"/>
    <d v="2006-05-15T00:00:00"/>
    <d v="2007-05-23T00:00:00"/>
    <x v="23"/>
    <m/>
    <n v="97500"/>
    <x v="0"/>
    <x v="0"/>
    <n v="747500"/>
    <m/>
    <x v="1"/>
    <n v="0"/>
    <x v="0"/>
    <x v="0"/>
    <d v="2007-06-12T00:00:00"/>
    <m/>
    <x v="0"/>
    <d v="2009-01-28T00:00:00"/>
    <x v="0"/>
    <m/>
    <x v="0"/>
    <x v="4"/>
    <s v="Á"/>
    <x v="6"/>
    <x v="0"/>
    <x v="225"/>
    <s v="Ivo M. Ferreira"/>
    <x v="77"/>
    <x v="6"/>
    <x v="0"/>
    <x v="0"/>
    <x v="0"/>
    <d v="2007-06-12T00:00:00"/>
    <d v="1899-12-30T00:00:00"/>
  </r>
  <r>
    <n v="495"/>
    <x v="0"/>
    <x v="41"/>
    <x v="407"/>
    <n v="9140"/>
    <x v="240"/>
    <m/>
    <m/>
    <x v="2"/>
    <d v="2004-01-02T00:00:00"/>
    <x v="5"/>
    <d v="2004-04-01T00:00:00"/>
    <d v="2004-09-13T00:00:00"/>
    <x v="5"/>
    <x v="0"/>
    <x v="0"/>
    <x v="0"/>
    <x v="0"/>
    <d v="2004-10-11T00:00:00"/>
    <d v="2007-03-19T00:00:00"/>
    <x v="23"/>
    <m/>
    <n v="97500"/>
    <x v="0"/>
    <x v="0"/>
    <n v="747500"/>
    <m/>
    <x v="1"/>
    <n v="0"/>
    <x v="0"/>
    <x v="0"/>
    <d v="2008-03-12T00:00:00"/>
    <d v="2008-04-28T00:00:00"/>
    <x v="1"/>
    <d v="2009-05-15T00:00:00"/>
    <x v="0"/>
    <m/>
    <x v="0"/>
    <x v="13"/>
    <s v="A"/>
    <x v="6"/>
    <x v="0"/>
    <x v="194"/>
    <s v="Francisco Manso"/>
    <x v="29"/>
    <x v="6"/>
    <x v="0"/>
    <x v="0"/>
    <x v="0"/>
    <d v="2008-03-12T00:00:00"/>
    <d v="2008-04-28T00:00:00"/>
  </r>
  <r>
    <n v="496"/>
    <x v="0"/>
    <x v="0"/>
    <x v="408"/>
    <n v="11779"/>
    <x v="241"/>
    <m/>
    <m/>
    <x v="1"/>
    <d v="2008-01-02T00:00:00"/>
    <x v="2"/>
    <d v="2008-07-15T00:00:00"/>
    <d v="2009-04-28T00:00:00"/>
    <x v="0"/>
    <x v="0"/>
    <x v="0"/>
    <x v="10"/>
    <x v="0"/>
    <m/>
    <d v="2009-05-18T00:00:00"/>
    <x v="24"/>
    <m/>
    <m/>
    <x v="0"/>
    <x v="0"/>
    <n v="100000"/>
    <m/>
    <x v="1"/>
    <n v="0"/>
    <x v="0"/>
    <x v="0"/>
    <d v="2008-09-22T00:00:00"/>
    <d v="2008-09-26T00:00:00"/>
    <x v="1"/>
    <d v="2009-12-10T00:00:00"/>
    <x v="0"/>
    <m/>
    <x v="0"/>
    <x v="0"/>
    <s v="B"/>
    <x v="6"/>
    <x v="0"/>
    <x v="226"/>
    <s v="Patrícia Plattner"/>
    <x v="135"/>
    <x v="6"/>
    <x v="0"/>
    <x v="0"/>
    <x v="0"/>
    <d v="2008-09-22T00:00:00"/>
    <d v="2008-09-26T00:00:00"/>
  </r>
  <r>
    <n v="497"/>
    <x v="0"/>
    <x v="52"/>
    <x v="409"/>
    <n v="8338"/>
    <x v="242"/>
    <m/>
    <m/>
    <x v="1"/>
    <d v="2006-03-22T00:00:00"/>
    <x v="4"/>
    <m/>
    <d v="2006-08-11T00:00:00"/>
    <x v="4"/>
    <x v="0"/>
    <x v="0"/>
    <x v="11"/>
    <x v="0"/>
    <d v="2006-08-11T00:00:00"/>
    <d v="2007-09-19T00:00:00"/>
    <x v="21"/>
    <m/>
    <n v="67500"/>
    <x v="0"/>
    <x v="0"/>
    <n v="517500"/>
    <m/>
    <x v="1"/>
    <n v="0"/>
    <x v="0"/>
    <x v="0"/>
    <d v="2007-09-17T00:00:00"/>
    <m/>
    <x v="0"/>
    <d v="2009-08-27T00:00:00"/>
    <x v="0"/>
    <d v="2013-01-24T00:00:00"/>
    <x v="0"/>
    <x v="2"/>
    <s v="C"/>
    <x v="6"/>
    <x v="0"/>
    <x v="26"/>
    <s v="Inês Oliveira"/>
    <x v="126"/>
    <x v="6"/>
    <x v="0"/>
    <x v="0"/>
    <x v="0"/>
    <d v="2007-09-17T00:00:00"/>
    <d v="1899-12-30T00:00:00"/>
  </r>
  <r>
    <n v="498"/>
    <x v="0"/>
    <x v="29"/>
    <x v="410"/>
    <n v="7953"/>
    <x v="243"/>
    <m/>
    <m/>
    <x v="0"/>
    <d v="2006-05-29T00:00:00"/>
    <x v="4"/>
    <m/>
    <d v="2006-10-04T00:00:00"/>
    <x v="4"/>
    <x v="0"/>
    <x v="0"/>
    <x v="0"/>
    <x v="0"/>
    <d v="2006-11-20T00:00:00"/>
    <d v="2008-01-28T00:00:00"/>
    <x v="23"/>
    <m/>
    <n v="97500"/>
    <x v="0"/>
    <x v="0"/>
    <n v="747500"/>
    <m/>
    <x v="1"/>
    <n v="0"/>
    <x v="0"/>
    <x v="0"/>
    <d v="2008-09-11T00:00:00"/>
    <d v="2008-10-11T00:00:00"/>
    <x v="1"/>
    <d v="2009-06-30T00:00:00"/>
    <x v="0"/>
    <d v="2013-01-24T00:00:00"/>
    <x v="0"/>
    <x v="11"/>
    <s v="M"/>
    <x v="6"/>
    <x v="0"/>
    <x v="13"/>
    <s v="João Pedro Rodrigues"/>
    <x v="158"/>
    <x v="6"/>
    <x v="0"/>
    <x v="0"/>
    <x v="0"/>
    <d v="2008-09-11T00:00:00"/>
    <d v="2008-10-11T00:00:00"/>
  </r>
  <r>
    <n v="499"/>
    <x v="0"/>
    <x v="52"/>
    <x v="411"/>
    <n v="7935"/>
    <x v="244"/>
    <m/>
    <m/>
    <x v="1"/>
    <d v="2008-01-02T00:00:00"/>
    <x v="2"/>
    <d v="2008-06-24T00:00:00"/>
    <d v="2008-09-29T00:00:00"/>
    <x v="7"/>
    <x v="0"/>
    <x v="0"/>
    <x v="12"/>
    <x v="0"/>
    <m/>
    <d v="2008-10-17T00:00:00"/>
    <x v="34"/>
    <m/>
    <n v="140000"/>
    <x v="0"/>
    <x v="0"/>
    <n v="840000"/>
    <m/>
    <x v="1"/>
    <n v="0"/>
    <x v="0"/>
    <x v="0"/>
    <d v="2009-03-09T00:00:00"/>
    <d v="2009-04-26T00:00:00"/>
    <x v="1"/>
    <d v="2009-08-12T00:00:00"/>
    <x v="0"/>
    <m/>
    <x v="0"/>
    <x v="2"/>
    <s v="O"/>
    <x v="6"/>
    <x v="0"/>
    <x v="72"/>
    <s v="Fernando Lopes"/>
    <x v="159"/>
    <x v="6"/>
    <x v="0"/>
    <x v="0"/>
    <x v="0"/>
    <d v="2009-03-09T00:00:00"/>
    <d v="2009-04-26T00:00:00"/>
  </r>
  <r>
    <n v="500"/>
    <x v="0"/>
    <x v="13"/>
    <x v="412"/>
    <n v="7226"/>
    <x v="245"/>
    <m/>
    <m/>
    <x v="3"/>
    <m/>
    <x v="8"/>
    <m/>
    <d v="2007-03-30T00:00:00"/>
    <x v="3"/>
    <x v="0"/>
    <x v="0"/>
    <x v="0"/>
    <x v="0"/>
    <m/>
    <d v="2008-06-23T00:00:00"/>
    <x v="185"/>
    <m/>
    <m/>
    <x v="0"/>
    <x v="0"/>
    <n v="550000"/>
    <m/>
    <x v="1"/>
    <n v="0"/>
    <x v="0"/>
    <x v="0"/>
    <d v="2008-11-23T00:00:00"/>
    <d v="2008-12-20T00:00:00"/>
    <x v="1"/>
    <d v="2009-04-24T00:00:00"/>
    <x v="0"/>
    <m/>
    <x v="0"/>
    <x v="4"/>
    <s v="S"/>
    <x v="6"/>
    <x v="0"/>
    <x v="52"/>
    <s v="Manoel de Oliveira"/>
    <x v="92"/>
    <x v="6"/>
    <x v="0"/>
    <x v="0"/>
    <x v="0"/>
    <d v="2008-11-23T00:00:00"/>
    <d v="2008-12-20T00:00:00"/>
  </r>
  <r>
    <n v="501"/>
    <x v="0"/>
    <x v="14"/>
    <x v="413"/>
    <n v="13043"/>
    <x v="246"/>
    <m/>
    <m/>
    <x v="2"/>
    <d v="1999-10-06T00:00:00"/>
    <x v="12"/>
    <m/>
    <d v="2000-02-16T00:00:00"/>
    <x v="15"/>
    <x v="0"/>
    <x v="0"/>
    <x v="1"/>
    <x v="0"/>
    <m/>
    <d v="2001-10-10T00:00:00"/>
    <x v="186"/>
    <m/>
    <m/>
    <x v="0"/>
    <x v="0"/>
    <n v="35913.449999999997"/>
    <m/>
    <x v="1"/>
    <n v="0"/>
    <x v="0"/>
    <x v="0"/>
    <m/>
    <m/>
    <x v="0"/>
    <d v="2008-07-01T00:00:00"/>
    <x v="0"/>
    <m/>
    <x v="1"/>
    <x v="4"/>
    <s v="O"/>
    <x v="13"/>
    <x v="0"/>
    <x v="227"/>
    <s v="André Marques"/>
    <x v="43"/>
    <x v="14"/>
    <x v="1"/>
    <x v="1"/>
    <x v="0"/>
    <d v="1899-12-30T00:00:00"/>
    <d v="1899-12-30T00:00:00"/>
  </r>
  <r>
    <n v="502"/>
    <x v="0"/>
    <x v="24"/>
    <x v="414"/>
    <n v="11783"/>
    <x v="247"/>
    <m/>
    <m/>
    <x v="2"/>
    <d v="2006-10-16T00:00:00"/>
    <x v="4"/>
    <m/>
    <d v="2007-05-11T00:00:00"/>
    <x v="3"/>
    <x v="0"/>
    <x v="0"/>
    <x v="3"/>
    <x v="0"/>
    <m/>
    <d v="2007-11-20T00:00:00"/>
    <x v="3"/>
    <m/>
    <n v="3000"/>
    <x v="0"/>
    <x v="0"/>
    <n v="23000"/>
    <m/>
    <x v="1"/>
    <n v="0"/>
    <x v="0"/>
    <x v="0"/>
    <m/>
    <m/>
    <x v="0"/>
    <d v="2009-07-17T00:00:00"/>
    <x v="0"/>
    <m/>
    <x v="2"/>
    <x v="10"/>
    <s v="A"/>
    <x v="6"/>
    <x v="0"/>
    <x v="55"/>
    <s v="André Gil Mata"/>
    <x v="57"/>
    <x v="6"/>
    <x v="0"/>
    <x v="1"/>
    <x v="0"/>
    <d v="1899-12-30T00:00:00"/>
    <d v="1899-12-30T00:00:00"/>
  </r>
  <r>
    <n v="503"/>
    <x v="0"/>
    <x v="13"/>
    <x v="252"/>
    <n v="7654"/>
    <x v="248"/>
    <m/>
    <m/>
    <x v="1"/>
    <d v="2007-04-30T00:00:00"/>
    <x v="7"/>
    <d v="2007-09-17T00:00:00"/>
    <d v="2008-06-03T00:00:00"/>
    <x v="7"/>
    <x v="0"/>
    <x v="0"/>
    <x v="3"/>
    <x v="0"/>
    <m/>
    <d v="2008-06-12T00:00:00"/>
    <x v="9"/>
    <m/>
    <n v="9000"/>
    <x v="0"/>
    <x v="0"/>
    <n v="54000"/>
    <m/>
    <x v="1"/>
    <n v="0"/>
    <x v="0"/>
    <x v="0"/>
    <d v="2008-08-18T00:00:00"/>
    <d v="2008-08-30T00:00:00"/>
    <x v="1"/>
    <d v="2009-04-08T00:00:00"/>
    <x v="0"/>
    <d v="2012-11-23T00:00:00"/>
    <x v="2"/>
    <x v="4"/>
    <s v="A"/>
    <x v="6"/>
    <x v="0"/>
    <x v="33"/>
    <s v="João Salaviza"/>
    <x v="88"/>
    <x v="6"/>
    <x v="0"/>
    <x v="1"/>
    <x v="0"/>
    <d v="2008-08-18T00:00:00"/>
    <d v="2008-08-30T00:00:00"/>
  </r>
  <r>
    <n v="504"/>
    <x v="0"/>
    <x v="38"/>
    <x v="415"/>
    <n v="11784"/>
    <x v="249"/>
    <m/>
    <m/>
    <x v="2"/>
    <d v="2006-10-16T00:00:00"/>
    <x v="4"/>
    <m/>
    <d v="2007-05-11T00:00:00"/>
    <x v="3"/>
    <x v="0"/>
    <x v="0"/>
    <x v="3"/>
    <x v="0"/>
    <m/>
    <d v="2008-06-09T00:00:00"/>
    <x v="3"/>
    <m/>
    <n v="3000"/>
    <x v="0"/>
    <x v="0"/>
    <n v="23000"/>
    <m/>
    <x v="1"/>
    <n v="0"/>
    <x v="0"/>
    <x v="0"/>
    <d v="2008-06-16T00:00:00"/>
    <m/>
    <x v="0"/>
    <d v="2009-05-11T00:00:00"/>
    <x v="0"/>
    <m/>
    <x v="2"/>
    <x v="4"/>
    <s v="A"/>
    <x v="6"/>
    <x v="0"/>
    <x v="228"/>
    <s v="Pedro Rocha Nogueira"/>
    <x v="88"/>
    <x v="6"/>
    <x v="0"/>
    <x v="1"/>
    <x v="0"/>
    <d v="2008-06-16T00:00:00"/>
    <d v="1899-12-30T00:00:00"/>
  </r>
  <r>
    <n v="505"/>
    <x v="0"/>
    <x v="23"/>
    <x v="416"/>
    <n v="8468"/>
    <x v="250"/>
    <m/>
    <m/>
    <x v="1"/>
    <d v="2007-04-30T00:00:00"/>
    <x v="7"/>
    <d v="2007-09-17T00:00:00"/>
    <d v="2008-06-03T00:00:00"/>
    <x v="7"/>
    <x v="0"/>
    <x v="0"/>
    <x v="3"/>
    <x v="0"/>
    <m/>
    <d v="2008-07-14T00:00:00"/>
    <x v="9"/>
    <m/>
    <n v="9000"/>
    <x v="0"/>
    <x v="0"/>
    <n v="54000"/>
    <m/>
    <x v="1"/>
    <n v="0"/>
    <x v="0"/>
    <x v="0"/>
    <d v="2008-07-20T00:00:00"/>
    <d v="2008-07-31T00:00:00"/>
    <x v="1"/>
    <d v="2009-04-20T00:00:00"/>
    <x v="0"/>
    <d v="2012-11-23T00:00:00"/>
    <x v="2"/>
    <x v="9"/>
    <s v="C"/>
    <x v="6"/>
    <x v="0"/>
    <x v="50"/>
    <s v="João Nicolau"/>
    <x v="160"/>
    <x v="6"/>
    <x v="0"/>
    <x v="1"/>
    <x v="0"/>
    <d v="2008-07-20T00:00:00"/>
    <d v="2008-07-31T00:00:00"/>
  </r>
  <r>
    <n v="506"/>
    <x v="0"/>
    <x v="41"/>
    <x v="417"/>
    <n v="11780"/>
    <x v="251"/>
    <m/>
    <s v="Clarão"/>
    <x v="0"/>
    <d v="2003-10-31T00:00:00"/>
    <x v="9"/>
    <m/>
    <d v="2004-08-13T00:00:00"/>
    <x v="5"/>
    <x v="0"/>
    <x v="0"/>
    <x v="3"/>
    <x v="0"/>
    <d v="2004-10-11T00:00:00"/>
    <d v="2006-04-17T00:00:00"/>
    <x v="9"/>
    <m/>
    <n v="6750"/>
    <x v="0"/>
    <x v="0"/>
    <n v="51750"/>
    <m/>
    <x v="1"/>
    <n v="0"/>
    <x v="0"/>
    <x v="0"/>
    <m/>
    <m/>
    <x v="0"/>
    <d v="2009-01-21T00:00:00"/>
    <x v="0"/>
    <m/>
    <x v="2"/>
    <x v="13"/>
    <s v="C"/>
    <x v="6"/>
    <x v="0"/>
    <x v="106"/>
    <s v="Vicente Alves do Ó"/>
    <x v="132"/>
    <x v="6"/>
    <x v="0"/>
    <x v="1"/>
    <x v="0"/>
    <d v="1899-12-30T00:00:00"/>
    <d v="1899-12-30T00:00:00"/>
  </r>
  <r>
    <n v="507"/>
    <x v="0"/>
    <x v="52"/>
    <x v="418"/>
    <n v="11787"/>
    <x v="252"/>
    <m/>
    <m/>
    <x v="1"/>
    <d v="2005-07-01T00:00:00"/>
    <x v="6"/>
    <m/>
    <d v="2006-04-24T00:00:00"/>
    <x v="4"/>
    <x v="0"/>
    <x v="0"/>
    <x v="3"/>
    <x v="0"/>
    <d v="2006-09-20T00:00:00"/>
    <d v="2007-03-19T00:00:00"/>
    <x v="9"/>
    <m/>
    <m/>
    <x v="0"/>
    <x v="0"/>
    <n v="45000"/>
    <m/>
    <x v="1"/>
    <n v="0"/>
    <x v="0"/>
    <x v="0"/>
    <d v="2009-07-23T00:00:00"/>
    <d v="2009-07-27T00:00:00"/>
    <x v="1"/>
    <d v="2009-08-31T00:00:00"/>
    <x v="0"/>
    <m/>
    <x v="2"/>
    <x v="2"/>
    <s v="D"/>
    <x v="6"/>
    <x v="0"/>
    <x v="182"/>
    <s v="Rita Nunes"/>
    <x v="161"/>
    <x v="6"/>
    <x v="0"/>
    <x v="1"/>
    <x v="0"/>
    <d v="2009-07-23T00:00:00"/>
    <d v="2009-07-27T00:00:00"/>
  </r>
  <r>
    <n v="508"/>
    <x v="0"/>
    <x v="123"/>
    <x v="419"/>
    <n v="10848"/>
    <x v="253"/>
    <m/>
    <m/>
    <x v="1"/>
    <d v="2008-01-02T00:00:00"/>
    <x v="2"/>
    <d v="2008-09-02T00:00:00"/>
    <d v="2009-04-28T00:00:00"/>
    <x v="0"/>
    <x v="0"/>
    <x v="0"/>
    <x v="3"/>
    <x v="0"/>
    <m/>
    <d v="2009-06-04T00:00:00"/>
    <x v="187"/>
    <m/>
    <n v="8840"/>
    <x v="0"/>
    <x v="0"/>
    <n v="53040"/>
    <m/>
    <x v="1"/>
    <n v="0"/>
    <x v="0"/>
    <x v="0"/>
    <d v="2009-07-15T00:00:00"/>
    <m/>
    <x v="0"/>
    <d v="2009-10-20T00:00:00"/>
    <x v="0"/>
    <m/>
    <x v="2"/>
    <x v="0"/>
    <s v="O"/>
    <x v="6"/>
    <x v="0"/>
    <x v="24"/>
    <s v="Solveig Nordlund"/>
    <x v="162"/>
    <x v="7"/>
    <x v="0"/>
    <x v="1"/>
    <x v="0"/>
    <d v="2009-07-15T00:00:00"/>
    <d v="1899-12-30T00:00:00"/>
  </r>
  <r>
    <n v="509"/>
    <x v="0"/>
    <x v="123"/>
    <x v="420"/>
    <n v="10849"/>
    <x v="254"/>
    <m/>
    <m/>
    <x v="1"/>
    <d v="2007-04-30T00:00:00"/>
    <x v="7"/>
    <d v="2007-09-17T00:00:00"/>
    <d v="2008-06-03T00:00:00"/>
    <x v="7"/>
    <x v="0"/>
    <x v="0"/>
    <x v="3"/>
    <x v="0"/>
    <m/>
    <d v="2008-06-20T00:00:00"/>
    <x v="9"/>
    <m/>
    <n v="9000"/>
    <x v="0"/>
    <x v="0"/>
    <n v="54000"/>
    <m/>
    <x v="1"/>
    <n v="0"/>
    <x v="0"/>
    <x v="0"/>
    <d v="2008-11-30T00:00:00"/>
    <d v="2009-03-27T00:00:00"/>
    <x v="0"/>
    <d v="2009-12-09T00:00:00"/>
    <x v="0"/>
    <d v="2012-11-23T00:00:00"/>
    <x v="0"/>
    <x v="0"/>
    <s v="P"/>
    <x v="6"/>
    <x v="0"/>
    <x v="152"/>
    <s v="Margarida Gil"/>
    <x v="91"/>
    <x v="7"/>
    <x v="0"/>
    <x v="0"/>
    <x v="0"/>
    <d v="2008-11-30T00:00:00"/>
    <d v="2009-03-27T00:00:00"/>
  </r>
  <r>
    <n v="510"/>
    <x v="0"/>
    <x v="23"/>
    <x v="421"/>
    <n v="11786"/>
    <x v="255"/>
    <m/>
    <m/>
    <x v="1"/>
    <d v="2007-04-30T00:00:00"/>
    <x v="7"/>
    <d v="2007-09-17T00:00:00"/>
    <d v="2008-06-03T00:00:00"/>
    <x v="7"/>
    <x v="0"/>
    <x v="0"/>
    <x v="3"/>
    <x v="0"/>
    <m/>
    <d v="2008-11-25T00:00:00"/>
    <x v="9"/>
    <m/>
    <n v="9000"/>
    <x v="0"/>
    <x v="0"/>
    <n v="54000"/>
    <m/>
    <x v="1"/>
    <n v="0"/>
    <x v="0"/>
    <x v="0"/>
    <d v="2009-04-03T00:00:00"/>
    <d v="2009-04-11T00:00:00"/>
    <x v="1"/>
    <d v="2009-10-21T00:00:00"/>
    <x v="0"/>
    <d v="2012-11-23T00:00:00"/>
    <x v="2"/>
    <x v="9"/>
    <s v="T"/>
    <x v="6"/>
    <x v="0"/>
    <x v="229"/>
    <s v="Bruno Lourenço"/>
    <x v="163"/>
    <x v="6"/>
    <x v="0"/>
    <x v="1"/>
    <x v="0"/>
    <d v="2009-04-03T00:00:00"/>
    <d v="2009-04-11T00:00:00"/>
  </r>
  <r>
    <n v="511"/>
    <x v="0"/>
    <x v="139"/>
    <x v="422"/>
    <n v="11781"/>
    <x v="256"/>
    <m/>
    <m/>
    <x v="1"/>
    <d v="2007-04-30T00:00:00"/>
    <x v="7"/>
    <d v="2007-09-17T00:00:00"/>
    <d v="2008-06-03T00:00:00"/>
    <x v="7"/>
    <x v="0"/>
    <x v="0"/>
    <x v="3"/>
    <x v="0"/>
    <m/>
    <d v="2008-08-12T00:00:00"/>
    <x v="9"/>
    <m/>
    <n v="9000"/>
    <x v="0"/>
    <x v="0"/>
    <n v="54000"/>
    <m/>
    <x v="1"/>
    <n v="0"/>
    <x v="0"/>
    <x v="0"/>
    <d v="2008-09-20T00:00:00"/>
    <d v="2008-09-30T00:00:00"/>
    <x v="1"/>
    <d v="2009-03-12T00:00:00"/>
    <x v="0"/>
    <d v="2012-11-23T00:00:00"/>
    <x v="2"/>
    <x v="7"/>
    <s v="U"/>
    <x v="6"/>
    <x v="0"/>
    <x v="78"/>
    <s v="Pedro Caldas"/>
    <x v="164"/>
    <x v="6"/>
    <x v="0"/>
    <x v="1"/>
    <x v="0"/>
    <d v="2008-09-20T00:00:00"/>
    <d v="2008-09-30T00:00:00"/>
  </r>
  <r>
    <n v="512"/>
    <x v="0"/>
    <x v="126"/>
    <x v="423"/>
    <n v="10040"/>
    <x v="257"/>
    <m/>
    <s v="Portugal - Quarenta e Oito"/>
    <x v="0"/>
    <d v="2006-04-13T00:00:00"/>
    <x v="4"/>
    <d v="2006-05-17T00:00:00"/>
    <d v="2006-11-03T00:00:00"/>
    <x v="4"/>
    <x v="0"/>
    <x v="0"/>
    <x v="4"/>
    <x v="0"/>
    <m/>
    <d v="2006-02-16T00:00:00"/>
    <x v="80"/>
    <m/>
    <n v="7500"/>
    <x v="0"/>
    <x v="0"/>
    <n v="57500"/>
    <m/>
    <x v="1"/>
    <n v="0"/>
    <x v="0"/>
    <x v="0"/>
    <m/>
    <m/>
    <x v="1"/>
    <d v="2009-10-23T00:00:00"/>
    <x v="0"/>
    <d v="2013-01-24T00:00:00"/>
    <x v="3"/>
    <x v="22"/>
    <s v="4"/>
    <x v="6"/>
    <x v="0"/>
    <x v="230"/>
    <s v="Susana de Sousa Dias"/>
    <x v="165"/>
    <x v="7"/>
    <x v="2"/>
    <x v="0"/>
    <x v="0"/>
    <d v="1899-12-30T00:00:00"/>
    <d v="1899-12-30T00:00:00"/>
  </r>
  <r>
    <n v="513"/>
    <x v="0"/>
    <x v="11"/>
    <x v="424"/>
    <n v="9915"/>
    <x v="258"/>
    <m/>
    <s v="Os Vivos e os Mortos"/>
    <x v="3"/>
    <d v="2005-07-12T00:00:00"/>
    <x v="6"/>
    <m/>
    <d v="2006-03-13T00:00:00"/>
    <x v="4"/>
    <x v="0"/>
    <x v="0"/>
    <x v="4"/>
    <x v="0"/>
    <m/>
    <d v="2006-11-23T00:00:00"/>
    <x v="80"/>
    <m/>
    <n v="7500"/>
    <x v="0"/>
    <x v="0"/>
    <n v="57500"/>
    <m/>
    <x v="1"/>
    <n v="0"/>
    <x v="0"/>
    <x v="0"/>
    <m/>
    <m/>
    <x v="0"/>
    <d v="2009-09-21T00:00:00"/>
    <x v="0"/>
    <m/>
    <x v="3"/>
    <x v="4"/>
    <s v="A"/>
    <x v="6"/>
    <x v="0"/>
    <x v="30"/>
    <s v="Sérgio Tréfaut"/>
    <x v="166"/>
    <x v="6"/>
    <x v="2"/>
    <x v="0"/>
    <x v="0"/>
    <d v="1899-12-30T00:00:00"/>
    <d v="1899-12-30T00:00:00"/>
  </r>
  <r>
    <n v="514"/>
    <x v="0"/>
    <x v="17"/>
    <x v="425"/>
    <n v="11789"/>
    <x v="259"/>
    <m/>
    <m/>
    <x v="2"/>
    <d v="2006-09-22T00:00:00"/>
    <x v="4"/>
    <d v="2006-11-03T00:00:00"/>
    <d v="2007-04-19T00:00:00"/>
    <x v="3"/>
    <x v="0"/>
    <x v="0"/>
    <x v="4"/>
    <x v="0"/>
    <m/>
    <d v="2008-07-23T00:00:00"/>
    <x v="80"/>
    <m/>
    <n v="7500"/>
    <x v="0"/>
    <x v="0"/>
    <n v="57500"/>
    <m/>
    <x v="1"/>
    <n v="0"/>
    <x v="0"/>
    <x v="0"/>
    <m/>
    <m/>
    <x v="0"/>
    <d v="2009-06-15T00:00:00"/>
    <x v="0"/>
    <m/>
    <x v="3"/>
    <x v="7"/>
    <s v="D"/>
    <x v="6"/>
    <x v="0"/>
    <x v="231"/>
    <s v="Diana Andringa"/>
    <x v="167"/>
    <x v="6"/>
    <x v="2"/>
    <x v="0"/>
    <x v="0"/>
    <d v="1899-12-30T00:00:00"/>
    <d v="1899-12-30T00:00:00"/>
  </r>
  <r>
    <n v="515"/>
    <x v="0"/>
    <x v="24"/>
    <x v="426"/>
    <n v="8646"/>
    <x v="260"/>
    <m/>
    <s v="Transit"/>
    <x v="0"/>
    <d v="2008-01-02T00:00:00"/>
    <x v="2"/>
    <d v="2008-06-26T00:00:00"/>
    <d v="2009-03-11T00:00:00"/>
    <x v="0"/>
    <x v="0"/>
    <x v="0"/>
    <x v="4"/>
    <x v="0"/>
    <m/>
    <d v="2009-04-15T00:00:00"/>
    <x v="36"/>
    <m/>
    <n v="16000"/>
    <x v="0"/>
    <x v="0"/>
    <n v="96000"/>
    <m/>
    <x v="1"/>
    <n v="0"/>
    <x v="0"/>
    <x v="0"/>
    <m/>
    <m/>
    <x v="0"/>
    <d v="2009-12-15T00:00:00"/>
    <x v="0"/>
    <m/>
    <x v="3"/>
    <x v="10"/>
    <s v="F"/>
    <x v="6"/>
    <x v="0"/>
    <x v="39"/>
    <s v="João Canijo"/>
    <x v="118"/>
    <x v="7"/>
    <x v="2"/>
    <x v="0"/>
    <x v="0"/>
    <d v="1899-12-30T00:00:00"/>
    <d v="1899-12-30T00:00:00"/>
  </r>
  <r>
    <n v="516"/>
    <x v="0"/>
    <x v="130"/>
    <x v="427"/>
    <n v="8786"/>
    <x v="261"/>
    <m/>
    <m/>
    <x v="3"/>
    <d v="2005-07-12T00:00:00"/>
    <x v="6"/>
    <m/>
    <d v="2006-03-13T00:00:00"/>
    <x v="4"/>
    <x v="0"/>
    <x v="0"/>
    <x v="4"/>
    <x v="0"/>
    <m/>
    <d v="2007-02-17T00:00:00"/>
    <x v="80"/>
    <m/>
    <n v="7500"/>
    <x v="0"/>
    <x v="0"/>
    <n v="57500"/>
    <m/>
    <x v="1"/>
    <n v="0"/>
    <x v="0"/>
    <x v="0"/>
    <m/>
    <m/>
    <x v="0"/>
    <d v="2009-03-13T00:00:00"/>
    <x v="0"/>
    <m/>
    <x v="3"/>
    <x v="4"/>
    <s v="M"/>
    <x v="6"/>
    <x v="0"/>
    <x v="150"/>
    <s v="Margarida Leitão"/>
    <x v="137"/>
    <x v="6"/>
    <x v="2"/>
    <x v="0"/>
    <x v="0"/>
    <d v="1899-12-30T00:00:00"/>
    <d v="1899-12-30T00:00:00"/>
  </r>
  <r>
    <n v="517"/>
    <x v="0"/>
    <x v="6"/>
    <x v="428"/>
    <n v="11790"/>
    <x v="262"/>
    <m/>
    <m/>
    <x v="2"/>
    <d v="2007-04-30T00:00:00"/>
    <x v="7"/>
    <d v="2007-11-26T00:00:00"/>
    <d v="2008-09-11T00:00:00"/>
    <x v="7"/>
    <x v="0"/>
    <x v="0"/>
    <x v="4"/>
    <x v="0"/>
    <m/>
    <d v="2008-09-22T00:00:00"/>
    <x v="14"/>
    <m/>
    <n v="13000"/>
    <x v="0"/>
    <x v="0"/>
    <n v="78000"/>
    <m/>
    <x v="1"/>
    <n v="0"/>
    <x v="0"/>
    <x v="0"/>
    <m/>
    <d v="2008-08-04T00:00:00"/>
    <x v="0"/>
    <d v="2009-07-12T00:00:00"/>
    <x v="0"/>
    <d v="2012-11-23T00:00:00"/>
    <x v="3"/>
    <x v="2"/>
    <s v="M"/>
    <x v="6"/>
    <x v="0"/>
    <x v="215"/>
    <s v="Christine Reeh"/>
    <x v="168"/>
    <x v="6"/>
    <x v="2"/>
    <x v="0"/>
    <x v="0"/>
    <d v="1899-12-30T00:00:00"/>
    <d v="2008-08-04T00:00:00"/>
  </r>
  <r>
    <n v="518"/>
    <x v="0"/>
    <x v="140"/>
    <x v="429"/>
    <n v="8047"/>
    <x v="263"/>
    <m/>
    <s v="Boa Noite"/>
    <x v="0"/>
    <d v="2007-04-30T00:00:00"/>
    <x v="7"/>
    <d v="2007-07-31T00:00:00"/>
    <d v="2008-02-20T00:00:00"/>
    <x v="7"/>
    <x v="0"/>
    <x v="0"/>
    <x v="4"/>
    <x v="0"/>
    <m/>
    <d v="2008-07-23T00:00:00"/>
    <x v="33"/>
    <m/>
    <n v="12000"/>
    <x v="0"/>
    <x v="0"/>
    <n v="72000"/>
    <m/>
    <x v="1"/>
    <n v="0"/>
    <x v="0"/>
    <x v="0"/>
    <m/>
    <m/>
    <x v="0"/>
    <d v="2009-07-21T00:00:00"/>
    <x v="0"/>
    <m/>
    <x v="3"/>
    <x v="9"/>
    <s v="N"/>
    <x v="6"/>
    <x v="0"/>
    <x v="46"/>
    <s v="Pedro Costa"/>
    <x v="21"/>
    <x v="6"/>
    <x v="2"/>
    <x v="0"/>
    <x v="0"/>
    <d v="1899-12-30T00:00:00"/>
    <d v="1899-12-30T00:00:00"/>
  </r>
  <r>
    <n v="519"/>
    <x v="0"/>
    <x v="13"/>
    <x v="252"/>
    <m/>
    <x v="4"/>
    <s v="DISTRIBUIÇÃO"/>
    <m/>
    <x v="1"/>
    <d v="2009-01-02T00:00:00"/>
    <x v="0"/>
    <d v="2009-12-31T00:00:00"/>
    <d v="2009-08-27T00:00:00"/>
    <x v="0"/>
    <x v="1"/>
    <x v="2"/>
    <x v="13"/>
    <x v="0"/>
    <m/>
    <m/>
    <x v="188"/>
    <m/>
    <m/>
    <x v="0"/>
    <x v="0"/>
    <n v="7014.7"/>
    <m/>
    <x v="1"/>
    <n v="0"/>
    <x v="0"/>
    <x v="0"/>
    <m/>
    <m/>
    <x v="0"/>
    <m/>
    <x v="0"/>
    <m/>
    <x v="5"/>
    <x v="4"/>
    <s v="A"/>
    <x v="3"/>
    <x v="0"/>
    <x v="110"/>
    <s v=""/>
    <x v="4"/>
    <x v="2"/>
    <x v="4"/>
    <x v="3"/>
    <x v="0"/>
    <d v="1899-12-30T00:00:00"/>
    <d v="1899-12-30T00:00:00"/>
  </r>
  <r>
    <n v="520"/>
    <x v="0"/>
    <x v="13"/>
    <x v="252"/>
    <m/>
    <x v="4"/>
    <s v="CANNES 2009"/>
    <m/>
    <x v="1"/>
    <d v="2009-01-02T00:00:00"/>
    <x v="0"/>
    <d v="2009-12-31T00:00:00"/>
    <d v="2009-05-07T00:00:00"/>
    <x v="0"/>
    <x v="3"/>
    <x v="4"/>
    <x v="21"/>
    <x v="0"/>
    <m/>
    <d v="2009-05-11T00:00:00"/>
    <x v="45"/>
    <m/>
    <m/>
    <x v="0"/>
    <x v="0"/>
    <n v="10000"/>
    <m/>
    <x v="1"/>
    <n v="0"/>
    <x v="0"/>
    <x v="0"/>
    <m/>
    <m/>
    <x v="0"/>
    <m/>
    <x v="0"/>
    <m/>
    <x v="5"/>
    <x v="4"/>
    <s v="A"/>
    <x v="3"/>
    <x v="0"/>
    <x v="110"/>
    <s v=""/>
    <x v="4"/>
    <x v="2"/>
    <x v="4"/>
    <x v="3"/>
    <x v="0"/>
    <d v="1899-12-30T00:00:00"/>
    <d v="1899-12-30T00:00:00"/>
  </r>
  <r>
    <n v="521"/>
    <x v="0"/>
    <x v="25"/>
    <x v="430"/>
    <n v="11885"/>
    <x v="264"/>
    <m/>
    <m/>
    <x v="1"/>
    <d v="2007-04-30T00:00:00"/>
    <x v="7"/>
    <d v="2007-09-17T00:00:00"/>
    <d v="2008-06-03T00:00:00"/>
    <x v="7"/>
    <x v="0"/>
    <x v="0"/>
    <x v="3"/>
    <x v="0"/>
    <m/>
    <d v="2008-06-17T00:00:00"/>
    <x v="9"/>
    <m/>
    <n v="9000"/>
    <x v="0"/>
    <x v="0"/>
    <n v="54000"/>
    <m/>
    <x v="1"/>
    <n v="0"/>
    <x v="0"/>
    <x v="0"/>
    <d v="2008-06-20T00:00:00"/>
    <m/>
    <x v="0"/>
    <d v="2008-11-17T00:00:00"/>
    <x v="0"/>
    <d v="2012-11-23T00:00:00"/>
    <x v="2"/>
    <x v="10"/>
    <s v="E"/>
    <x v="13"/>
    <x v="0"/>
    <x v="232"/>
    <s v="Tiago Sousa"/>
    <x v="169"/>
    <x v="14"/>
    <x v="0"/>
    <x v="1"/>
    <x v="0"/>
    <d v="2008-06-20T00:00:00"/>
    <d v="1899-12-30T00:00:00"/>
  </r>
  <r>
    <n v="522"/>
    <x v="0"/>
    <x v="10"/>
    <x v="431"/>
    <m/>
    <x v="4"/>
    <m/>
    <m/>
    <x v="1"/>
    <d v="2009-01-02T00:00:00"/>
    <x v="0"/>
    <d v="2009-07-01T00:00:00"/>
    <d v="2010-02-09T00:00:00"/>
    <x v="2"/>
    <x v="0"/>
    <x v="0"/>
    <x v="10"/>
    <x v="0"/>
    <m/>
    <d v="2010-05-18T00:00:00"/>
    <x v="156"/>
    <m/>
    <m/>
    <x v="0"/>
    <x v="0"/>
    <n v="200000"/>
    <m/>
    <x v="1"/>
    <n v="0"/>
    <x v="7"/>
    <x v="0"/>
    <m/>
    <m/>
    <x v="0"/>
    <m/>
    <x v="0"/>
    <m/>
    <x v="5"/>
    <x v="4"/>
    <s v="O"/>
    <x v="3"/>
    <x v="0"/>
    <x v="110"/>
    <s v=""/>
    <x v="4"/>
    <x v="2"/>
    <x v="4"/>
    <x v="3"/>
    <x v="0"/>
    <d v="1899-12-30T00:00:00"/>
    <d v="1899-12-30T00:00:00"/>
  </r>
  <r>
    <n v="523"/>
    <x v="0"/>
    <x v="23"/>
    <x v="52"/>
    <m/>
    <x v="4"/>
    <s v="AQUELE QUERIDO MÊS DE AGOSTO - AUTOMÁTICO 2009"/>
    <m/>
    <x v="1"/>
    <d v="2009-01-02T00:00:00"/>
    <x v="0"/>
    <d v="2009-01-30T00:00:00"/>
    <d v="2009-03-13T00:00:00"/>
    <x v="0"/>
    <x v="0"/>
    <x v="1"/>
    <x v="15"/>
    <x v="4"/>
    <m/>
    <d v="2010-02-23T00:00:00"/>
    <x v="189"/>
    <m/>
    <m/>
    <x v="0"/>
    <x v="0"/>
    <n v="16414"/>
    <m/>
    <x v="1"/>
    <n v="0"/>
    <x v="0"/>
    <x v="0"/>
    <m/>
    <m/>
    <x v="0"/>
    <m/>
    <x v="0"/>
    <m/>
    <x v="0"/>
    <x v="9"/>
    <s v="T"/>
    <x v="3"/>
    <x v="0"/>
    <x v="47"/>
    <s v=""/>
    <x v="4"/>
    <x v="2"/>
    <x v="0"/>
    <x v="0"/>
    <x v="0"/>
    <d v="1899-12-30T00:00:00"/>
    <d v="1899-12-30T00:00:00"/>
  </r>
  <r>
    <n v="524"/>
    <x v="0"/>
    <x v="52"/>
    <x v="411"/>
    <m/>
    <x v="4"/>
    <m/>
    <m/>
    <x v="3"/>
    <m/>
    <x v="8"/>
    <m/>
    <m/>
    <x v="8"/>
    <x v="1"/>
    <x v="2"/>
    <x v="13"/>
    <x v="0"/>
    <m/>
    <m/>
    <x v="140"/>
    <m/>
    <m/>
    <x v="0"/>
    <x v="0"/>
    <n v="12000"/>
    <m/>
    <x v="1"/>
    <n v="0"/>
    <x v="0"/>
    <x v="0"/>
    <m/>
    <m/>
    <x v="0"/>
    <m/>
    <x v="0"/>
    <m/>
    <x v="5"/>
    <x v="2"/>
    <s v="O"/>
    <x v="3"/>
    <x v="0"/>
    <x v="110"/>
    <s v=""/>
    <x v="4"/>
    <x v="2"/>
    <x v="4"/>
    <x v="3"/>
    <x v="0"/>
    <d v="1899-12-30T00:00:00"/>
    <d v="1899-12-30T00:00:00"/>
  </r>
  <r>
    <n v="525"/>
    <x v="0"/>
    <x v="52"/>
    <x v="411"/>
    <m/>
    <x v="4"/>
    <s v="MOSTRA DE SÃO PAULO"/>
    <m/>
    <x v="3"/>
    <m/>
    <x v="8"/>
    <m/>
    <m/>
    <x v="8"/>
    <x v="3"/>
    <x v="4"/>
    <x v="21"/>
    <x v="0"/>
    <m/>
    <d v="2009-10-12T00:00:00"/>
    <x v="45"/>
    <m/>
    <m/>
    <x v="0"/>
    <x v="0"/>
    <n v="10000"/>
    <m/>
    <x v="1"/>
    <n v="0"/>
    <x v="0"/>
    <x v="0"/>
    <m/>
    <m/>
    <x v="0"/>
    <m/>
    <x v="0"/>
    <m/>
    <x v="5"/>
    <x v="2"/>
    <s v="O"/>
    <x v="3"/>
    <x v="0"/>
    <x v="110"/>
    <s v=""/>
    <x v="4"/>
    <x v="2"/>
    <x v="4"/>
    <x v="3"/>
    <x v="0"/>
    <d v="1899-12-30T00:00:00"/>
    <d v="1899-12-30T00:00:00"/>
  </r>
  <r>
    <n v="526"/>
    <x v="0"/>
    <x v="109"/>
    <x v="432"/>
    <m/>
    <x v="4"/>
    <m/>
    <m/>
    <x v="1"/>
    <d v="2010-01-04T00:00:00"/>
    <x v="3"/>
    <d v="2010-04-06T00:00:00"/>
    <d v="2010-08-05T00:00:00"/>
    <x v="2"/>
    <x v="0"/>
    <x v="1"/>
    <x v="7"/>
    <x v="3"/>
    <m/>
    <m/>
    <x v="45"/>
    <m/>
    <m/>
    <x v="0"/>
    <x v="0"/>
    <n v="10000"/>
    <m/>
    <x v="1"/>
    <n v="0"/>
    <x v="0"/>
    <x v="0"/>
    <m/>
    <m/>
    <x v="0"/>
    <d v="2011-05-30T00:00:00"/>
    <x v="0"/>
    <m/>
    <x v="5"/>
    <x v="21"/>
    <s v="F"/>
    <x v="2"/>
    <x v="0"/>
    <x v="233"/>
    <s v=""/>
    <x v="4"/>
    <x v="2"/>
    <x v="4"/>
    <x v="3"/>
    <x v="0"/>
    <d v="1899-12-30T00:00:00"/>
    <d v="1899-12-30T00:00:00"/>
  </r>
  <r>
    <n v="527"/>
    <x v="0"/>
    <x v="32"/>
    <x v="433"/>
    <m/>
    <x v="4"/>
    <m/>
    <m/>
    <x v="1"/>
    <d v="2010-01-04T00:00:00"/>
    <x v="3"/>
    <d v="2010-04-06T00:00:00"/>
    <d v="2010-08-05T00:00:00"/>
    <x v="2"/>
    <x v="0"/>
    <x v="1"/>
    <x v="7"/>
    <x v="3"/>
    <m/>
    <m/>
    <x v="45"/>
    <m/>
    <m/>
    <x v="0"/>
    <x v="0"/>
    <n v="10000"/>
    <m/>
    <x v="1"/>
    <n v="0"/>
    <x v="0"/>
    <x v="0"/>
    <m/>
    <m/>
    <x v="0"/>
    <d v="2011-04-12T00:00:00"/>
    <x v="0"/>
    <m/>
    <x v="5"/>
    <x v="13"/>
    <s v="A"/>
    <x v="2"/>
    <x v="0"/>
    <x v="234"/>
    <s v=""/>
    <x v="4"/>
    <x v="2"/>
    <x v="4"/>
    <x v="3"/>
    <x v="0"/>
    <d v="1899-12-30T00:00:00"/>
    <d v="1899-12-30T00:00:00"/>
  </r>
  <r>
    <n v="528"/>
    <x v="0"/>
    <x v="109"/>
    <x v="434"/>
    <m/>
    <x v="4"/>
    <m/>
    <m/>
    <x v="1"/>
    <d v="2010-01-04T00:00:00"/>
    <x v="3"/>
    <d v="2010-04-06T00:00:00"/>
    <d v="2010-08-05T00:00:00"/>
    <x v="2"/>
    <x v="0"/>
    <x v="1"/>
    <x v="7"/>
    <x v="3"/>
    <m/>
    <m/>
    <x v="45"/>
    <m/>
    <m/>
    <x v="0"/>
    <x v="0"/>
    <n v="10000"/>
    <m/>
    <x v="1"/>
    <n v="0"/>
    <x v="0"/>
    <x v="0"/>
    <m/>
    <m/>
    <x v="0"/>
    <d v="2011-09-15T00:00:00"/>
    <x v="0"/>
    <m/>
    <x v="5"/>
    <x v="21"/>
    <s v="C"/>
    <x v="2"/>
    <x v="0"/>
    <x v="235"/>
    <s v=""/>
    <x v="4"/>
    <x v="2"/>
    <x v="4"/>
    <x v="3"/>
    <x v="0"/>
    <d v="1899-12-30T00:00:00"/>
    <d v="1899-12-30T00:00:00"/>
  </r>
  <r>
    <n v="529"/>
    <x v="0"/>
    <x v="109"/>
    <x v="435"/>
    <m/>
    <x v="4"/>
    <m/>
    <m/>
    <x v="1"/>
    <d v="2010-01-04T00:00:00"/>
    <x v="3"/>
    <d v="2010-04-06T00:00:00"/>
    <d v="2010-08-05T00:00:00"/>
    <x v="2"/>
    <x v="0"/>
    <x v="1"/>
    <x v="7"/>
    <x v="3"/>
    <m/>
    <m/>
    <x v="45"/>
    <m/>
    <m/>
    <x v="0"/>
    <x v="0"/>
    <n v="10000"/>
    <m/>
    <x v="1"/>
    <n v="0"/>
    <x v="0"/>
    <x v="0"/>
    <m/>
    <m/>
    <x v="0"/>
    <d v="2011-08-22T00:00:00"/>
    <x v="0"/>
    <m/>
    <x v="5"/>
    <x v="21"/>
    <s v="O"/>
    <x v="2"/>
    <x v="0"/>
    <x v="102"/>
    <s v=""/>
    <x v="4"/>
    <x v="2"/>
    <x v="4"/>
    <x v="3"/>
    <x v="0"/>
    <d v="1899-12-30T00:00:00"/>
    <d v="1899-12-30T00:00:00"/>
  </r>
  <r>
    <n v="530"/>
    <x v="0"/>
    <x v="30"/>
    <x v="436"/>
    <n v="11854"/>
    <x v="265"/>
    <m/>
    <m/>
    <x v="1"/>
    <d v="2008-01-02T00:00:00"/>
    <x v="2"/>
    <d v="2008-09-24T00:00:00"/>
    <d v="2009-07-20T00:00:00"/>
    <x v="0"/>
    <x v="0"/>
    <x v="0"/>
    <x v="1"/>
    <x v="0"/>
    <m/>
    <d v="2009-09-22T00:00:00"/>
    <x v="24"/>
    <m/>
    <n v="20000"/>
    <x v="0"/>
    <x v="0"/>
    <n v="120000"/>
    <m/>
    <x v="1"/>
    <n v="0"/>
    <x v="0"/>
    <x v="0"/>
    <m/>
    <m/>
    <x v="0"/>
    <d v="2010-10-07T00:00:00"/>
    <x v="0"/>
    <m/>
    <x v="1"/>
    <x v="12"/>
    <s v="O"/>
    <x v="7"/>
    <x v="0"/>
    <x v="164"/>
    <s v="David Doutel, Vasco Sá"/>
    <x v="128"/>
    <x v="7"/>
    <x v="1"/>
    <x v="1"/>
    <x v="0"/>
    <d v="1899-12-30T00:00:00"/>
    <d v="1899-12-30T00:00:00"/>
  </r>
  <r>
    <n v="531"/>
    <x v="0"/>
    <x v="124"/>
    <x v="437"/>
    <n v="11894"/>
    <x v="266"/>
    <m/>
    <m/>
    <x v="1"/>
    <d v="2004-06-11T00:00:00"/>
    <x v="5"/>
    <m/>
    <d v="2005-02-21T00:00:00"/>
    <x v="6"/>
    <x v="0"/>
    <x v="0"/>
    <x v="1"/>
    <x v="0"/>
    <d v="2006-11-20T00:00:00"/>
    <m/>
    <x v="190"/>
    <m/>
    <n v="3276"/>
    <x v="0"/>
    <x v="0"/>
    <n v="31276"/>
    <m/>
    <x v="1"/>
    <n v="0"/>
    <x v="0"/>
    <x v="0"/>
    <m/>
    <m/>
    <x v="0"/>
    <d v="2008-05-14T00:00:00"/>
    <x v="0"/>
    <m/>
    <x v="1"/>
    <x v="5"/>
    <s v="G"/>
    <x v="13"/>
    <x v="0"/>
    <x v="140"/>
    <s v="Joana Toste"/>
    <x v="124"/>
    <x v="14"/>
    <x v="1"/>
    <x v="1"/>
    <x v="0"/>
    <d v="1899-12-30T00:00:00"/>
    <d v="1899-12-30T00:00:00"/>
  </r>
  <r>
    <n v="532"/>
    <x v="0"/>
    <x v="137"/>
    <x v="438"/>
    <m/>
    <x v="4"/>
    <m/>
    <m/>
    <x v="1"/>
    <d v="2008-01-02T00:00:00"/>
    <x v="2"/>
    <d v="2008-07-15T00:00:00"/>
    <d v="2009-04-28T00:00:00"/>
    <x v="0"/>
    <x v="0"/>
    <x v="0"/>
    <x v="10"/>
    <x v="0"/>
    <m/>
    <d v="2009-05-18T00:00:00"/>
    <x v="24"/>
    <n v="90000"/>
    <m/>
    <x v="0"/>
    <x v="0"/>
    <n v="90000"/>
    <m/>
    <x v="1"/>
    <n v="0"/>
    <x v="7"/>
    <x v="0"/>
    <m/>
    <m/>
    <x v="0"/>
    <m/>
    <x v="0"/>
    <m/>
    <x v="5"/>
    <x v="2"/>
    <s v="R"/>
    <x v="3"/>
    <x v="0"/>
    <x v="236"/>
    <s v=""/>
    <x v="4"/>
    <x v="2"/>
    <x v="4"/>
    <x v="3"/>
    <x v="0"/>
    <d v="1899-12-30T00:00:00"/>
    <d v="1899-12-30T00:00:00"/>
  </r>
  <r>
    <n v="533"/>
    <x v="0"/>
    <x v="123"/>
    <x v="439"/>
    <m/>
    <x v="4"/>
    <m/>
    <m/>
    <x v="1"/>
    <d v="2010-01-04T00:00:00"/>
    <x v="3"/>
    <d v="2010-04-06T00:00:00"/>
    <d v="2010-08-05T00:00:00"/>
    <x v="2"/>
    <x v="0"/>
    <x v="1"/>
    <x v="7"/>
    <x v="3"/>
    <m/>
    <m/>
    <x v="45"/>
    <m/>
    <m/>
    <x v="0"/>
    <x v="0"/>
    <n v="10000"/>
    <m/>
    <x v="1"/>
    <n v="0"/>
    <x v="0"/>
    <x v="0"/>
    <m/>
    <m/>
    <x v="0"/>
    <d v="2011-08-15T00:00:00"/>
    <x v="0"/>
    <m/>
    <x v="5"/>
    <x v="0"/>
    <s v="T"/>
    <x v="2"/>
    <x v="0"/>
    <x v="24"/>
    <s v=""/>
    <x v="4"/>
    <x v="2"/>
    <x v="4"/>
    <x v="3"/>
    <x v="0"/>
    <d v="1899-12-30T00:00:00"/>
    <d v="1899-12-30T00:00:00"/>
  </r>
  <r>
    <n v="534"/>
    <x v="0"/>
    <x v="12"/>
    <x v="440"/>
    <m/>
    <x v="4"/>
    <m/>
    <m/>
    <x v="1"/>
    <d v="2010-01-04T00:00:00"/>
    <x v="3"/>
    <d v="2010-05-04T00:00:00"/>
    <d v="2011-01-03T00:00:00"/>
    <x v="1"/>
    <x v="0"/>
    <x v="1"/>
    <x v="5"/>
    <x v="2"/>
    <m/>
    <m/>
    <x v="167"/>
    <m/>
    <m/>
    <x v="0"/>
    <x v="0"/>
    <n v="8500"/>
    <m/>
    <x v="1"/>
    <n v="0"/>
    <x v="0"/>
    <x v="0"/>
    <m/>
    <m/>
    <x v="0"/>
    <m/>
    <x v="0"/>
    <m/>
    <x v="5"/>
    <x v="4"/>
    <s v="A"/>
    <x v="3"/>
    <x v="0"/>
    <x v="31"/>
    <s v=""/>
    <x v="4"/>
    <x v="2"/>
    <x v="4"/>
    <x v="3"/>
    <x v="0"/>
    <d v="1899-12-30T00:00:00"/>
    <d v="1899-12-30T00:00:00"/>
  </r>
  <r>
    <n v="535"/>
    <x v="0"/>
    <x v="6"/>
    <x v="441"/>
    <m/>
    <x v="4"/>
    <m/>
    <m/>
    <x v="1"/>
    <d v="2010-01-04T00:00:00"/>
    <x v="3"/>
    <d v="2010-05-04T00:00:00"/>
    <d v="2011-01-03T00:00:00"/>
    <x v="1"/>
    <x v="0"/>
    <x v="1"/>
    <x v="5"/>
    <x v="2"/>
    <m/>
    <m/>
    <x v="134"/>
    <m/>
    <m/>
    <x v="0"/>
    <x v="0"/>
    <n v="7000"/>
    <m/>
    <x v="1"/>
    <n v="0"/>
    <x v="0"/>
    <x v="0"/>
    <m/>
    <m/>
    <x v="0"/>
    <m/>
    <x v="0"/>
    <m/>
    <x v="5"/>
    <x v="2"/>
    <s v="P"/>
    <x v="3"/>
    <x v="0"/>
    <x v="215"/>
    <s v=""/>
    <x v="4"/>
    <x v="2"/>
    <x v="4"/>
    <x v="3"/>
    <x v="0"/>
    <d v="1899-12-30T00:00:00"/>
    <d v="1899-12-30T00:00:00"/>
  </r>
  <r>
    <n v="536"/>
    <x v="0"/>
    <x v="28"/>
    <x v="442"/>
    <m/>
    <x v="4"/>
    <m/>
    <m/>
    <x v="1"/>
    <d v="2010-01-04T00:00:00"/>
    <x v="3"/>
    <d v="2010-05-04T00:00:00"/>
    <d v="2011-01-03T00:00:00"/>
    <x v="1"/>
    <x v="0"/>
    <x v="1"/>
    <x v="5"/>
    <x v="2"/>
    <m/>
    <m/>
    <x v="191"/>
    <m/>
    <m/>
    <x v="0"/>
    <x v="0"/>
    <n v="8300"/>
    <m/>
    <x v="1"/>
    <n v="0"/>
    <x v="0"/>
    <x v="0"/>
    <m/>
    <m/>
    <x v="0"/>
    <m/>
    <x v="0"/>
    <m/>
    <x v="5"/>
    <x v="11"/>
    <s v="O"/>
    <x v="3"/>
    <x v="0"/>
    <x v="61"/>
    <s v=""/>
    <x v="4"/>
    <x v="2"/>
    <x v="4"/>
    <x v="3"/>
    <x v="0"/>
    <d v="1899-12-30T00:00:00"/>
    <d v="1899-12-30T00:00:00"/>
  </r>
  <r>
    <n v="537"/>
    <x v="0"/>
    <x v="41"/>
    <x v="131"/>
    <n v="8930"/>
    <x v="267"/>
    <m/>
    <m/>
    <x v="1"/>
    <d v="2004-07-16T00:00:00"/>
    <x v="5"/>
    <m/>
    <d v="2005-05-23T00:00:00"/>
    <x v="6"/>
    <x v="0"/>
    <x v="0"/>
    <x v="11"/>
    <x v="0"/>
    <m/>
    <d v="2005-10-31T00:00:00"/>
    <x v="21"/>
    <m/>
    <n v="52650"/>
    <x v="0"/>
    <x v="0"/>
    <n v="502650"/>
    <m/>
    <x v="1"/>
    <n v="0"/>
    <x v="0"/>
    <x v="0"/>
    <m/>
    <m/>
    <x v="0"/>
    <d v="2008-02-22T00:00:00"/>
    <x v="0"/>
    <m/>
    <x v="0"/>
    <x v="13"/>
    <s v="O"/>
    <x v="13"/>
    <x v="0"/>
    <x v="106"/>
    <s v="José Farinha"/>
    <x v="26"/>
    <x v="14"/>
    <x v="0"/>
    <x v="0"/>
    <x v="0"/>
    <d v="1899-12-30T00:00:00"/>
    <d v="1899-12-30T00:00:00"/>
  </r>
  <r>
    <n v="538"/>
    <x v="0"/>
    <x v="136"/>
    <x v="443"/>
    <m/>
    <x v="4"/>
    <m/>
    <m/>
    <x v="1"/>
    <d v="2010-01-04T00:00:00"/>
    <x v="3"/>
    <d v="2010-05-04T00:00:00"/>
    <d v="2011-01-03T00:00:00"/>
    <x v="1"/>
    <x v="0"/>
    <x v="1"/>
    <x v="5"/>
    <x v="2"/>
    <m/>
    <m/>
    <x v="61"/>
    <m/>
    <m/>
    <x v="0"/>
    <x v="0"/>
    <n v="2500"/>
    <m/>
    <x v="1"/>
    <n v="0"/>
    <x v="0"/>
    <x v="0"/>
    <m/>
    <m/>
    <x v="0"/>
    <m/>
    <x v="0"/>
    <m/>
    <x v="5"/>
    <x v="0"/>
    <s v="A"/>
    <x v="3"/>
    <x v="0"/>
    <x v="234"/>
    <s v=""/>
    <x v="4"/>
    <x v="2"/>
    <x v="4"/>
    <x v="3"/>
    <x v="0"/>
    <d v="1899-12-30T00:00:00"/>
    <d v="1899-12-30T00:00:00"/>
  </r>
  <r>
    <n v="539"/>
    <x v="0"/>
    <x v="28"/>
    <x v="444"/>
    <m/>
    <x v="4"/>
    <m/>
    <m/>
    <x v="1"/>
    <d v="2010-01-04T00:00:00"/>
    <x v="3"/>
    <d v="2010-05-04T00:00:00"/>
    <d v="2011-01-03T00:00:00"/>
    <x v="1"/>
    <x v="0"/>
    <x v="1"/>
    <x v="5"/>
    <x v="2"/>
    <m/>
    <m/>
    <x v="61"/>
    <m/>
    <m/>
    <x v="0"/>
    <x v="0"/>
    <n v="2500"/>
    <m/>
    <x v="1"/>
    <n v="0"/>
    <x v="0"/>
    <x v="0"/>
    <m/>
    <m/>
    <x v="0"/>
    <m/>
    <x v="0"/>
    <m/>
    <x v="5"/>
    <x v="11"/>
    <s v="P"/>
    <x v="3"/>
    <x v="0"/>
    <x v="133"/>
    <s v=""/>
    <x v="4"/>
    <x v="2"/>
    <x v="4"/>
    <x v="3"/>
    <x v="0"/>
    <d v="1899-12-30T00:00:00"/>
    <d v="1899-12-30T00:00:00"/>
  </r>
  <r>
    <n v="540"/>
    <x v="0"/>
    <x v="24"/>
    <x v="445"/>
    <m/>
    <x v="4"/>
    <m/>
    <m/>
    <x v="1"/>
    <d v="2010-01-04T00:00:00"/>
    <x v="3"/>
    <d v="2010-05-04T00:00:00"/>
    <d v="2011-01-03T00:00:00"/>
    <x v="1"/>
    <x v="0"/>
    <x v="1"/>
    <x v="5"/>
    <x v="2"/>
    <m/>
    <m/>
    <x v="61"/>
    <m/>
    <m/>
    <x v="0"/>
    <x v="0"/>
    <n v="2500"/>
    <m/>
    <x v="1"/>
    <n v="0"/>
    <x v="0"/>
    <x v="0"/>
    <m/>
    <m/>
    <x v="0"/>
    <m/>
    <x v="0"/>
    <m/>
    <x v="5"/>
    <x v="10"/>
    <s v="O"/>
    <x v="3"/>
    <x v="0"/>
    <x v="220"/>
    <s v=""/>
    <x v="4"/>
    <x v="2"/>
    <x v="4"/>
    <x v="3"/>
    <x v="0"/>
    <d v="1899-12-30T00:00:00"/>
    <d v="1899-12-30T00:00:00"/>
  </r>
  <r>
    <n v="541"/>
    <x v="0"/>
    <x v="47"/>
    <x v="446"/>
    <n v="11231"/>
    <x v="268"/>
    <m/>
    <m/>
    <x v="1"/>
    <d v="2011-01-03T00:00:00"/>
    <x v="1"/>
    <d v="2011-09-07T00:00:00"/>
    <d v="2013-01-23T00:00:00"/>
    <x v="11"/>
    <x v="0"/>
    <x v="0"/>
    <x v="3"/>
    <x v="0"/>
    <m/>
    <d v="2013-01-23T00:00:00"/>
    <x v="9"/>
    <m/>
    <n v="9000"/>
    <x v="0"/>
    <x v="0"/>
    <n v="54000"/>
    <m/>
    <x v="1"/>
    <n v="0"/>
    <x v="0"/>
    <x v="0"/>
    <d v="2012-01-01T00:00:00"/>
    <m/>
    <x v="0"/>
    <d v="2012-01-27T00:00:00"/>
    <x v="0"/>
    <d v="2013-02-04T00:00:00"/>
    <x v="2"/>
    <x v="0"/>
    <s v="A"/>
    <x v="0"/>
    <x v="0"/>
    <x v="35"/>
    <s v="João Botelho"/>
    <x v="163"/>
    <x v="0"/>
    <x v="0"/>
    <x v="1"/>
    <x v="0"/>
    <d v="2012-01-01T00:00:00"/>
    <d v="1899-12-30T00:00:00"/>
  </r>
  <r>
    <n v="542"/>
    <x v="0"/>
    <x v="110"/>
    <x v="271"/>
    <m/>
    <x v="4"/>
    <m/>
    <s v="União Ibérica"/>
    <x v="3"/>
    <d v="2005-06-03T00:00:00"/>
    <x v="6"/>
    <m/>
    <d v="2006-03-13T00:00:00"/>
    <x v="4"/>
    <x v="0"/>
    <x v="1"/>
    <x v="5"/>
    <x v="2"/>
    <m/>
    <d v="2006-05-15T00:00:00"/>
    <x v="122"/>
    <m/>
    <m/>
    <x v="0"/>
    <x v="0"/>
    <n v="5000"/>
    <m/>
    <x v="1"/>
    <n v="0"/>
    <x v="0"/>
    <x v="0"/>
    <m/>
    <m/>
    <x v="0"/>
    <m/>
    <x v="0"/>
    <m/>
    <x v="5"/>
    <x v="6"/>
    <s v="J"/>
    <x v="3"/>
    <x v="0"/>
    <x v="197"/>
    <s v=""/>
    <x v="4"/>
    <x v="2"/>
    <x v="4"/>
    <x v="3"/>
    <x v="0"/>
    <d v="1899-12-30T00:00:00"/>
    <d v="1899-12-30T00:00:00"/>
  </r>
  <r>
    <n v="543"/>
    <x v="0"/>
    <x v="5"/>
    <x v="447"/>
    <n v="13237"/>
    <x v="269"/>
    <m/>
    <s v="Hotel Central"/>
    <x v="1"/>
    <d v="2011-01-03T00:00:00"/>
    <x v="1"/>
    <d v="2011-09-07T00:00:00"/>
    <d v="2013-01-23T00:00:00"/>
    <x v="11"/>
    <x v="0"/>
    <x v="0"/>
    <x v="3"/>
    <x v="0"/>
    <m/>
    <d v="2013-01-11T00:00:00"/>
    <x v="9"/>
    <m/>
    <n v="9000"/>
    <x v="0"/>
    <x v="0"/>
    <n v="54000"/>
    <n v="4500"/>
    <x v="1"/>
    <n v="4500"/>
    <x v="4"/>
    <x v="0"/>
    <d v="2013-09-15T00:00:00"/>
    <m/>
    <x v="0"/>
    <d v="2014-09-30T00:00:00"/>
    <x v="0"/>
    <d v="2015-01-16T00:00:00"/>
    <x v="2"/>
    <x v="1"/>
    <s v="I"/>
    <x v="4"/>
    <x v="0"/>
    <x v="13"/>
    <s v="João Pedro Rodrigues"/>
    <x v="170"/>
    <x v="1"/>
    <x v="0"/>
    <x v="1"/>
    <x v="0"/>
    <d v="2013-09-15T00:00:00"/>
    <d v="1899-12-30T00:00:00"/>
  </r>
  <r>
    <n v="544"/>
    <x v="0"/>
    <x v="141"/>
    <x v="448"/>
    <n v="12985"/>
    <x v="270"/>
    <m/>
    <m/>
    <x v="1"/>
    <d v="2011-01-03T00:00:00"/>
    <x v="1"/>
    <d v="2011-09-07T00:00:00"/>
    <d v="2013-01-23T00:00:00"/>
    <x v="11"/>
    <x v="0"/>
    <x v="0"/>
    <x v="3"/>
    <x v="0"/>
    <m/>
    <d v="2013-02-11T00:00:00"/>
    <x v="9"/>
    <m/>
    <n v="9000"/>
    <x v="0"/>
    <x v="0"/>
    <n v="54000"/>
    <m/>
    <x v="1"/>
    <n v="0"/>
    <x v="0"/>
    <x v="0"/>
    <d v="2013-07-06T00:00:00"/>
    <d v="2013-07-10T00:00:00"/>
    <x v="0"/>
    <d v="2014-05-08T00:00:00"/>
    <x v="0"/>
    <d v="2014-06-09T00:00:00"/>
    <x v="2"/>
    <x v="13"/>
    <s v="C"/>
    <x v="4"/>
    <x v="0"/>
    <x v="237"/>
    <s v="Tiago Guedes"/>
    <x v="171"/>
    <x v="1"/>
    <x v="0"/>
    <x v="1"/>
    <x v="0"/>
    <d v="2013-07-06T00:00:00"/>
    <d v="2013-07-10T00:00:00"/>
  </r>
  <r>
    <n v="545"/>
    <x v="0"/>
    <x v="23"/>
    <x v="449"/>
    <n v="12468"/>
    <x v="271"/>
    <m/>
    <m/>
    <x v="1"/>
    <d v="2011-01-03T00:00:00"/>
    <x v="1"/>
    <d v="2011-09-07T00:00:00"/>
    <d v="2013-01-23T00:00:00"/>
    <x v="11"/>
    <x v="0"/>
    <x v="0"/>
    <x v="3"/>
    <x v="0"/>
    <m/>
    <d v="2013-02-11T00:00:00"/>
    <x v="52"/>
    <m/>
    <n v="8600"/>
    <x v="0"/>
    <x v="0"/>
    <n v="51600"/>
    <n v="2150"/>
    <x v="13"/>
    <n v="10750"/>
    <x v="4"/>
    <x v="0"/>
    <d v="2013-03-24T00:00:00"/>
    <d v="2013-04-02T00:00:00"/>
    <x v="1"/>
    <d v="2013-07-12T00:00:00"/>
    <x v="0"/>
    <d v="2013-09-03T00:00:00"/>
    <x v="2"/>
    <x v="9"/>
    <s v="R"/>
    <x v="1"/>
    <x v="0"/>
    <x v="238"/>
    <s v="Telmo Churro"/>
    <x v="163"/>
    <x v="3"/>
    <x v="0"/>
    <x v="1"/>
    <x v="0"/>
    <d v="2013-03-24T00:00:00"/>
    <d v="2013-04-02T00:00:00"/>
  </r>
  <r>
    <n v="546"/>
    <x v="0"/>
    <x v="32"/>
    <x v="450"/>
    <n v="12971"/>
    <x v="272"/>
    <m/>
    <m/>
    <x v="1"/>
    <d v="2011-01-03T00:00:00"/>
    <x v="1"/>
    <d v="2011-09-07T00:00:00"/>
    <d v="2013-01-23T00:00:00"/>
    <x v="11"/>
    <x v="0"/>
    <x v="0"/>
    <x v="3"/>
    <x v="0"/>
    <m/>
    <d v="2013-02-28T00:00:00"/>
    <x v="52"/>
    <m/>
    <n v="8600"/>
    <x v="0"/>
    <x v="0"/>
    <n v="51600"/>
    <n v="4300"/>
    <x v="1"/>
    <n v="4300"/>
    <x v="0"/>
    <x v="0"/>
    <d v="2013-09-02T00:00:00"/>
    <d v="2013-10-03T00:00:00"/>
    <x v="0"/>
    <d v="2014-04-30T00:00:00"/>
    <x v="0"/>
    <d v="2014-08-06T00:00:00"/>
    <x v="2"/>
    <x v="13"/>
    <s v="P"/>
    <x v="4"/>
    <x v="0"/>
    <x v="239"/>
    <s v="André Godinho"/>
    <x v="172"/>
    <x v="1"/>
    <x v="0"/>
    <x v="1"/>
    <x v="0"/>
    <d v="2013-09-02T00:00:00"/>
    <d v="2013-10-03T00:00:00"/>
  </r>
  <r>
    <n v="547"/>
    <x v="0"/>
    <x v="4"/>
    <x v="451"/>
    <n v="12430"/>
    <x v="273"/>
    <m/>
    <m/>
    <x v="1"/>
    <d v="2011-01-03T00:00:00"/>
    <x v="1"/>
    <d v="2011-09-07T00:00:00"/>
    <d v="2013-01-23T00:00:00"/>
    <x v="11"/>
    <x v="0"/>
    <x v="0"/>
    <x v="3"/>
    <x v="0"/>
    <m/>
    <d v="2013-02-18T00:00:00"/>
    <x v="11"/>
    <m/>
    <n v="8400"/>
    <x v="0"/>
    <x v="0"/>
    <n v="50400"/>
    <m/>
    <x v="1"/>
    <n v="0"/>
    <x v="0"/>
    <x v="0"/>
    <d v="2013-03-05T00:00:00"/>
    <d v="2013-03-15T00:00:00"/>
    <x v="24"/>
    <d v="2013-08-02T00:00:00"/>
    <x v="0"/>
    <d v="2013-12-05T00:00:00"/>
    <x v="2"/>
    <x v="1"/>
    <s v="L"/>
    <x v="1"/>
    <x v="0"/>
    <x v="227"/>
    <s v="André Marques"/>
    <x v="136"/>
    <x v="3"/>
    <x v="0"/>
    <x v="1"/>
    <x v="0"/>
    <d v="2013-03-05T00:00:00"/>
    <d v="2013-03-15T00:00:00"/>
  </r>
  <r>
    <n v="548"/>
    <x v="1"/>
    <x v="40"/>
    <x v="452"/>
    <m/>
    <x v="4"/>
    <m/>
    <m/>
    <x v="1"/>
    <d v="2011-01-03T00:00:00"/>
    <x v="1"/>
    <d v="2011-09-07T00:00:00"/>
    <d v="2013-01-23T00:00:00"/>
    <x v="11"/>
    <x v="0"/>
    <x v="0"/>
    <x v="3"/>
    <x v="0"/>
    <m/>
    <d v="2013-02-11T00:00:00"/>
    <x v="11"/>
    <m/>
    <n v="8400"/>
    <x v="0"/>
    <x v="0"/>
    <n v="50400"/>
    <n v="4200"/>
    <x v="14"/>
    <n v="12600"/>
    <x v="3"/>
    <x v="0"/>
    <d v="2013-10-11T00:00:00"/>
    <m/>
    <x v="0"/>
    <m/>
    <x v="0"/>
    <d v="2014-01-23T00:00:00"/>
    <x v="2"/>
    <x v="10"/>
    <s v="A"/>
    <x v="3"/>
    <x v="0"/>
    <x v="95"/>
    <s v=""/>
    <x v="4"/>
    <x v="2"/>
    <x v="0"/>
    <x v="1"/>
    <x v="0"/>
    <d v="2013-10-11T00:00:00"/>
    <d v="1899-12-30T00:00:00"/>
  </r>
  <r>
    <n v="549"/>
    <x v="0"/>
    <x v="40"/>
    <x v="453"/>
    <n v="12986"/>
    <x v="274"/>
    <m/>
    <m/>
    <x v="1"/>
    <d v="2011-01-03T00:00:00"/>
    <x v="1"/>
    <d v="2011-09-07T00:00:00"/>
    <d v="2013-01-23T00:00:00"/>
    <x v="11"/>
    <x v="0"/>
    <x v="0"/>
    <x v="3"/>
    <x v="0"/>
    <m/>
    <d v="2013-03-28T00:00:00"/>
    <x v="75"/>
    <m/>
    <n v="8000"/>
    <x v="0"/>
    <x v="0"/>
    <n v="48000"/>
    <m/>
    <x v="15"/>
    <n v="8000"/>
    <x v="4"/>
    <x v="0"/>
    <d v="2013-10-11T00:00:00"/>
    <d v="2013-12-31T00:00:00"/>
    <x v="0"/>
    <d v="2014-05-14T00:00:00"/>
    <x v="0"/>
    <d v="2014-06-09T00:00:00"/>
    <x v="2"/>
    <x v="10"/>
    <s v="C"/>
    <x v="4"/>
    <x v="0"/>
    <x v="63"/>
    <s v="Manuel Mozos"/>
    <x v="173"/>
    <x v="1"/>
    <x v="0"/>
    <x v="1"/>
    <x v="0"/>
    <d v="2013-10-11T00:00:00"/>
    <d v="2013-12-31T00:00:00"/>
  </r>
  <r>
    <n v="550"/>
    <x v="0"/>
    <x v="32"/>
    <x v="454"/>
    <n v="12521"/>
    <x v="275"/>
    <m/>
    <m/>
    <x v="1"/>
    <d v="2011-01-03T00:00:00"/>
    <x v="1"/>
    <d v="2011-09-07T00:00:00"/>
    <d v="2013-01-23T00:00:00"/>
    <x v="11"/>
    <x v="0"/>
    <x v="0"/>
    <x v="3"/>
    <x v="0"/>
    <m/>
    <m/>
    <x v="5"/>
    <m/>
    <n v="7800"/>
    <x v="0"/>
    <x v="0"/>
    <n v="46800"/>
    <m/>
    <x v="1"/>
    <n v="0"/>
    <x v="0"/>
    <x v="0"/>
    <d v="2012-08-01T00:00:00"/>
    <d v="2012-09-30T00:00:00"/>
    <x v="0"/>
    <d v="2013-03-12T00:00:00"/>
    <x v="0"/>
    <d v="2013-08-28T00:00:00"/>
    <x v="0"/>
    <x v="13"/>
    <s v="B"/>
    <x v="1"/>
    <x v="0"/>
    <x v="240"/>
    <s v="Pedro Pinho"/>
    <x v="166"/>
    <x v="0"/>
    <x v="0"/>
    <x v="0"/>
    <x v="0"/>
    <d v="2012-08-01T00:00:00"/>
    <d v="2012-09-30T00:00:00"/>
  </r>
  <r>
    <n v="551"/>
    <x v="0"/>
    <x v="4"/>
    <x v="455"/>
    <n v="13230"/>
    <x v="276"/>
    <m/>
    <m/>
    <x v="1"/>
    <d v="2011-01-03T00:00:00"/>
    <x v="1"/>
    <d v="2011-09-07T00:00:00"/>
    <d v="2013-01-23T00:00:00"/>
    <x v="11"/>
    <x v="0"/>
    <x v="0"/>
    <x v="3"/>
    <x v="0"/>
    <m/>
    <d v="2013-02-28T00:00:00"/>
    <x v="5"/>
    <m/>
    <n v="7800"/>
    <x v="0"/>
    <x v="0"/>
    <n v="46800"/>
    <m/>
    <x v="1"/>
    <n v="0"/>
    <x v="0"/>
    <x v="0"/>
    <d v="2013-11-01T00:00:00"/>
    <d v="2013-12-30T00:00:00"/>
    <x v="0"/>
    <d v="2014-09-10T00:00:00"/>
    <x v="0"/>
    <d v="2014-10-06T00:00:00"/>
    <x v="2"/>
    <x v="1"/>
    <s v="C"/>
    <x v="4"/>
    <x v="0"/>
    <x v="241"/>
    <s v="Jorge Quintela"/>
    <x v="88"/>
    <x v="1"/>
    <x v="0"/>
    <x v="1"/>
    <x v="0"/>
    <d v="2013-11-01T00:00:00"/>
    <d v="2013-12-30T00:00:00"/>
  </r>
  <r>
    <n v="552"/>
    <x v="1"/>
    <x v="32"/>
    <x v="456"/>
    <m/>
    <x v="4"/>
    <m/>
    <m/>
    <x v="1"/>
    <d v="2011-01-03T00:00:00"/>
    <x v="1"/>
    <d v="2011-09-07T00:00:00"/>
    <d v="2013-01-23T00:00:00"/>
    <x v="11"/>
    <x v="0"/>
    <x v="0"/>
    <x v="3"/>
    <x v="0"/>
    <m/>
    <d v="2013-02-28T00:00:00"/>
    <x v="5"/>
    <m/>
    <n v="7800"/>
    <x v="0"/>
    <x v="0"/>
    <n v="46800"/>
    <n v="11500"/>
    <x v="16"/>
    <n v="19300"/>
    <x v="3"/>
    <x v="0"/>
    <d v="2014-07-25T00:00:00"/>
    <m/>
    <x v="0"/>
    <m/>
    <x v="0"/>
    <d v="2014-08-06T00:00:00"/>
    <x v="2"/>
    <x v="13"/>
    <s v="P"/>
    <x v="3"/>
    <x v="0"/>
    <x v="198"/>
    <s v=""/>
    <x v="4"/>
    <x v="2"/>
    <x v="0"/>
    <x v="1"/>
    <x v="0"/>
    <d v="2014-07-25T00:00:00"/>
    <d v="1899-12-30T00:00:00"/>
  </r>
  <r>
    <n v="553"/>
    <x v="0"/>
    <x v="13"/>
    <x v="457"/>
    <n v="12652"/>
    <x v="277"/>
    <m/>
    <m/>
    <x v="1"/>
    <d v="2011-01-03T00:00:00"/>
    <x v="1"/>
    <d v="2011-09-07T00:00:00"/>
    <d v="2013-01-23T00:00:00"/>
    <x v="11"/>
    <x v="0"/>
    <x v="0"/>
    <x v="3"/>
    <x v="0"/>
    <m/>
    <d v="2013-01-31T00:00:00"/>
    <x v="192"/>
    <m/>
    <n v="7600"/>
    <x v="0"/>
    <x v="0"/>
    <n v="45600"/>
    <m/>
    <x v="1"/>
    <n v="0"/>
    <x v="0"/>
    <x v="0"/>
    <d v="2013-05-27T00:00:00"/>
    <d v="2013-06-01T00:00:00"/>
    <x v="1"/>
    <d v="2013-12-27T00:00:00"/>
    <x v="0"/>
    <d v="2014-01-20T00:00:00"/>
    <x v="2"/>
    <x v="4"/>
    <s v="J"/>
    <x v="1"/>
    <x v="0"/>
    <x v="242"/>
    <s v="Francisco Rebelo"/>
    <x v="174"/>
    <x v="3"/>
    <x v="0"/>
    <x v="1"/>
    <x v="0"/>
    <d v="2013-05-27T00:00:00"/>
    <d v="2013-06-01T00:00:00"/>
  </r>
  <r>
    <n v="554"/>
    <x v="0"/>
    <x v="142"/>
    <x v="458"/>
    <n v="13271"/>
    <x v="278"/>
    <m/>
    <m/>
    <x v="0"/>
    <d v="2011-01-03T00:00:00"/>
    <x v="1"/>
    <d v="2011-06-01T00:00:00"/>
    <d v="2013-01-23T00:00:00"/>
    <x v="11"/>
    <x v="0"/>
    <x v="0"/>
    <x v="4"/>
    <x v="0"/>
    <m/>
    <d v="2013-02-08T00:00:00"/>
    <x v="80"/>
    <m/>
    <n v="10000"/>
    <x v="0"/>
    <x v="0"/>
    <n v="60000"/>
    <m/>
    <x v="1"/>
    <n v="0"/>
    <x v="0"/>
    <x v="0"/>
    <d v="2013-09-16T00:00:00"/>
    <d v="2013-09-29T00:00:00"/>
    <x v="25"/>
    <d v="2014-10-20T00:00:00"/>
    <x v="0"/>
    <d v="2015-01-16T00:00:00"/>
    <x v="3"/>
    <x v="0"/>
    <s v="E"/>
    <x v="4"/>
    <x v="0"/>
    <x v="243"/>
    <s v="Luís Alves de Matos"/>
    <x v="79"/>
    <x v="1"/>
    <x v="2"/>
    <x v="1"/>
    <x v="0"/>
    <d v="2013-09-16T00:00:00"/>
    <d v="2013-09-29T00:00:00"/>
  </r>
  <r>
    <n v="555"/>
    <x v="1"/>
    <x v="126"/>
    <x v="459"/>
    <m/>
    <x v="4"/>
    <m/>
    <m/>
    <x v="0"/>
    <d v="2011-01-03T00:00:00"/>
    <x v="1"/>
    <d v="2011-06-01T00:00:00"/>
    <d v="2013-01-23T00:00:00"/>
    <x v="11"/>
    <x v="0"/>
    <x v="0"/>
    <x v="4"/>
    <x v="0"/>
    <m/>
    <d v="2013-05-31T00:00:00"/>
    <x v="33"/>
    <m/>
    <n v="12000"/>
    <x v="0"/>
    <x v="0"/>
    <n v="72000"/>
    <n v="30000"/>
    <x v="17"/>
    <n v="42000"/>
    <x v="1"/>
    <x v="0"/>
    <d v="2013-11-25T00:00:00"/>
    <m/>
    <x v="0"/>
    <m/>
    <x v="0"/>
    <d v="2014-08-06T00:00:00"/>
    <x v="3"/>
    <x v="22"/>
    <s v="S"/>
    <x v="3"/>
    <x v="0"/>
    <x v="199"/>
    <s v=""/>
    <x v="4"/>
    <x v="2"/>
    <x v="2"/>
    <x v="0"/>
    <x v="0"/>
    <d v="2013-11-25T00:00:00"/>
    <d v="1899-12-30T00:00:00"/>
  </r>
  <r>
    <n v="556"/>
    <x v="1"/>
    <x v="23"/>
    <x v="460"/>
    <m/>
    <x v="4"/>
    <m/>
    <m/>
    <x v="0"/>
    <d v="2011-01-03T00:00:00"/>
    <x v="1"/>
    <d v="2011-06-01T00:00:00"/>
    <d v="2013-01-23T00:00:00"/>
    <x v="11"/>
    <x v="0"/>
    <x v="0"/>
    <x v="4"/>
    <x v="0"/>
    <m/>
    <m/>
    <x v="9"/>
    <m/>
    <n v="9000"/>
    <x v="0"/>
    <x v="0"/>
    <n v="54000"/>
    <n v="45000"/>
    <x v="3"/>
    <n v="54000"/>
    <x v="5"/>
    <x v="0"/>
    <m/>
    <m/>
    <x v="0"/>
    <m/>
    <x v="0"/>
    <d v="2013-09-03T00:00:00"/>
    <x v="3"/>
    <x v="9"/>
    <s v="F"/>
    <x v="3"/>
    <x v="0"/>
    <x v="112"/>
    <s v=""/>
    <x v="4"/>
    <x v="2"/>
    <x v="2"/>
    <x v="0"/>
    <x v="0"/>
    <d v="1899-12-30T00:00:00"/>
    <d v="1899-12-30T00:00:00"/>
  </r>
  <r>
    <n v="557"/>
    <x v="1"/>
    <x v="136"/>
    <x v="461"/>
    <m/>
    <x v="4"/>
    <m/>
    <m/>
    <x v="0"/>
    <d v="2011-01-03T00:00:00"/>
    <x v="1"/>
    <d v="2011-06-01T00:00:00"/>
    <d v="2013-01-23T00:00:00"/>
    <x v="11"/>
    <x v="0"/>
    <x v="0"/>
    <x v="4"/>
    <x v="0"/>
    <m/>
    <d v="2013-02-28T00:00:00"/>
    <x v="181"/>
    <m/>
    <n v="11200"/>
    <x v="0"/>
    <x v="0"/>
    <n v="67200"/>
    <n v="5600"/>
    <x v="18"/>
    <n v="16800"/>
    <x v="3"/>
    <x v="0"/>
    <d v="2013-03-12T00:00:00"/>
    <m/>
    <x v="0"/>
    <m/>
    <x v="0"/>
    <d v="2014-01-23T00:00:00"/>
    <x v="3"/>
    <x v="0"/>
    <s v="J"/>
    <x v="3"/>
    <x v="0"/>
    <x v="234"/>
    <s v=""/>
    <x v="4"/>
    <x v="2"/>
    <x v="2"/>
    <x v="0"/>
    <x v="0"/>
    <d v="2013-03-12T00:00:00"/>
    <d v="1899-12-30T00:00:00"/>
  </r>
  <r>
    <n v="558"/>
    <x v="0"/>
    <x v="23"/>
    <x v="462"/>
    <n v="13270"/>
    <x v="279"/>
    <m/>
    <m/>
    <x v="0"/>
    <d v="2011-01-03T00:00:00"/>
    <x v="1"/>
    <d v="2011-06-01T00:00:00"/>
    <d v="2013-01-23T00:00:00"/>
    <x v="11"/>
    <x v="0"/>
    <x v="0"/>
    <x v="4"/>
    <x v="0"/>
    <m/>
    <d v="2013-02-11T00:00:00"/>
    <x v="9"/>
    <m/>
    <n v="9000"/>
    <x v="0"/>
    <x v="0"/>
    <n v="54000"/>
    <n v="2250"/>
    <x v="1"/>
    <n v="2250"/>
    <x v="4"/>
    <x v="0"/>
    <d v="2011-12-01T00:00:00"/>
    <d v="2013-01-31T00:00:00"/>
    <x v="0"/>
    <d v="2014-10-20T00:00:00"/>
    <x v="0"/>
    <d v="2014-11-06T00:00:00"/>
    <x v="3"/>
    <x v="9"/>
    <s v="V"/>
    <x v="4"/>
    <x v="0"/>
    <x v="244"/>
    <s v="João Pedro Plácido"/>
    <x v="126"/>
    <x v="1"/>
    <x v="2"/>
    <x v="0"/>
    <x v="0"/>
    <d v="2011-12-01T00:00:00"/>
    <d v="2013-01-31T00:00:00"/>
  </r>
  <r>
    <n v="559"/>
    <x v="1"/>
    <x v="132"/>
    <x v="463"/>
    <m/>
    <x v="4"/>
    <m/>
    <s v="Arvore dos Sonhos"/>
    <x v="0"/>
    <d v="2011-01-03T00:00:00"/>
    <x v="1"/>
    <d v="2011-06-01T00:00:00"/>
    <d v="2013-01-23T00:00:00"/>
    <x v="11"/>
    <x v="0"/>
    <x v="0"/>
    <x v="4"/>
    <x v="0"/>
    <m/>
    <d v="2013-02-11T00:00:00"/>
    <x v="55"/>
    <m/>
    <n v="8800"/>
    <x v="0"/>
    <x v="0"/>
    <n v="52800"/>
    <n v="4400"/>
    <x v="19"/>
    <n v="13200"/>
    <x v="3"/>
    <x v="0"/>
    <d v="2013-04-14T00:00:00"/>
    <m/>
    <x v="0"/>
    <m/>
    <x v="0"/>
    <d v="2014-07-07T00:00:00"/>
    <x v="3"/>
    <x v="7"/>
    <s v="A"/>
    <x v="3"/>
    <x v="0"/>
    <x v="203"/>
    <s v=""/>
    <x v="4"/>
    <x v="2"/>
    <x v="2"/>
    <x v="1"/>
    <x v="0"/>
    <d v="2013-04-14T00:00:00"/>
    <d v="1899-12-30T00:00:00"/>
  </r>
  <r>
    <n v="560"/>
    <x v="0"/>
    <x v="130"/>
    <x v="464"/>
    <n v="6971"/>
    <x v="280"/>
    <m/>
    <m/>
    <x v="0"/>
    <d v="2006-05-29T00:00:00"/>
    <x v="4"/>
    <m/>
    <d v="2006-10-04T00:00:00"/>
    <x v="4"/>
    <x v="0"/>
    <x v="0"/>
    <x v="0"/>
    <x v="0"/>
    <d v="2006-11-02T00:00:00"/>
    <d v="2007-08-10T00:00:00"/>
    <x v="23"/>
    <m/>
    <n v="97500"/>
    <x v="0"/>
    <x v="0"/>
    <n v="747500"/>
    <m/>
    <x v="1"/>
    <n v="0"/>
    <x v="0"/>
    <x v="0"/>
    <d v="2007-11-04T00:00:00"/>
    <m/>
    <x v="0"/>
    <d v="2008-08-20T00:00:00"/>
    <x v="0"/>
    <d v="2013-01-24T00:00:00"/>
    <x v="0"/>
    <x v="4"/>
    <s v="A"/>
    <x v="13"/>
    <x v="0"/>
    <x v="35"/>
    <s v="João Botelho"/>
    <x v="175"/>
    <x v="14"/>
    <x v="0"/>
    <x v="0"/>
    <x v="0"/>
    <d v="2007-11-04T00:00:00"/>
    <d v="1899-12-30T00:00:00"/>
  </r>
  <r>
    <n v="561"/>
    <x v="0"/>
    <x v="31"/>
    <x v="465"/>
    <n v="4905"/>
    <x v="281"/>
    <m/>
    <m/>
    <x v="2"/>
    <d v="2006-11-15T00:00:00"/>
    <x v="4"/>
    <m/>
    <d v="2007-05-10T00:00:00"/>
    <x v="3"/>
    <x v="0"/>
    <x v="0"/>
    <x v="0"/>
    <x v="0"/>
    <d v="2007-05-10T00:00:00"/>
    <d v="2007-06-22T00:00:00"/>
    <x v="23"/>
    <m/>
    <m/>
    <x v="0"/>
    <x v="0"/>
    <n v="650000"/>
    <m/>
    <x v="1"/>
    <n v="0"/>
    <x v="0"/>
    <x v="0"/>
    <m/>
    <m/>
    <x v="0"/>
    <d v="2007-12-18T00:00:00"/>
    <x v="0"/>
    <d v="2013-01-24T00:00:00"/>
    <x v="0"/>
    <x v="12"/>
    <s v="O"/>
    <x v="14"/>
    <x v="0"/>
    <x v="66"/>
    <s v="Leonel Vieira"/>
    <x v="159"/>
    <x v="8"/>
    <x v="0"/>
    <x v="0"/>
    <x v="0"/>
    <d v="1899-12-30T00:00:00"/>
    <d v="1899-12-30T00:00:00"/>
  </r>
  <r>
    <n v="562"/>
    <x v="0"/>
    <x v="52"/>
    <x v="466"/>
    <n v="6961"/>
    <x v="282"/>
    <m/>
    <s v="Simão Botelho"/>
    <x v="2"/>
    <d v="2006-11-15T00:00:00"/>
    <x v="4"/>
    <m/>
    <d v="2007-05-10T00:00:00"/>
    <x v="3"/>
    <x v="0"/>
    <x v="0"/>
    <x v="0"/>
    <x v="0"/>
    <d v="2007-05-10T00:00:00"/>
    <d v="2007-06-18T00:00:00"/>
    <x v="23"/>
    <m/>
    <n v="97500"/>
    <x v="0"/>
    <x v="0"/>
    <n v="747500"/>
    <m/>
    <x v="1"/>
    <n v="0"/>
    <x v="0"/>
    <x v="0"/>
    <d v="2007-06-25T00:00:00"/>
    <m/>
    <x v="0"/>
    <d v="2008-06-15T00:00:00"/>
    <x v="0"/>
    <d v="2013-01-24T00:00:00"/>
    <x v="0"/>
    <x v="2"/>
    <s v="U"/>
    <x v="13"/>
    <x v="0"/>
    <x v="245"/>
    <s v="Mário Barroso"/>
    <x v="134"/>
    <x v="14"/>
    <x v="0"/>
    <x v="0"/>
    <x v="0"/>
    <d v="2007-06-25T00:00:00"/>
    <d v="1899-12-30T00:00:00"/>
  </r>
  <r>
    <n v="563"/>
    <x v="0"/>
    <x v="19"/>
    <x v="467"/>
    <n v="5177"/>
    <x v="283"/>
    <m/>
    <m/>
    <x v="0"/>
    <d v="2006-05-29T00:00:00"/>
    <x v="4"/>
    <m/>
    <d v="2006-10-04T00:00:00"/>
    <x v="4"/>
    <x v="0"/>
    <x v="0"/>
    <x v="0"/>
    <x v="0"/>
    <d v="2006-11-20T00:00:00"/>
    <d v="2007-06-19T00:00:00"/>
    <x v="23"/>
    <m/>
    <m/>
    <x v="0"/>
    <x v="0"/>
    <n v="650000"/>
    <m/>
    <x v="1"/>
    <n v="0"/>
    <x v="0"/>
    <x v="0"/>
    <m/>
    <m/>
    <x v="0"/>
    <d v="2007-12-13T00:00:00"/>
    <x v="0"/>
    <d v="2013-01-24T00:00:00"/>
    <x v="0"/>
    <x v="8"/>
    <s v="C"/>
    <x v="14"/>
    <x v="0"/>
    <x v="43"/>
    <s v="António-Pedro Vasconcelos"/>
    <x v="176"/>
    <x v="8"/>
    <x v="0"/>
    <x v="0"/>
    <x v="0"/>
    <d v="1899-12-30T00:00:00"/>
    <d v="1899-12-30T00:00:00"/>
  </r>
  <r>
    <n v="564"/>
    <x v="0"/>
    <x v="6"/>
    <x v="232"/>
    <n v="10951"/>
    <x v="284"/>
    <m/>
    <m/>
    <x v="1"/>
    <d v="2006-03-22T00:00:00"/>
    <x v="4"/>
    <m/>
    <d v="2006-08-11T00:00:00"/>
    <x v="4"/>
    <x v="0"/>
    <x v="0"/>
    <x v="11"/>
    <x v="0"/>
    <d v="2006-12-13T00:00:00"/>
    <d v="2007-09-12T00:00:00"/>
    <x v="21"/>
    <m/>
    <n v="67500"/>
    <x v="0"/>
    <x v="0"/>
    <n v="517500"/>
    <m/>
    <x v="1"/>
    <n v="0"/>
    <x v="0"/>
    <x v="0"/>
    <d v="2007-09-30T00:00:00"/>
    <m/>
    <x v="0"/>
    <d v="2009-04-27T00:00:00"/>
    <x v="0"/>
    <d v="2013-01-24T00:00:00"/>
    <x v="0"/>
    <x v="2"/>
    <s v="E"/>
    <x v="6"/>
    <x v="0"/>
    <x v="246"/>
    <s v="Paulo Rebelo"/>
    <x v="16"/>
    <x v="6"/>
    <x v="0"/>
    <x v="0"/>
    <x v="0"/>
    <d v="2007-09-30T00:00:00"/>
    <d v="1899-12-30T00:00:00"/>
  </r>
  <r>
    <n v="565"/>
    <x v="0"/>
    <x v="23"/>
    <x v="468"/>
    <n v="7242"/>
    <x v="285"/>
    <m/>
    <m/>
    <x v="1"/>
    <d v="2006-03-22T00:00:00"/>
    <x v="4"/>
    <m/>
    <d v="2006-08-11T00:00:00"/>
    <x v="4"/>
    <x v="0"/>
    <x v="0"/>
    <x v="11"/>
    <x v="0"/>
    <d v="2006-10-19T00:00:00"/>
    <d v="2007-02-17T00:00:00"/>
    <x v="21"/>
    <m/>
    <n v="67500"/>
    <x v="0"/>
    <x v="0"/>
    <n v="517500"/>
    <m/>
    <x v="1"/>
    <n v="0"/>
    <x v="0"/>
    <x v="0"/>
    <m/>
    <m/>
    <x v="0"/>
    <d v="2008-05-21T00:00:00"/>
    <x v="0"/>
    <d v="2013-01-24T00:00:00"/>
    <x v="0"/>
    <x v="9"/>
    <s v="A"/>
    <x v="13"/>
    <x v="0"/>
    <x v="53"/>
    <s v="Sandro Aguilar"/>
    <x v="177"/>
    <x v="14"/>
    <x v="0"/>
    <x v="0"/>
    <x v="0"/>
    <d v="1899-12-30T00:00:00"/>
    <d v="1899-12-30T00:00:00"/>
  </r>
  <r>
    <n v="566"/>
    <x v="0"/>
    <x v="41"/>
    <x v="469"/>
    <m/>
    <x v="4"/>
    <m/>
    <m/>
    <x v="1"/>
    <d v="2006-08-22T00:00:00"/>
    <x v="4"/>
    <m/>
    <d v="2006-11-21T00:00:00"/>
    <x v="4"/>
    <x v="0"/>
    <x v="0"/>
    <x v="10"/>
    <x v="0"/>
    <m/>
    <d v="2007-03-14T00:00:00"/>
    <x v="156"/>
    <m/>
    <m/>
    <x v="0"/>
    <x v="0"/>
    <n v="200000"/>
    <m/>
    <x v="1"/>
    <n v="0"/>
    <x v="7"/>
    <x v="0"/>
    <m/>
    <m/>
    <x v="0"/>
    <m/>
    <x v="0"/>
    <d v="2013-01-24T00:00:00"/>
    <x v="5"/>
    <x v="13"/>
    <s v="P"/>
    <x v="3"/>
    <x v="0"/>
    <x v="247"/>
    <s v=""/>
    <x v="4"/>
    <x v="2"/>
    <x v="4"/>
    <x v="3"/>
    <x v="0"/>
    <d v="1899-12-30T00:00:00"/>
    <d v="1899-12-30T00:00:00"/>
  </r>
  <r>
    <n v="567"/>
    <x v="0"/>
    <x v="52"/>
    <x v="470"/>
    <n v="4902"/>
    <x v="286"/>
    <m/>
    <m/>
    <x v="1"/>
    <d v="2006-08-22T00:00:00"/>
    <x v="4"/>
    <m/>
    <d v="2006-11-21T00:00:00"/>
    <x v="4"/>
    <x v="0"/>
    <x v="0"/>
    <x v="10"/>
    <x v="0"/>
    <m/>
    <d v="2006-11-22T00:00:00"/>
    <x v="156"/>
    <m/>
    <m/>
    <x v="0"/>
    <x v="0"/>
    <n v="200000"/>
    <m/>
    <x v="1"/>
    <n v="0"/>
    <x v="0"/>
    <x v="0"/>
    <m/>
    <m/>
    <x v="0"/>
    <d v="2006-11-24T00:00:00"/>
    <x v="0"/>
    <d v="2013-01-24T00:00:00"/>
    <x v="0"/>
    <x v="2"/>
    <s v="T"/>
    <x v="8"/>
    <x v="0"/>
    <x v="248"/>
    <s v="Paul Auster"/>
    <x v="111"/>
    <x v="8"/>
    <x v="0"/>
    <x v="0"/>
    <x v="0"/>
    <d v="1899-12-30T00:00:00"/>
    <d v="1899-12-30T00:00:00"/>
  </r>
  <r>
    <n v="568"/>
    <x v="0"/>
    <x v="109"/>
    <x v="471"/>
    <m/>
    <x v="4"/>
    <m/>
    <m/>
    <x v="1"/>
    <d v="2006-07-24T00:00:00"/>
    <x v="4"/>
    <m/>
    <d v="2006-12-13T00:00:00"/>
    <x v="4"/>
    <x v="0"/>
    <x v="0"/>
    <x v="6"/>
    <x v="0"/>
    <m/>
    <d v="2008-01-28T00:00:00"/>
    <x v="174"/>
    <m/>
    <m/>
    <x v="0"/>
    <x v="0"/>
    <n v="0"/>
    <m/>
    <x v="1"/>
    <n v="0"/>
    <x v="7"/>
    <x v="0"/>
    <m/>
    <m/>
    <x v="0"/>
    <m/>
    <x v="0"/>
    <d v="2013-01-24T00:00:00"/>
    <x v="5"/>
    <x v="21"/>
    <s v="A"/>
    <x v="3"/>
    <x v="0"/>
    <x v="249"/>
    <s v=""/>
    <x v="4"/>
    <x v="2"/>
    <x v="4"/>
    <x v="3"/>
    <x v="0"/>
    <d v="1899-12-30T00:00:00"/>
    <d v="1899-12-30T00:00:00"/>
  </r>
  <r>
    <n v="569"/>
    <x v="0"/>
    <x v="13"/>
    <x v="472"/>
    <m/>
    <x v="4"/>
    <m/>
    <m/>
    <x v="1"/>
    <d v="2006-07-24T00:00:00"/>
    <x v="4"/>
    <m/>
    <d v="2006-12-13T00:00:00"/>
    <x v="4"/>
    <x v="0"/>
    <x v="0"/>
    <x v="6"/>
    <x v="0"/>
    <m/>
    <m/>
    <x v="174"/>
    <m/>
    <m/>
    <x v="0"/>
    <x v="0"/>
    <n v="0"/>
    <m/>
    <x v="1"/>
    <n v="0"/>
    <x v="7"/>
    <x v="0"/>
    <m/>
    <m/>
    <x v="0"/>
    <m/>
    <x v="0"/>
    <d v="2013-01-24T00:00:00"/>
    <x v="5"/>
    <x v="4"/>
    <s v="E"/>
    <x v="3"/>
    <x v="0"/>
    <x v="250"/>
    <s v=""/>
    <x v="4"/>
    <x v="2"/>
    <x v="4"/>
    <x v="3"/>
    <x v="0"/>
    <d v="1899-12-30T00:00:00"/>
    <d v="1899-12-30T00:00:00"/>
  </r>
  <r>
    <n v="570"/>
    <x v="1"/>
    <x v="19"/>
    <x v="473"/>
    <m/>
    <x v="4"/>
    <m/>
    <m/>
    <x v="1"/>
    <d v="2006-07-24T00:00:00"/>
    <x v="4"/>
    <m/>
    <d v="2006-12-05T00:00:00"/>
    <x v="4"/>
    <x v="0"/>
    <x v="0"/>
    <x v="9"/>
    <x v="0"/>
    <m/>
    <m/>
    <x v="23"/>
    <m/>
    <m/>
    <x v="0"/>
    <x v="0"/>
    <n v="650000"/>
    <m/>
    <x v="1"/>
    <n v="0"/>
    <x v="7"/>
    <x v="0"/>
    <m/>
    <m/>
    <x v="0"/>
    <m/>
    <x v="0"/>
    <d v="2013-01-24T00:00:00"/>
    <x v="5"/>
    <x v="8"/>
    <s v="A"/>
    <x v="3"/>
    <x v="0"/>
    <x v="173"/>
    <s v=""/>
    <x v="4"/>
    <x v="2"/>
    <x v="4"/>
    <x v="3"/>
    <x v="0"/>
    <d v="1899-12-30T00:00:00"/>
    <d v="1899-12-30T00:00:00"/>
  </r>
  <r>
    <n v="571"/>
    <x v="0"/>
    <x v="52"/>
    <x v="474"/>
    <n v="6242"/>
    <x v="287"/>
    <m/>
    <m/>
    <x v="1"/>
    <d v="2006-07-24T00:00:00"/>
    <x v="4"/>
    <m/>
    <d v="2006-12-05T00:00:00"/>
    <x v="4"/>
    <x v="0"/>
    <x v="0"/>
    <x v="9"/>
    <x v="0"/>
    <m/>
    <d v="2006-12-06T00:00:00"/>
    <x v="23"/>
    <m/>
    <n v="97500"/>
    <x v="0"/>
    <x v="0"/>
    <n v="747500"/>
    <m/>
    <x v="1"/>
    <n v="0"/>
    <x v="0"/>
    <x v="0"/>
    <m/>
    <m/>
    <x v="0"/>
    <d v="2008-09-15T00:00:00"/>
    <x v="0"/>
    <d v="2013-01-24T00:00:00"/>
    <x v="0"/>
    <x v="2"/>
    <s v="E"/>
    <x v="13"/>
    <x v="0"/>
    <x v="251"/>
    <s v="Tiago Guedes, Frederico Serra"/>
    <x v="178"/>
    <x v="14"/>
    <x v="0"/>
    <x v="0"/>
    <x v="0"/>
    <d v="1899-12-30T00:00:00"/>
    <d v="1899-12-30T00:00:00"/>
  </r>
  <r>
    <n v="572"/>
    <x v="0"/>
    <x v="28"/>
    <x v="475"/>
    <n v="11721"/>
    <x v="288"/>
    <m/>
    <m/>
    <x v="0"/>
    <d v="2006-04-13T00:00:00"/>
    <x v="4"/>
    <d v="2006-05-17T00:00:00"/>
    <d v="2006-11-03T00:00:00"/>
    <x v="4"/>
    <x v="0"/>
    <x v="0"/>
    <x v="4"/>
    <x v="0"/>
    <m/>
    <d v="2006-12-12T00:00:00"/>
    <x v="80"/>
    <m/>
    <n v="7500"/>
    <x v="0"/>
    <x v="0"/>
    <n v="57500"/>
    <m/>
    <x v="1"/>
    <n v="0"/>
    <x v="0"/>
    <x v="0"/>
    <m/>
    <m/>
    <x v="0"/>
    <d v="2007-09-11T00:00:00"/>
    <x v="0"/>
    <d v="2013-01-24T00:00:00"/>
    <x v="3"/>
    <x v="11"/>
    <s v="A"/>
    <x v="14"/>
    <x v="0"/>
    <x v="252"/>
    <s v="António Escudeiro"/>
    <x v="60"/>
    <x v="8"/>
    <x v="2"/>
    <x v="1"/>
    <x v="0"/>
    <d v="1899-12-30T00:00:00"/>
    <d v="1899-12-30T00:00:00"/>
  </r>
  <r>
    <n v="573"/>
    <x v="0"/>
    <x v="109"/>
    <x v="476"/>
    <m/>
    <x v="4"/>
    <m/>
    <m/>
    <x v="0"/>
    <d v="2006-04-13T00:00:00"/>
    <x v="4"/>
    <d v="2006-05-17T00:00:00"/>
    <d v="2006-11-03T00:00:00"/>
    <x v="4"/>
    <x v="0"/>
    <x v="0"/>
    <x v="4"/>
    <x v="0"/>
    <m/>
    <m/>
    <x v="80"/>
    <m/>
    <m/>
    <x v="0"/>
    <x v="0"/>
    <n v="50000"/>
    <m/>
    <x v="1"/>
    <n v="0"/>
    <x v="7"/>
    <x v="0"/>
    <m/>
    <m/>
    <x v="0"/>
    <m/>
    <x v="0"/>
    <m/>
    <x v="5"/>
    <x v="21"/>
    <s v="V"/>
    <x v="3"/>
    <x v="0"/>
    <x v="108"/>
    <s v=""/>
    <x v="4"/>
    <x v="2"/>
    <x v="4"/>
    <x v="3"/>
    <x v="0"/>
    <d v="1899-12-30T00:00:00"/>
    <d v="1899-12-30T00:00:00"/>
  </r>
  <r>
    <n v="574"/>
    <x v="0"/>
    <x v="136"/>
    <x v="477"/>
    <n v="11887"/>
    <x v="289"/>
    <m/>
    <m/>
    <x v="2"/>
    <d v="2006-09-22T00:00:00"/>
    <x v="4"/>
    <d v="2006-11-03T00:00:00"/>
    <d v="2007-04-19T00:00:00"/>
    <x v="3"/>
    <x v="0"/>
    <x v="0"/>
    <x v="4"/>
    <x v="0"/>
    <m/>
    <d v="2007-07-12T00:00:00"/>
    <x v="80"/>
    <m/>
    <n v="7500"/>
    <x v="0"/>
    <x v="0"/>
    <n v="57500"/>
    <m/>
    <x v="1"/>
    <n v="0"/>
    <x v="0"/>
    <x v="0"/>
    <m/>
    <m/>
    <x v="0"/>
    <d v="2008-04-11T00:00:00"/>
    <x v="9"/>
    <m/>
    <x v="3"/>
    <x v="0"/>
    <s v="Á"/>
    <x v="13"/>
    <x v="0"/>
    <x v="234"/>
    <s v="Jorge Silva Melo"/>
    <x v="82"/>
    <x v="14"/>
    <x v="2"/>
    <x v="1"/>
    <x v="0"/>
    <d v="1899-12-30T00:00:00"/>
    <d v="1899-12-30T00:00:00"/>
  </r>
  <r>
    <n v="575"/>
    <x v="0"/>
    <x v="28"/>
    <x v="478"/>
    <n v="7963"/>
    <x v="290"/>
    <m/>
    <m/>
    <x v="2"/>
    <d v="2006-09-22T00:00:00"/>
    <x v="4"/>
    <d v="2006-11-03T00:00:00"/>
    <d v="2007-04-19T00:00:00"/>
    <x v="3"/>
    <x v="0"/>
    <x v="0"/>
    <x v="4"/>
    <x v="0"/>
    <m/>
    <d v="2007-05-07T00:00:00"/>
    <x v="80"/>
    <m/>
    <n v="7500"/>
    <x v="0"/>
    <x v="0"/>
    <n v="57500"/>
    <m/>
    <x v="1"/>
    <n v="0"/>
    <x v="0"/>
    <x v="0"/>
    <m/>
    <m/>
    <x v="0"/>
    <d v="2008-09-16T00:00:00"/>
    <x v="10"/>
    <m/>
    <x v="3"/>
    <x v="11"/>
    <s v="R"/>
    <x v="13"/>
    <x v="0"/>
    <x v="61"/>
    <s v="Rui Simões"/>
    <x v="179"/>
    <x v="14"/>
    <x v="2"/>
    <x v="0"/>
    <x v="0"/>
    <d v="1899-12-30T00:00:00"/>
    <d v="1899-12-30T00:00:00"/>
  </r>
  <r>
    <n v="576"/>
    <x v="0"/>
    <x v="143"/>
    <x v="479"/>
    <n v="9152"/>
    <x v="291"/>
    <m/>
    <s v="Min Fan"/>
    <x v="2"/>
    <d v="2006-09-22T00:00:00"/>
    <x v="4"/>
    <d v="2006-11-03T00:00:00"/>
    <d v="2007-04-19T00:00:00"/>
    <x v="3"/>
    <x v="0"/>
    <x v="0"/>
    <x v="4"/>
    <x v="0"/>
    <m/>
    <d v="2007-12-17T00:00:00"/>
    <x v="80"/>
    <m/>
    <n v="75000"/>
    <x v="0"/>
    <x v="0"/>
    <n v="125000"/>
    <m/>
    <x v="1"/>
    <n v="0"/>
    <x v="0"/>
    <x v="0"/>
    <m/>
    <m/>
    <x v="0"/>
    <d v="2008-11-13T00:00:00"/>
    <x v="0"/>
    <m/>
    <x v="3"/>
    <x v="0"/>
    <s v="V"/>
    <x v="13"/>
    <x v="0"/>
    <x v="225"/>
    <s v="Ivo M. Ferreira"/>
    <x v="180"/>
    <x v="6"/>
    <x v="2"/>
    <x v="1"/>
    <x v="0"/>
    <d v="1899-12-30T00:00:00"/>
    <d v="1899-12-30T00:00:00"/>
  </r>
  <r>
    <n v="577"/>
    <x v="0"/>
    <x v="2"/>
    <x v="480"/>
    <n v="11815"/>
    <x v="292"/>
    <m/>
    <m/>
    <x v="1"/>
    <d v="2006-04-21T00:00:00"/>
    <x v="4"/>
    <d v="2006-06-08T00:00:00"/>
    <d v="2006-12-13T00:00:00"/>
    <x v="4"/>
    <x v="0"/>
    <x v="0"/>
    <x v="1"/>
    <x v="0"/>
    <d v="2007-03-07T00:00:00"/>
    <d v="2007-12-13T00:00:00"/>
    <x v="181"/>
    <m/>
    <n v="8400"/>
    <x v="0"/>
    <x v="0"/>
    <n v="64400"/>
    <m/>
    <x v="1"/>
    <n v="0"/>
    <x v="0"/>
    <x v="0"/>
    <m/>
    <m/>
    <x v="0"/>
    <d v="2008-12-10T00:00:00"/>
    <x v="0"/>
    <m/>
    <x v="1"/>
    <x v="0"/>
    <s v="D"/>
    <x v="13"/>
    <x v="0"/>
    <x v="253"/>
    <s v="Tiago Albuquerque, João Paulo Cotrim"/>
    <x v="181"/>
    <x v="14"/>
    <x v="1"/>
    <x v="1"/>
    <x v="0"/>
    <d v="1899-12-30T00:00:00"/>
    <d v="1899-12-30T00:00:00"/>
  </r>
  <r>
    <n v="578"/>
    <x v="0"/>
    <x v="109"/>
    <x v="266"/>
    <m/>
    <x v="4"/>
    <m/>
    <m/>
    <x v="1"/>
    <d v="2013-01-31T00:00:00"/>
    <x v="11"/>
    <d v="2013-04-10T00:00:00"/>
    <d v="2013-11-12T00:00:00"/>
    <x v="11"/>
    <x v="0"/>
    <x v="1"/>
    <x v="7"/>
    <x v="3"/>
    <m/>
    <m/>
    <x v="80"/>
    <m/>
    <m/>
    <x v="0"/>
    <x v="0"/>
    <n v="50000"/>
    <m/>
    <x v="1"/>
    <n v="0"/>
    <x v="10"/>
    <x v="0"/>
    <m/>
    <m/>
    <x v="0"/>
    <m/>
    <x v="0"/>
    <d v="2013-02-01T00:00:00"/>
    <x v="4"/>
    <x v="21"/>
    <s v="C"/>
    <x v="3"/>
    <x v="0"/>
    <x v="108"/>
    <s v=""/>
    <x v="4"/>
    <x v="2"/>
    <x v="3"/>
    <x v="3"/>
    <x v="0"/>
    <d v="1899-12-30T00:00:00"/>
    <d v="1899-12-30T00:00:00"/>
  </r>
  <r>
    <n v="579"/>
    <x v="0"/>
    <x v="109"/>
    <x v="266"/>
    <m/>
    <x v="4"/>
    <m/>
    <m/>
    <x v="1"/>
    <d v="2013-01-31T00:00:00"/>
    <x v="11"/>
    <d v="2013-06-19T00:00:00"/>
    <d v="2014-01-24T00:00:00"/>
    <x v="16"/>
    <x v="0"/>
    <x v="1"/>
    <x v="2"/>
    <x v="1"/>
    <m/>
    <m/>
    <x v="80"/>
    <m/>
    <m/>
    <x v="0"/>
    <x v="0"/>
    <n v="50000"/>
    <m/>
    <x v="1"/>
    <n v="0"/>
    <x v="10"/>
    <x v="0"/>
    <m/>
    <m/>
    <x v="0"/>
    <m/>
    <x v="0"/>
    <d v="2013-02-01T00:00:00"/>
    <x v="1"/>
    <x v="21"/>
    <s v="C"/>
    <x v="3"/>
    <x v="0"/>
    <x v="108"/>
    <s v=""/>
    <x v="4"/>
    <x v="2"/>
    <x v="1"/>
    <x v="3"/>
    <x v="0"/>
    <d v="1899-12-30T00:00:00"/>
    <d v="1899-12-30T00:00:00"/>
  </r>
  <r>
    <n v="580"/>
    <x v="0"/>
    <x v="109"/>
    <x v="266"/>
    <m/>
    <x v="4"/>
    <m/>
    <m/>
    <x v="1"/>
    <d v="2013-01-31T00:00:00"/>
    <x v="11"/>
    <d v="2013-03-13T00:00:00"/>
    <m/>
    <x v="8"/>
    <x v="0"/>
    <x v="1"/>
    <x v="5"/>
    <x v="2"/>
    <m/>
    <m/>
    <x v="80"/>
    <m/>
    <m/>
    <x v="0"/>
    <x v="0"/>
    <n v="50000"/>
    <m/>
    <x v="1"/>
    <n v="0"/>
    <x v="10"/>
    <x v="0"/>
    <m/>
    <m/>
    <x v="0"/>
    <m/>
    <x v="0"/>
    <d v="2013-02-01T00:00:00"/>
    <x v="3"/>
    <x v="21"/>
    <s v="C"/>
    <x v="3"/>
    <x v="0"/>
    <x v="108"/>
    <s v=""/>
    <x v="4"/>
    <x v="2"/>
    <x v="2"/>
    <x v="3"/>
    <x v="0"/>
    <d v="1899-12-30T00:00:00"/>
    <d v="1899-12-30T00:00:00"/>
  </r>
  <r>
    <n v="581"/>
    <x v="0"/>
    <x v="109"/>
    <x v="266"/>
    <m/>
    <x v="4"/>
    <m/>
    <m/>
    <x v="1"/>
    <d v="2013-01-31T00:00:00"/>
    <x v="11"/>
    <d v="2013-03-20T00:00:00"/>
    <d v="2013-10-18T00:00:00"/>
    <x v="11"/>
    <x v="0"/>
    <x v="0"/>
    <x v="0"/>
    <x v="0"/>
    <m/>
    <m/>
    <x v="193"/>
    <m/>
    <m/>
    <x v="0"/>
    <x v="0"/>
    <n v="2400000"/>
    <m/>
    <x v="1"/>
    <n v="0"/>
    <x v="10"/>
    <x v="0"/>
    <m/>
    <m/>
    <x v="0"/>
    <m/>
    <x v="0"/>
    <d v="2013-02-01T00:00:00"/>
    <x v="0"/>
    <x v="21"/>
    <s v="C"/>
    <x v="3"/>
    <x v="0"/>
    <x v="108"/>
    <s v=""/>
    <x v="4"/>
    <x v="2"/>
    <x v="0"/>
    <x v="0"/>
    <x v="0"/>
    <d v="1899-12-30T00:00:00"/>
    <d v="1899-12-30T00:00:00"/>
  </r>
  <r>
    <n v="582"/>
    <x v="0"/>
    <x v="109"/>
    <x v="266"/>
    <m/>
    <x v="4"/>
    <m/>
    <m/>
    <x v="1"/>
    <d v="2013-01-31T00:00:00"/>
    <x v="11"/>
    <d v="2013-03-06T00:00:00"/>
    <d v="2013-11-12T00:00:00"/>
    <x v="11"/>
    <x v="0"/>
    <x v="0"/>
    <x v="11"/>
    <x v="0"/>
    <m/>
    <m/>
    <x v="138"/>
    <m/>
    <m/>
    <x v="0"/>
    <x v="0"/>
    <n v="1000000"/>
    <m/>
    <x v="1"/>
    <n v="0"/>
    <x v="10"/>
    <x v="0"/>
    <m/>
    <m/>
    <x v="0"/>
    <m/>
    <x v="0"/>
    <d v="2013-02-01T00:00:00"/>
    <x v="0"/>
    <x v="21"/>
    <s v="C"/>
    <x v="3"/>
    <x v="0"/>
    <x v="108"/>
    <s v=""/>
    <x v="4"/>
    <x v="2"/>
    <x v="0"/>
    <x v="0"/>
    <x v="0"/>
    <d v="1899-12-30T00:00:00"/>
    <d v="1899-12-30T00:00:00"/>
  </r>
  <r>
    <n v="583"/>
    <x v="0"/>
    <x v="109"/>
    <x v="266"/>
    <m/>
    <x v="4"/>
    <m/>
    <m/>
    <x v="1"/>
    <d v="2013-01-31T00:00:00"/>
    <x v="11"/>
    <d v="2013-05-22T00:00:00"/>
    <d v="2013-11-12T00:00:00"/>
    <x v="11"/>
    <x v="0"/>
    <x v="0"/>
    <x v="12"/>
    <x v="0"/>
    <m/>
    <m/>
    <x v="139"/>
    <m/>
    <m/>
    <x v="0"/>
    <x v="0"/>
    <n v="1200000"/>
    <m/>
    <x v="1"/>
    <n v="0"/>
    <x v="10"/>
    <x v="0"/>
    <m/>
    <m/>
    <x v="0"/>
    <m/>
    <x v="0"/>
    <d v="2013-02-01T00:00:00"/>
    <x v="0"/>
    <x v="21"/>
    <s v="C"/>
    <x v="3"/>
    <x v="0"/>
    <x v="108"/>
    <s v=""/>
    <x v="4"/>
    <x v="2"/>
    <x v="0"/>
    <x v="0"/>
    <x v="0"/>
    <d v="1899-12-30T00:00:00"/>
    <d v="1899-12-30T00:00:00"/>
  </r>
  <r>
    <n v="584"/>
    <x v="0"/>
    <x v="109"/>
    <x v="266"/>
    <m/>
    <x v="4"/>
    <m/>
    <m/>
    <x v="1"/>
    <d v="2013-01-31T00:00:00"/>
    <x v="11"/>
    <d v="2013-06-26T00:00:00"/>
    <d v="2013-11-12T00:00:00"/>
    <x v="11"/>
    <x v="0"/>
    <x v="0"/>
    <x v="10"/>
    <x v="0"/>
    <m/>
    <m/>
    <x v="137"/>
    <m/>
    <m/>
    <x v="0"/>
    <x v="0"/>
    <n v="400000"/>
    <m/>
    <x v="1"/>
    <n v="0"/>
    <x v="10"/>
    <x v="0"/>
    <m/>
    <m/>
    <x v="0"/>
    <m/>
    <x v="0"/>
    <d v="2013-02-01T00:00:00"/>
    <x v="0"/>
    <x v="21"/>
    <s v="C"/>
    <x v="3"/>
    <x v="0"/>
    <x v="108"/>
    <s v=""/>
    <x v="4"/>
    <x v="2"/>
    <x v="0"/>
    <x v="0"/>
    <x v="0"/>
    <d v="1899-12-30T00:00:00"/>
    <d v="1899-12-30T00:00:00"/>
  </r>
  <r>
    <n v="585"/>
    <x v="0"/>
    <x v="109"/>
    <x v="266"/>
    <m/>
    <x v="4"/>
    <m/>
    <m/>
    <x v="1"/>
    <d v="2013-01-31T00:00:00"/>
    <x v="11"/>
    <d v="2013-07-03T00:00:00"/>
    <d v="2014-01-24T00:00:00"/>
    <x v="16"/>
    <x v="0"/>
    <x v="0"/>
    <x v="8"/>
    <x v="0"/>
    <m/>
    <m/>
    <x v="21"/>
    <m/>
    <m/>
    <x v="0"/>
    <x v="0"/>
    <n v="450000"/>
    <m/>
    <x v="1"/>
    <n v="0"/>
    <x v="10"/>
    <x v="0"/>
    <m/>
    <m/>
    <x v="0"/>
    <m/>
    <x v="0"/>
    <d v="2014-01-30T00:00:00"/>
    <x v="0"/>
    <x v="21"/>
    <s v="C"/>
    <x v="3"/>
    <x v="0"/>
    <x v="108"/>
    <s v=""/>
    <x v="4"/>
    <x v="2"/>
    <x v="0"/>
    <x v="0"/>
    <x v="0"/>
    <d v="1899-12-30T00:00:00"/>
    <d v="1899-12-30T00:00:00"/>
  </r>
  <r>
    <n v="586"/>
    <x v="0"/>
    <x v="109"/>
    <x v="266"/>
    <m/>
    <x v="4"/>
    <m/>
    <m/>
    <x v="1"/>
    <d v="2013-01-31T00:00:00"/>
    <x v="11"/>
    <d v="2013-07-03T00:00:00"/>
    <d v="2014-01-24T00:00:00"/>
    <x v="16"/>
    <x v="0"/>
    <x v="0"/>
    <x v="8"/>
    <x v="0"/>
    <m/>
    <m/>
    <x v="75"/>
    <m/>
    <m/>
    <x v="0"/>
    <x v="0"/>
    <n v="40000"/>
    <m/>
    <x v="1"/>
    <n v="0"/>
    <x v="10"/>
    <x v="0"/>
    <m/>
    <m/>
    <x v="0"/>
    <m/>
    <x v="0"/>
    <d v="2014-01-30T00:00:00"/>
    <x v="3"/>
    <x v="21"/>
    <s v="C"/>
    <x v="3"/>
    <x v="0"/>
    <x v="108"/>
    <s v=""/>
    <x v="4"/>
    <x v="2"/>
    <x v="2"/>
    <x v="3"/>
    <x v="0"/>
    <d v="1899-12-30T00:00:00"/>
    <d v="1899-12-30T00:00:00"/>
  </r>
  <r>
    <n v="587"/>
    <x v="0"/>
    <x v="109"/>
    <x v="266"/>
    <m/>
    <x v="4"/>
    <m/>
    <m/>
    <x v="1"/>
    <d v="2013-01-31T00:00:00"/>
    <x v="11"/>
    <d v="2013-05-29T00:00:00"/>
    <d v="2014-01-24T00:00:00"/>
    <x v="16"/>
    <x v="0"/>
    <x v="0"/>
    <x v="3"/>
    <x v="0"/>
    <m/>
    <m/>
    <x v="0"/>
    <m/>
    <m/>
    <x v="0"/>
    <x v="0"/>
    <n v="600000"/>
    <m/>
    <x v="1"/>
    <n v="0"/>
    <x v="10"/>
    <x v="0"/>
    <m/>
    <m/>
    <x v="0"/>
    <m/>
    <x v="0"/>
    <d v="2013-02-01T00:00:00"/>
    <x v="2"/>
    <x v="21"/>
    <s v="C"/>
    <x v="3"/>
    <x v="0"/>
    <x v="108"/>
    <s v=""/>
    <x v="4"/>
    <x v="2"/>
    <x v="0"/>
    <x v="1"/>
    <x v="0"/>
    <d v="1899-12-30T00:00:00"/>
    <d v="1899-12-30T00:00:00"/>
  </r>
  <r>
    <n v="588"/>
    <x v="0"/>
    <x v="109"/>
    <x v="266"/>
    <m/>
    <x v="4"/>
    <m/>
    <m/>
    <x v="0"/>
    <d v="2013-01-31T00:00:00"/>
    <x v="11"/>
    <d v="2013-04-17T00:00:00"/>
    <d v="2013-11-12T00:00:00"/>
    <x v="11"/>
    <x v="0"/>
    <x v="0"/>
    <x v="4"/>
    <x v="0"/>
    <m/>
    <m/>
    <x v="194"/>
    <m/>
    <m/>
    <x v="0"/>
    <x v="0"/>
    <n v="350000"/>
    <m/>
    <x v="1"/>
    <n v="0"/>
    <x v="10"/>
    <x v="0"/>
    <m/>
    <m/>
    <x v="0"/>
    <m/>
    <x v="0"/>
    <d v="2013-02-01T00:00:00"/>
    <x v="3"/>
    <x v="21"/>
    <s v="C"/>
    <x v="3"/>
    <x v="0"/>
    <x v="108"/>
    <s v=""/>
    <x v="4"/>
    <x v="2"/>
    <x v="2"/>
    <x v="3"/>
    <x v="0"/>
    <d v="1899-12-30T00:00:00"/>
    <d v="1899-12-30T00:00:00"/>
  </r>
  <r>
    <n v="589"/>
    <x v="0"/>
    <x v="109"/>
    <x v="266"/>
    <m/>
    <x v="4"/>
    <m/>
    <m/>
    <x v="2"/>
    <d v="2013-01-31T00:00:00"/>
    <x v="11"/>
    <d v="2013-10-09T00:00:00"/>
    <m/>
    <x v="8"/>
    <x v="0"/>
    <x v="0"/>
    <x v="4"/>
    <x v="0"/>
    <m/>
    <m/>
    <x v="194"/>
    <m/>
    <m/>
    <x v="0"/>
    <x v="0"/>
    <n v="350000"/>
    <m/>
    <x v="1"/>
    <n v="0"/>
    <x v="10"/>
    <x v="0"/>
    <m/>
    <m/>
    <x v="0"/>
    <m/>
    <x v="0"/>
    <d v="2013-02-01T00:00:00"/>
    <x v="3"/>
    <x v="21"/>
    <s v="C"/>
    <x v="3"/>
    <x v="0"/>
    <x v="108"/>
    <s v=""/>
    <x v="4"/>
    <x v="2"/>
    <x v="2"/>
    <x v="3"/>
    <x v="0"/>
    <d v="1899-12-30T00:00:00"/>
    <d v="1899-12-30T00:00:00"/>
  </r>
  <r>
    <n v="590"/>
    <x v="0"/>
    <x v="109"/>
    <x v="266"/>
    <m/>
    <x v="4"/>
    <m/>
    <m/>
    <x v="1"/>
    <d v="2013-01-31T00:00:00"/>
    <x v="11"/>
    <d v="2013-05-09T00:00:00"/>
    <d v="2013-11-12T00:00:00"/>
    <x v="11"/>
    <x v="0"/>
    <x v="0"/>
    <x v="1"/>
    <x v="0"/>
    <m/>
    <m/>
    <x v="27"/>
    <m/>
    <m/>
    <x v="0"/>
    <x v="0"/>
    <n v="500000"/>
    <m/>
    <x v="1"/>
    <n v="0"/>
    <x v="10"/>
    <x v="0"/>
    <m/>
    <m/>
    <x v="0"/>
    <m/>
    <x v="0"/>
    <d v="2013-02-01T00:00:00"/>
    <x v="1"/>
    <x v="21"/>
    <s v="C"/>
    <x v="3"/>
    <x v="0"/>
    <x v="108"/>
    <s v=""/>
    <x v="4"/>
    <x v="2"/>
    <x v="1"/>
    <x v="1"/>
    <x v="0"/>
    <d v="1899-12-30T00:00:00"/>
    <d v="1899-12-30T00:00:00"/>
  </r>
  <r>
    <n v="591"/>
    <x v="0"/>
    <x v="109"/>
    <x v="266"/>
    <m/>
    <x v="4"/>
    <m/>
    <m/>
    <x v="1"/>
    <d v="2013-01-31T00:00:00"/>
    <x v="11"/>
    <d v="2013-07-10T00:00:00"/>
    <m/>
    <x v="8"/>
    <x v="0"/>
    <x v="0"/>
    <x v="6"/>
    <x v="0"/>
    <m/>
    <m/>
    <x v="98"/>
    <m/>
    <m/>
    <x v="0"/>
    <x v="0"/>
    <n v="300000"/>
    <m/>
    <x v="1"/>
    <n v="0"/>
    <x v="10"/>
    <x v="0"/>
    <m/>
    <m/>
    <x v="0"/>
    <m/>
    <x v="0"/>
    <d v="2013-02-01T00:00:00"/>
    <x v="0"/>
    <x v="21"/>
    <s v="C"/>
    <x v="3"/>
    <x v="0"/>
    <x v="108"/>
    <s v=""/>
    <x v="4"/>
    <x v="2"/>
    <x v="0"/>
    <x v="0"/>
    <x v="0"/>
    <d v="1899-12-30T00:00:00"/>
    <d v="1899-12-30T00:00:00"/>
  </r>
  <r>
    <n v="592"/>
    <x v="0"/>
    <x v="109"/>
    <x v="266"/>
    <m/>
    <x v="4"/>
    <m/>
    <m/>
    <x v="1"/>
    <d v="2013-01-31T00:00:00"/>
    <x v="11"/>
    <d v="2013-02-14T00:00:00"/>
    <d v="2013-03-21T00:00:00"/>
    <x v="11"/>
    <x v="0"/>
    <x v="0"/>
    <x v="14"/>
    <x v="0"/>
    <m/>
    <m/>
    <x v="195"/>
    <m/>
    <m/>
    <x v="0"/>
    <x v="0"/>
    <n v="455334.05"/>
    <m/>
    <x v="1"/>
    <n v="0"/>
    <x v="10"/>
    <x v="0"/>
    <m/>
    <m/>
    <x v="0"/>
    <m/>
    <x v="0"/>
    <d v="2013-03-27T00:00:00"/>
    <x v="0"/>
    <x v="21"/>
    <s v="C"/>
    <x v="3"/>
    <x v="0"/>
    <x v="108"/>
    <s v=""/>
    <x v="4"/>
    <x v="2"/>
    <x v="0"/>
    <x v="0"/>
    <x v="0"/>
    <d v="1899-12-30T00:00:00"/>
    <d v="1899-12-30T00:00:00"/>
  </r>
  <r>
    <n v="593"/>
    <x v="0"/>
    <x v="109"/>
    <x v="266"/>
    <m/>
    <x v="4"/>
    <m/>
    <m/>
    <x v="1"/>
    <d v="2013-01-31T00:00:00"/>
    <x v="11"/>
    <d v="2013-12-31T00:00:00"/>
    <m/>
    <x v="8"/>
    <x v="1"/>
    <x v="2"/>
    <x v="13"/>
    <x v="0"/>
    <m/>
    <m/>
    <x v="196"/>
    <m/>
    <m/>
    <x v="0"/>
    <x v="0"/>
    <n v="320000"/>
    <m/>
    <x v="1"/>
    <n v="0"/>
    <x v="10"/>
    <x v="0"/>
    <m/>
    <m/>
    <x v="0"/>
    <m/>
    <x v="0"/>
    <d v="2013-02-01T00:00:00"/>
    <x v="5"/>
    <x v="21"/>
    <s v="C"/>
    <x v="3"/>
    <x v="0"/>
    <x v="108"/>
    <s v=""/>
    <x v="4"/>
    <x v="2"/>
    <x v="4"/>
    <x v="3"/>
    <x v="0"/>
    <d v="1899-12-30T00:00:00"/>
    <d v="1899-12-30T00:00:00"/>
  </r>
  <r>
    <n v="594"/>
    <x v="0"/>
    <x v="109"/>
    <x v="266"/>
    <m/>
    <x v="4"/>
    <m/>
    <m/>
    <x v="0"/>
    <d v="2013-01-31T00:00:00"/>
    <x v="11"/>
    <d v="2013-12-31T00:00:00"/>
    <d v="2013-06-13T00:00:00"/>
    <x v="11"/>
    <x v="1"/>
    <x v="2"/>
    <x v="17"/>
    <x v="0"/>
    <m/>
    <m/>
    <x v="197"/>
    <m/>
    <m/>
    <x v="0"/>
    <x v="0"/>
    <n v="187500"/>
    <m/>
    <x v="1"/>
    <n v="0"/>
    <x v="10"/>
    <x v="0"/>
    <m/>
    <m/>
    <x v="0"/>
    <m/>
    <x v="0"/>
    <d v="2013-06-24T00:00:00"/>
    <x v="5"/>
    <x v="21"/>
    <s v="C"/>
    <x v="3"/>
    <x v="0"/>
    <x v="108"/>
    <s v=""/>
    <x v="4"/>
    <x v="2"/>
    <x v="4"/>
    <x v="3"/>
    <x v="0"/>
    <d v="1899-12-30T00:00:00"/>
    <d v="1899-12-30T00:00:00"/>
  </r>
  <r>
    <n v="595"/>
    <x v="0"/>
    <x v="109"/>
    <x v="266"/>
    <m/>
    <x v="4"/>
    <m/>
    <m/>
    <x v="1"/>
    <d v="2013-01-31T00:00:00"/>
    <x v="11"/>
    <d v="2013-12-31T00:00:00"/>
    <m/>
    <x v="8"/>
    <x v="1"/>
    <x v="2"/>
    <x v="16"/>
    <x v="0"/>
    <m/>
    <m/>
    <x v="24"/>
    <m/>
    <m/>
    <x v="0"/>
    <x v="0"/>
    <n v="100000"/>
    <m/>
    <x v="1"/>
    <n v="0"/>
    <x v="10"/>
    <x v="0"/>
    <m/>
    <m/>
    <x v="0"/>
    <m/>
    <x v="0"/>
    <d v="2014-01-23T00:00:00"/>
    <x v="5"/>
    <x v="21"/>
    <s v="C"/>
    <x v="3"/>
    <x v="0"/>
    <x v="108"/>
    <s v=""/>
    <x v="4"/>
    <x v="2"/>
    <x v="4"/>
    <x v="3"/>
    <x v="0"/>
    <d v="1899-12-30T00:00:00"/>
    <d v="1899-12-30T00:00:00"/>
  </r>
  <r>
    <n v="596"/>
    <x v="0"/>
    <x v="109"/>
    <x v="266"/>
    <m/>
    <x v="4"/>
    <m/>
    <m/>
    <x v="1"/>
    <d v="2013-01-31T00:00:00"/>
    <x v="11"/>
    <d v="2014-01-31T00:00:00"/>
    <m/>
    <x v="8"/>
    <x v="2"/>
    <x v="3"/>
    <x v="19"/>
    <x v="0"/>
    <m/>
    <m/>
    <x v="99"/>
    <m/>
    <m/>
    <x v="0"/>
    <x v="0"/>
    <n v="150000"/>
    <m/>
    <x v="1"/>
    <n v="0"/>
    <x v="10"/>
    <x v="0"/>
    <m/>
    <m/>
    <x v="0"/>
    <m/>
    <x v="0"/>
    <d v="2013-02-01T00:00:00"/>
    <x v="5"/>
    <x v="21"/>
    <s v="C"/>
    <x v="3"/>
    <x v="0"/>
    <x v="108"/>
    <s v=""/>
    <x v="4"/>
    <x v="2"/>
    <x v="4"/>
    <x v="3"/>
    <x v="0"/>
    <d v="1899-12-30T00:00:00"/>
    <d v="1899-12-30T00:00:00"/>
  </r>
  <r>
    <n v="597"/>
    <x v="0"/>
    <x v="109"/>
    <x v="266"/>
    <m/>
    <x v="4"/>
    <m/>
    <m/>
    <x v="1"/>
    <d v="2013-01-31T00:00:00"/>
    <x v="11"/>
    <d v="2013-02-28T00:00:00"/>
    <d v="2013-07-03T00:00:00"/>
    <x v="11"/>
    <x v="2"/>
    <x v="3"/>
    <x v="18"/>
    <x v="0"/>
    <m/>
    <m/>
    <x v="24"/>
    <m/>
    <m/>
    <x v="0"/>
    <x v="0"/>
    <n v="100000"/>
    <m/>
    <x v="1"/>
    <n v="0"/>
    <x v="10"/>
    <x v="0"/>
    <m/>
    <m/>
    <x v="0"/>
    <m/>
    <x v="0"/>
    <d v="2013-02-01T00:00:00"/>
    <x v="5"/>
    <x v="21"/>
    <s v="C"/>
    <x v="3"/>
    <x v="0"/>
    <x v="108"/>
    <s v=""/>
    <x v="4"/>
    <x v="2"/>
    <x v="4"/>
    <x v="3"/>
    <x v="0"/>
    <d v="1899-12-30T00:00:00"/>
    <d v="1899-12-30T00:00:00"/>
  </r>
  <r>
    <n v="598"/>
    <x v="0"/>
    <x v="109"/>
    <x v="266"/>
    <m/>
    <x v="4"/>
    <m/>
    <m/>
    <x v="1"/>
    <d v="2013-01-31T00:00:00"/>
    <x v="11"/>
    <d v="2013-03-03T00:00:00"/>
    <d v="2013-10-07T00:00:00"/>
    <x v="11"/>
    <x v="3"/>
    <x v="4"/>
    <x v="20"/>
    <x v="0"/>
    <m/>
    <m/>
    <x v="27"/>
    <m/>
    <m/>
    <x v="0"/>
    <x v="0"/>
    <n v="500000"/>
    <m/>
    <x v="1"/>
    <n v="0"/>
    <x v="10"/>
    <x v="0"/>
    <m/>
    <m/>
    <x v="0"/>
    <m/>
    <x v="0"/>
    <d v="2013-02-01T00:00:00"/>
    <x v="5"/>
    <x v="21"/>
    <s v="C"/>
    <x v="3"/>
    <x v="0"/>
    <x v="108"/>
    <s v=""/>
    <x v="4"/>
    <x v="2"/>
    <x v="4"/>
    <x v="3"/>
    <x v="0"/>
    <d v="1899-12-30T00:00:00"/>
    <d v="1899-12-30T00:00:00"/>
  </r>
  <r>
    <n v="599"/>
    <x v="0"/>
    <x v="109"/>
    <x v="266"/>
    <m/>
    <x v="4"/>
    <m/>
    <m/>
    <x v="1"/>
    <d v="2013-01-31T00:00:00"/>
    <x v="11"/>
    <d v="2013-12-31T00:00:00"/>
    <m/>
    <x v="8"/>
    <x v="3"/>
    <x v="4"/>
    <x v="21"/>
    <x v="0"/>
    <m/>
    <m/>
    <x v="98"/>
    <m/>
    <m/>
    <x v="0"/>
    <x v="0"/>
    <n v="300000"/>
    <m/>
    <x v="1"/>
    <n v="0"/>
    <x v="10"/>
    <x v="0"/>
    <m/>
    <m/>
    <x v="0"/>
    <m/>
    <x v="0"/>
    <d v="2013-02-01T00:00:00"/>
    <x v="5"/>
    <x v="21"/>
    <s v="C"/>
    <x v="3"/>
    <x v="0"/>
    <x v="108"/>
    <s v=""/>
    <x v="4"/>
    <x v="2"/>
    <x v="4"/>
    <x v="3"/>
    <x v="0"/>
    <d v="1899-12-30T00:00:00"/>
    <d v="1899-12-30T00:00:00"/>
  </r>
  <r>
    <n v="600"/>
    <x v="0"/>
    <x v="109"/>
    <x v="266"/>
    <m/>
    <x v="4"/>
    <m/>
    <m/>
    <x v="1"/>
    <d v="2013-01-31T00:00:00"/>
    <x v="11"/>
    <d v="2013-02-21T00:00:00"/>
    <m/>
    <x v="8"/>
    <x v="0"/>
    <x v="4"/>
    <x v="27"/>
    <x v="0"/>
    <m/>
    <m/>
    <x v="198"/>
    <m/>
    <m/>
    <x v="0"/>
    <x v="0"/>
    <n v="180000"/>
    <m/>
    <x v="1"/>
    <n v="0"/>
    <x v="10"/>
    <x v="0"/>
    <m/>
    <m/>
    <x v="0"/>
    <m/>
    <x v="0"/>
    <d v="2013-02-01T00:00:00"/>
    <x v="5"/>
    <x v="21"/>
    <s v="C"/>
    <x v="3"/>
    <x v="0"/>
    <x v="108"/>
    <s v=""/>
    <x v="4"/>
    <x v="2"/>
    <x v="4"/>
    <x v="3"/>
    <x v="0"/>
    <d v="1899-12-30T00:00:00"/>
    <d v="1899-12-30T00:00:00"/>
  </r>
  <r>
    <n v="601"/>
    <x v="0"/>
    <x v="75"/>
    <x v="481"/>
    <m/>
    <x v="4"/>
    <m/>
    <m/>
    <x v="1"/>
    <d v="2011-01-03T00:00:00"/>
    <x v="1"/>
    <d v="2012-01-31T00:00:00"/>
    <d v="2013-01-28T00:00:00"/>
    <x v="11"/>
    <x v="2"/>
    <x v="3"/>
    <x v="19"/>
    <x v="0"/>
    <m/>
    <m/>
    <x v="95"/>
    <m/>
    <m/>
    <x v="0"/>
    <x v="0"/>
    <n v="25000"/>
    <m/>
    <x v="1"/>
    <n v="0"/>
    <x v="0"/>
    <x v="0"/>
    <m/>
    <m/>
    <x v="0"/>
    <m/>
    <x v="0"/>
    <d v="2013-12-05T00:00:00"/>
    <x v="5"/>
    <x v="8"/>
    <s v="C"/>
    <x v="3"/>
    <x v="0"/>
    <x v="108"/>
    <s v=""/>
    <x v="4"/>
    <x v="2"/>
    <x v="4"/>
    <x v="3"/>
    <x v="0"/>
    <d v="1899-12-30T00:00:00"/>
    <d v="1899-12-30T00:00:00"/>
  </r>
  <r>
    <n v="602"/>
    <x v="0"/>
    <x v="75"/>
    <x v="482"/>
    <m/>
    <x v="4"/>
    <m/>
    <m/>
    <x v="1"/>
    <d v="2011-01-03T00:00:00"/>
    <x v="1"/>
    <d v="2012-01-31T00:00:00"/>
    <d v="2013-01-28T00:00:00"/>
    <x v="11"/>
    <x v="2"/>
    <x v="3"/>
    <x v="19"/>
    <x v="0"/>
    <m/>
    <m/>
    <x v="95"/>
    <m/>
    <m/>
    <x v="0"/>
    <x v="0"/>
    <n v="25000"/>
    <m/>
    <x v="1"/>
    <n v="0"/>
    <x v="0"/>
    <x v="0"/>
    <m/>
    <m/>
    <x v="0"/>
    <m/>
    <x v="0"/>
    <d v="2013-12-05T00:00:00"/>
    <x v="5"/>
    <x v="8"/>
    <s v="C"/>
    <x v="3"/>
    <x v="0"/>
    <x v="108"/>
    <s v=""/>
    <x v="4"/>
    <x v="2"/>
    <x v="4"/>
    <x v="3"/>
    <x v="0"/>
    <d v="1899-12-30T00:00:00"/>
    <d v="1899-12-30T00:00:00"/>
  </r>
  <r>
    <n v="603"/>
    <x v="0"/>
    <x v="75"/>
    <x v="483"/>
    <m/>
    <x v="4"/>
    <m/>
    <m/>
    <x v="1"/>
    <d v="2011-01-03T00:00:00"/>
    <x v="1"/>
    <d v="2012-01-31T00:00:00"/>
    <d v="2013-01-28T00:00:00"/>
    <x v="11"/>
    <x v="2"/>
    <x v="3"/>
    <x v="19"/>
    <x v="0"/>
    <m/>
    <m/>
    <x v="95"/>
    <m/>
    <m/>
    <x v="0"/>
    <x v="0"/>
    <n v="25000"/>
    <m/>
    <x v="1"/>
    <n v="0"/>
    <x v="0"/>
    <x v="0"/>
    <m/>
    <m/>
    <x v="0"/>
    <m/>
    <x v="0"/>
    <d v="2013-12-05T00:00:00"/>
    <x v="5"/>
    <x v="8"/>
    <s v="C"/>
    <x v="3"/>
    <x v="0"/>
    <x v="108"/>
    <s v=""/>
    <x v="4"/>
    <x v="2"/>
    <x v="4"/>
    <x v="3"/>
    <x v="0"/>
    <d v="1899-12-30T00:00:00"/>
    <d v="1899-12-30T00:00:00"/>
  </r>
  <r>
    <n v="604"/>
    <x v="0"/>
    <x v="75"/>
    <x v="165"/>
    <m/>
    <x v="4"/>
    <m/>
    <m/>
    <x v="1"/>
    <d v="2011-01-03T00:00:00"/>
    <x v="1"/>
    <d v="2012-01-31T00:00:00"/>
    <d v="2013-01-28T00:00:00"/>
    <x v="11"/>
    <x v="2"/>
    <x v="3"/>
    <x v="19"/>
    <x v="0"/>
    <m/>
    <m/>
    <x v="95"/>
    <m/>
    <m/>
    <x v="0"/>
    <x v="0"/>
    <n v="25000"/>
    <m/>
    <x v="1"/>
    <n v="0"/>
    <x v="0"/>
    <x v="0"/>
    <m/>
    <m/>
    <x v="0"/>
    <m/>
    <x v="0"/>
    <d v="2014-01-20T00:00:00"/>
    <x v="5"/>
    <x v="8"/>
    <s v="C"/>
    <x v="3"/>
    <x v="0"/>
    <x v="108"/>
    <s v=""/>
    <x v="4"/>
    <x v="2"/>
    <x v="4"/>
    <x v="3"/>
    <x v="0"/>
    <d v="1899-12-30T00:00:00"/>
    <d v="1899-12-30T00:00:00"/>
  </r>
  <r>
    <n v="605"/>
    <x v="0"/>
    <x v="75"/>
    <x v="484"/>
    <m/>
    <x v="4"/>
    <m/>
    <m/>
    <x v="1"/>
    <d v="2011-01-03T00:00:00"/>
    <x v="1"/>
    <d v="2012-01-31T00:00:00"/>
    <d v="2013-01-28T00:00:00"/>
    <x v="11"/>
    <x v="2"/>
    <x v="3"/>
    <x v="19"/>
    <x v="0"/>
    <m/>
    <m/>
    <x v="95"/>
    <m/>
    <m/>
    <x v="0"/>
    <x v="0"/>
    <n v="25000"/>
    <m/>
    <x v="1"/>
    <n v="0"/>
    <x v="0"/>
    <x v="0"/>
    <m/>
    <m/>
    <x v="0"/>
    <m/>
    <x v="0"/>
    <d v="2014-01-20T00:00:00"/>
    <x v="5"/>
    <x v="8"/>
    <s v="C"/>
    <x v="3"/>
    <x v="0"/>
    <x v="108"/>
    <s v=""/>
    <x v="4"/>
    <x v="2"/>
    <x v="4"/>
    <x v="3"/>
    <x v="0"/>
    <d v="1899-12-30T00:00:00"/>
    <d v="1899-12-30T00:00:00"/>
  </r>
  <r>
    <n v="606"/>
    <x v="0"/>
    <x v="75"/>
    <x v="485"/>
    <m/>
    <x v="4"/>
    <m/>
    <m/>
    <x v="1"/>
    <d v="2011-01-03T00:00:00"/>
    <x v="1"/>
    <d v="2012-01-31T00:00:00"/>
    <d v="2013-01-28T00:00:00"/>
    <x v="11"/>
    <x v="2"/>
    <x v="3"/>
    <x v="19"/>
    <x v="0"/>
    <m/>
    <m/>
    <x v="95"/>
    <m/>
    <m/>
    <x v="0"/>
    <x v="0"/>
    <n v="25000"/>
    <m/>
    <x v="1"/>
    <n v="0"/>
    <x v="0"/>
    <x v="0"/>
    <m/>
    <m/>
    <x v="0"/>
    <m/>
    <x v="0"/>
    <d v="2014-01-20T00:00:00"/>
    <x v="5"/>
    <x v="8"/>
    <s v="T"/>
    <x v="3"/>
    <x v="0"/>
    <x v="108"/>
    <s v=""/>
    <x v="4"/>
    <x v="2"/>
    <x v="4"/>
    <x v="3"/>
    <x v="0"/>
    <d v="1899-12-30T00:00:00"/>
    <d v="1899-12-30T00:00:00"/>
  </r>
  <r>
    <n v="607"/>
    <x v="0"/>
    <x v="109"/>
    <x v="266"/>
    <m/>
    <x v="4"/>
    <m/>
    <m/>
    <x v="1"/>
    <d v="2011-01-03T00:00:00"/>
    <x v="1"/>
    <d v="2011-04-06T00:00:00"/>
    <d v="2011-10-10T00:00:00"/>
    <x v="1"/>
    <x v="0"/>
    <x v="1"/>
    <x v="7"/>
    <x v="0"/>
    <m/>
    <m/>
    <x v="80"/>
    <m/>
    <m/>
    <x v="0"/>
    <x v="0"/>
    <n v="50000"/>
    <m/>
    <x v="1"/>
    <n v="0"/>
    <x v="10"/>
    <x v="0"/>
    <m/>
    <m/>
    <x v="0"/>
    <m/>
    <x v="0"/>
    <m/>
    <x v="5"/>
    <x v="21"/>
    <s v="C"/>
    <x v="3"/>
    <x v="0"/>
    <x v="108"/>
    <s v=""/>
    <x v="4"/>
    <x v="2"/>
    <x v="4"/>
    <x v="3"/>
    <x v="0"/>
    <d v="1899-12-30T00:00:00"/>
    <d v="1899-12-30T00:00:00"/>
  </r>
  <r>
    <n v="608"/>
    <x v="0"/>
    <x v="109"/>
    <x v="266"/>
    <m/>
    <x v="4"/>
    <m/>
    <m/>
    <x v="0"/>
    <d v="2011-01-03T00:00:00"/>
    <x v="1"/>
    <d v="2011-04-27T00:00:00"/>
    <d v="2011-08-18T00:00:00"/>
    <x v="1"/>
    <x v="0"/>
    <x v="0"/>
    <x v="0"/>
    <x v="0"/>
    <m/>
    <m/>
    <x v="139"/>
    <m/>
    <m/>
    <x v="0"/>
    <x v="0"/>
    <n v="1200000"/>
    <m/>
    <x v="1"/>
    <n v="0"/>
    <x v="10"/>
    <x v="0"/>
    <m/>
    <m/>
    <x v="0"/>
    <m/>
    <x v="0"/>
    <m/>
    <x v="5"/>
    <x v="21"/>
    <s v="C"/>
    <x v="3"/>
    <x v="0"/>
    <x v="108"/>
    <s v=""/>
    <x v="4"/>
    <x v="2"/>
    <x v="4"/>
    <x v="3"/>
    <x v="0"/>
    <d v="1899-12-30T00:00:00"/>
    <d v="1899-12-30T00:00:00"/>
  </r>
  <r>
    <n v="609"/>
    <x v="0"/>
    <x v="109"/>
    <x v="266"/>
    <m/>
    <x v="4"/>
    <m/>
    <m/>
    <x v="1"/>
    <d v="2011-01-03T00:00:00"/>
    <x v="1"/>
    <d v="2011-05-25T00:00:00"/>
    <d v="2011-10-10T00:00:00"/>
    <x v="1"/>
    <x v="0"/>
    <x v="0"/>
    <x v="12"/>
    <x v="0"/>
    <m/>
    <m/>
    <x v="199"/>
    <m/>
    <m/>
    <x v="0"/>
    <x v="0"/>
    <n v="1400000"/>
    <m/>
    <x v="1"/>
    <n v="0"/>
    <x v="10"/>
    <x v="0"/>
    <m/>
    <m/>
    <x v="0"/>
    <m/>
    <x v="0"/>
    <m/>
    <x v="5"/>
    <x v="21"/>
    <s v="C"/>
    <x v="3"/>
    <x v="0"/>
    <x v="108"/>
    <s v=""/>
    <x v="4"/>
    <x v="2"/>
    <x v="4"/>
    <x v="3"/>
    <x v="0"/>
    <d v="1899-12-30T00:00:00"/>
    <d v="1899-12-30T00:00:00"/>
  </r>
  <r>
    <n v="610"/>
    <x v="0"/>
    <x v="109"/>
    <x v="266"/>
    <m/>
    <x v="4"/>
    <m/>
    <m/>
    <x v="1"/>
    <d v="2011-01-03T00:00:00"/>
    <x v="1"/>
    <d v="2011-05-31T00:00:00"/>
    <d v="2011-12-28T00:00:00"/>
    <x v="1"/>
    <x v="0"/>
    <x v="0"/>
    <x v="6"/>
    <x v="0"/>
    <m/>
    <m/>
    <x v="98"/>
    <n v="229463"/>
    <m/>
    <x v="0"/>
    <x v="0"/>
    <n v="229463"/>
    <m/>
    <x v="1"/>
    <n v="0"/>
    <x v="10"/>
    <x v="0"/>
    <m/>
    <m/>
    <x v="0"/>
    <m/>
    <x v="0"/>
    <m/>
    <x v="5"/>
    <x v="21"/>
    <s v="C"/>
    <x v="3"/>
    <x v="0"/>
    <x v="108"/>
    <s v=""/>
    <x v="4"/>
    <x v="2"/>
    <x v="4"/>
    <x v="3"/>
    <x v="0"/>
    <d v="1899-12-30T00:00:00"/>
    <d v="1899-12-30T00:00:00"/>
  </r>
  <r>
    <n v="611"/>
    <x v="0"/>
    <x v="109"/>
    <x v="266"/>
    <m/>
    <x v="4"/>
    <m/>
    <m/>
    <x v="1"/>
    <d v="2011-01-03T00:00:00"/>
    <x v="1"/>
    <d v="2011-01-31T00:00:00"/>
    <d v="2011-08-19T00:00:00"/>
    <x v="1"/>
    <x v="0"/>
    <x v="0"/>
    <x v="14"/>
    <x v="0"/>
    <m/>
    <m/>
    <x v="98"/>
    <n v="207649.11"/>
    <m/>
    <x v="0"/>
    <x v="0"/>
    <n v="207649.11"/>
    <m/>
    <x v="1"/>
    <n v="0"/>
    <x v="10"/>
    <x v="0"/>
    <m/>
    <m/>
    <x v="0"/>
    <m/>
    <x v="0"/>
    <m/>
    <x v="5"/>
    <x v="21"/>
    <s v="C"/>
    <x v="3"/>
    <x v="0"/>
    <x v="108"/>
    <s v=""/>
    <x v="4"/>
    <x v="2"/>
    <x v="4"/>
    <x v="3"/>
    <x v="0"/>
    <d v="1899-12-30T00:00:00"/>
    <d v="1899-12-30T00:00:00"/>
  </r>
  <r>
    <n v="612"/>
    <x v="1"/>
    <x v="37"/>
    <x v="486"/>
    <m/>
    <x v="4"/>
    <m/>
    <m/>
    <x v="2"/>
    <d v="2011-01-03T00:00:00"/>
    <x v="1"/>
    <d v="2011-12-06T00:00:00"/>
    <d v="2013-02-26T00:00:00"/>
    <x v="11"/>
    <x v="0"/>
    <x v="0"/>
    <x v="4"/>
    <x v="0"/>
    <m/>
    <d v="2013-05-31T00:00:00"/>
    <x v="4"/>
    <m/>
    <n v="14000"/>
    <x v="0"/>
    <x v="0"/>
    <n v="84000"/>
    <n v="7000"/>
    <x v="12"/>
    <n v="21000"/>
    <x v="3"/>
    <x v="0"/>
    <d v="2013-09-14T00:00:00"/>
    <d v="2013-09-28T00:00:00"/>
    <x v="0"/>
    <m/>
    <x v="0"/>
    <d v="2014-04-08T00:00:00"/>
    <x v="3"/>
    <x v="3"/>
    <s v="A"/>
    <x v="3"/>
    <x v="0"/>
    <x v="254"/>
    <s v=""/>
    <x v="4"/>
    <x v="2"/>
    <x v="2"/>
    <x v="0"/>
    <x v="0"/>
    <d v="2013-09-14T00:00:00"/>
    <d v="2013-09-28T00:00:00"/>
  </r>
  <r>
    <n v="613"/>
    <x v="1"/>
    <x v="29"/>
    <x v="487"/>
    <m/>
    <x v="4"/>
    <m/>
    <m/>
    <x v="2"/>
    <d v="2011-01-03T00:00:00"/>
    <x v="1"/>
    <d v="2011-12-06T00:00:00"/>
    <d v="2013-02-26T00:00:00"/>
    <x v="11"/>
    <x v="0"/>
    <x v="0"/>
    <x v="4"/>
    <x v="0"/>
    <m/>
    <d v="2013-05-31T00:00:00"/>
    <x v="33"/>
    <m/>
    <n v="12000"/>
    <x v="0"/>
    <x v="0"/>
    <n v="72000"/>
    <n v="6000"/>
    <x v="17"/>
    <n v="18000"/>
    <x v="3"/>
    <x v="0"/>
    <d v="2013-08-05T00:00:00"/>
    <m/>
    <x v="0"/>
    <m/>
    <x v="0"/>
    <d v="2014-03-04T00:00:00"/>
    <x v="3"/>
    <x v="11"/>
    <s v="D"/>
    <x v="3"/>
    <x v="0"/>
    <x v="224"/>
    <s v=""/>
    <x v="4"/>
    <x v="2"/>
    <x v="2"/>
    <x v="0"/>
    <x v="0"/>
    <d v="2013-08-05T00:00:00"/>
    <d v="1899-12-30T00:00:00"/>
  </r>
  <r>
    <n v="614"/>
    <x v="0"/>
    <x v="6"/>
    <x v="488"/>
    <n v="13633"/>
    <x v="293"/>
    <m/>
    <m/>
    <x v="2"/>
    <d v="2011-01-03T00:00:00"/>
    <x v="1"/>
    <d v="2011-12-06T00:00:00"/>
    <d v="2013-02-26T00:00:00"/>
    <x v="11"/>
    <x v="0"/>
    <x v="0"/>
    <x v="4"/>
    <x v="0"/>
    <m/>
    <d v="2013-05-31T00:00:00"/>
    <x v="200"/>
    <m/>
    <n v="11800"/>
    <x v="0"/>
    <x v="0"/>
    <n v="70800"/>
    <n v="5900"/>
    <x v="20"/>
    <n v="17700"/>
    <x v="4"/>
    <x v="0"/>
    <d v="2013-09-10T00:00:00"/>
    <m/>
    <x v="0"/>
    <d v="2015-03-31T00:00:00"/>
    <x v="0"/>
    <d v="2015-04-06T00:00:00"/>
    <x v="3"/>
    <x v="2"/>
    <s v="A"/>
    <x v="5"/>
    <x v="0"/>
    <x v="215"/>
    <s v="Christine Reeh"/>
    <x v="46"/>
    <x v="4"/>
    <x v="2"/>
    <x v="0"/>
    <x v="0"/>
    <d v="2013-09-10T00:00:00"/>
    <d v="1899-12-30T00:00:00"/>
  </r>
  <r>
    <n v="615"/>
    <x v="1"/>
    <x v="37"/>
    <x v="489"/>
    <m/>
    <x v="4"/>
    <m/>
    <m/>
    <x v="2"/>
    <d v="2011-01-03T00:00:00"/>
    <x v="1"/>
    <d v="2011-12-06T00:00:00"/>
    <d v="2013-02-26T00:00:00"/>
    <x v="11"/>
    <x v="0"/>
    <x v="0"/>
    <x v="4"/>
    <x v="0"/>
    <m/>
    <d v="2013-05-31T00:00:00"/>
    <x v="201"/>
    <m/>
    <n v="11400"/>
    <x v="0"/>
    <x v="0"/>
    <n v="68400"/>
    <n v="22800"/>
    <x v="21"/>
    <n v="34200"/>
    <x v="1"/>
    <x v="0"/>
    <d v="2014-08-01T00:00:00"/>
    <m/>
    <x v="0"/>
    <m/>
    <x v="0"/>
    <d v="2014-08-06T00:00:00"/>
    <x v="3"/>
    <x v="3"/>
    <s v="S"/>
    <x v="3"/>
    <x v="0"/>
    <x v="255"/>
    <s v=""/>
    <x v="4"/>
    <x v="2"/>
    <x v="2"/>
    <x v="0"/>
    <x v="0"/>
    <d v="2014-08-01T00:00:00"/>
    <d v="1899-12-30T00:00:00"/>
  </r>
  <r>
    <n v="616"/>
    <x v="1"/>
    <x v="13"/>
    <x v="490"/>
    <m/>
    <x v="4"/>
    <m/>
    <m/>
    <x v="2"/>
    <d v="2011-01-03T00:00:00"/>
    <x v="1"/>
    <d v="2011-12-06T00:00:00"/>
    <d v="2013-02-26T00:00:00"/>
    <x v="11"/>
    <x v="0"/>
    <x v="0"/>
    <x v="4"/>
    <x v="0"/>
    <m/>
    <d v="2013-05-31T00:00:00"/>
    <x v="22"/>
    <m/>
    <n v="10800"/>
    <x v="0"/>
    <x v="0"/>
    <n v="64800"/>
    <n v="5400"/>
    <x v="22"/>
    <n v="16200"/>
    <x v="3"/>
    <x v="0"/>
    <d v="2014-05-12T00:00:00"/>
    <m/>
    <x v="0"/>
    <m/>
    <x v="0"/>
    <d v="2014-07-07T00:00:00"/>
    <x v="3"/>
    <x v="4"/>
    <s v="T"/>
    <x v="3"/>
    <x v="0"/>
    <x v="212"/>
    <s v=""/>
    <x v="4"/>
    <x v="2"/>
    <x v="2"/>
    <x v="0"/>
    <x v="0"/>
    <d v="2014-05-12T00:00:00"/>
    <d v="1899-12-30T00:00:00"/>
  </r>
  <r>
    <n v="617"/>
    <x v="0"/>
    <x v="44"/>
    <x v="491"/>
    <n v="11893"/>
    <x v="294"/>
    <m/>
    <m/>
    <x v="1"/>
    <d v="2004-06-25T00:00:00"/>
    <x v="5"/>
    <m/>
    <d v="2005-01-04T00:00:00"/>
    <x v="6"/>
    <x v="0"/>
    <x v="0"/>
    <x v="1"/>
    <x v="0"/>
    <m/>
    <d v="2005-02-14T00:00:00"/>
    <x v="156"/>
    <m/>
    <n v="23400"/>
    <x v="0"/>
    <x v="0"/>
    <n v="223400"/>
    <m/>
    <x v="1"/>
    <n v="0"/>
    <x v="0"/>
    <x v="0"/>
    <m/>
    <m/>
    <x v="0"/>
    <d v="2008-04-10T00:00:00"/>
    <x v="0"/>
    <m/>
    <x v="1"/>
    <x v="16"/>
    <s v="B"/>
    <x v="13"/>
    <x v="0"/>
    <x v="145"/>
    <s v="Luís da Matta Almeida"/>
    <x v="104"/>
    <x v="14"/>
    <x v="1"/>
    <x v="2"/>
    <x v="6"/>
    <d v="1899-12-30T00:00:00"/>
    <d v="1899-12-30T00:00:00"/>
  </r>
  <r>
    <n v="618"/>
    <x v="0"/>
    <x v="2"/>
    <x v="492"/>
    <n v="11892"/>
    <x v="295"/>
    <m/>
    <m/>
    <x v="1"/>
    <d v="2004-06-25T00:00:00"/>
    <x v="5"/>
    <m/>
    <d v="2005-01-04T00:00:00"/>
    <x v="6"/>
    <x v="0"/>
    <x v="0"/>
    <x v="1"/>
    <x v="0"/>
    <d v="2005-03-16T00:00:00"/>
    <d v="2005-09-29T00:00:00"/>
    <x v="156"/>
    <m/>
    <n v="23400"/>
    <x v="0"/>
    <x v="0"/>
    <n v="223400"/>
    <m/>
    <x v="1"/>
    <n v="0"/>
    <x v="0"/>
    <x v="0"/>
    <m/>
    <m/>
    <x v="0"/>
    <d v="2008-04-04T00:00:00"/>
    <x v="0"/>
    <m/>
    <x v="1"/>
    <x v="0"/>
    <s v="E"/>
    <x v="13"/>
    <x v="0"/>
    <x v="256"/>
    <s v="Ricardo Blanco"/>
    <x v="104"/>
    <x v="14"/>
    <x v="1"/>
    <x v="2"/>
    <x v="7"/>
    <d v="1899-12-30T00:00:00"/>
    <d v="1899-12-30T00:00:00"/>
  </r>
  <r>
    <n v="619"/>
    <x v="0"/>
    <x v="2"/>
    <x v="493"/>
    <n v="11891"/>
    <x v="296"/>
    <m/>
    <m/>
    <x v="1"/>
    <d v="2003-11-13T00:00:00"/>
    <x v="9"/>
    <m/>
    <d v="2004-06-04T00:00:00"/>
    <x v="5"/>
    <x v="0"/>
    <x v="0"/>
    <x v="1"/>
    <x v="0"/>
    <d v="2004-07-07T00:00:00"/>
    <d v="2004-11-25T00:00:00"/>
    <x v="156"/>
    <m/>
    <n v="30000"/>
    <x v="0"/>
    <x v="0"/>
    <n v="230000"/>
    <m/>
    <x v="1"/>
    <n v="0"/>
    <x v="0"/>
    <x v="0"/>
    <m/>
    <m/>
    <x v="0"/>
    <d v="2008-03-05T00:00:00"/>
    <x v="0"/>
    <m/>
    <x v="1"/>
    <x v="0"/>
    <s v="M"/>
    <x v="13"/>
    <x v="0"/>
    <x v="257"/>
    <s v="Irina Calado"/>
    <x v="114"/>
    <x v="14"/>
    <x v="1"/>
    <x v="2"/>
    <x v="8"/>
    <d v="1899-12-30T00:00:00"/>
    <d v="1899-12-30T00:00:00"/>
  </r>
  <r>
    <n v="620"/>
    <x v="0"/>
    <x v="144"/>
    <x v="494"/>
    <n v="11890"/>
    <x v="297"/>
    <m/>
    <m/>
    <x v="1"/>
    <d v="2001-11-09T00:00:00"/>
    <x v="16"/>
    <m/>
    <d v="2002-07-15T00:00:00"/>
    <x v="17"/>
    <x v="0"/>
    <x v="0"/>
    <x v="1"/>
    <x v="0"/>
    <d v="2003-10-10T00:00:00"/>
    <d v="2005-11-02T00:00:00"/>
    <x v="202"/>
    <m/>
    <m/>
    <x v="0"/>
    <x v="0"/>
    <n v="55865.36"/>
    <m/>
    <x v="1"/>
    <n v="0"/>
    <x v="0"/>
    <x v="0"/>
    <m/>
    <m/>
    <x v="0"/>
    <d v="2008-02-21T00:00:00"/>
    <x v="0"/>
    <m/>
    <x v="1"/>
    <x v="14"/>
    <s v="M"/>
    <x v="13"/>
    <x v="0"/>
    <x v="258"/>
    <s v="Pedro Moura"/>
    <x v="100"/>
    <x v="14"/>
    <x v="1"/>
    <x v="1"/>
    <x v="0"/>
    <d v="1899-12-30T00:00:00"/>
    <d v="1899-12-30T00:00:00"/>
  </r>
  <r>
    <n v="621"/>
    <x v="0"/>
    <x v="2"/>
    <x v="495"/>
    <n v="11889"/>
    <x v="298"/>
    <m/>
    <m/>
    <x v="1"/>
    <d v="2003-08-15T00:00:00"/>
    <x v="9"/>
    <m/>
    <d v="2004-04-12T00:00:00"/>
    <x v="5"/>
    <x v="0"/>
    <x v="0"/>
    <x v="1"/>
    <x v="0"/>
    <d v="2004-05-17T00:00:00"/>
    <d v="2005-01-31T00:00:00"/>
    <x v="203"/>
    <m/>
    <n v="18090"/>
    <x v="0"/>
    <x v="0"/>
    <n v="138690"/>
    <m/>
    <x v="1"/>
    <n v="0"/>
    <x v="0"/>
    <x v="0"/>
    <m/>
    <m/>
    <x v="0"/>
    <d v="2008-01-28T00:00:00"/>
    <x v="0"/>
    <m/>
    <x v="1"/>
    <x v="0"/>
    <s v="J"/>
    <x v="13"/>
    <x v="0"/>
    <x v="259"/>
    <s v="André Ruivo"/>
    <x v="182"/>
    <x v="14"/>
    <x v="1"/>
    <x v="1"/>
    <x v="0"/>
    <d v="1899-12-30T00:00:00"/>
    <d v="1899-12-30T00:00:00"/>
  </r>
  <r>
    <n v="622"/>
    <x v="0"/>
    <x v="132"/>
    <x v="496"/>
    <n v="11888"/>
    <x v="299"/>
    <m/>
    <s v="Alberto Carneiro"/>
    <x v="1"/>
    <d v="2005-07-12T00:00:00"/>
    <x v="6"/>
    <m/>
    <d v="2006-03-13T00:00:00"/>
    <x v="4"/>
    <x v="0"/>
    <x v="0"/>
    <x v="4"/>
    <x v="0"/>
    <m/>
    <d v="2006-11-20T00:00:00"/>
    <x v="80"/>
    <m/>
    <n v="7500"/>
    <x v="0"/>
    <x v="0"/>
    <n v="57500"/>
    <m/>
    <x v="1"/>
    <n v="0"/>
    <x v="0"/>
    <x v="0"/>
    <d v="2006-12-08T00:00:00"/>
    <m/>
    <x v="0"/>
    <d v="2008-04-15T00:00:00"/>
    <x v="0"/>
    <m/>
    <x v="3"/>
    <x v="7"/>
    <s v="D"/>
    <x v="13"/>
    <x v="0"/>
    <x v="260"/>
    <s v="Olga Ramos"/>
    <x v="130"/>
    <x v="14"/>
    <x v="2"/>
    <x v="1"/>
    <x v="0"/>
    <d v="2006-12-08T00:00:00"/>
    <d v="1899-12-30T00:00:00"/>
  </r>
  <r>
    <n v="623"/>
    <x v="0"/>
    <x v="35"/>
    <x v="497"/>
    <n v="6298"/>
    <x v="300"/>
    <m/>
    <m/>
    <x v="1"/>
    <d v="2005-07-12T00:00:00"/>
    <x v="6"/>
    <m/>
    <d v="2006-03-13T00:00:00"/>
    <x v="4"/>
    <x v="0"/>
    <x v="0"/>
    <x v="4"/>
    <x v="0"/>
    <m/>
    <d v="2006-09-22T00:00:00"/>
    <x v="80"/>
    <m/>
    <n v="7500"/>
    <x v="0"/>
    <x v="0"/>
    <n v="57500"/>
    <m/>
    <x v="1"/>
    <n v="0"/>
    <x v="0"/>
    <x v="0"/>
    <m/>
    <m/>
    <x v="0"/>
    <d v="2008-09-08T00:00:00"/>
    <x v="0"/>
    <m/>
    <x v="3"/>
    <x v="1"/>
    <s v="O"/>
    <x v="13"/>
    <x v="0"/>
    <x v="22"/>
    <s v="João Mário Grilo"/>
    <x v="60"/>
    <x v="14"/>
    <x v="2"/>
    <x v="1"/>
    <x v="0"/>
    <d v="1899-12-30T00:00:00"/>
    <d v="1899-12-30T00:00:00"/>
  </r>
  <r>
    <n v="624"/>
    <x v="0"/>
    <x v="23"/>
    <x v="498"/>
    <n v="8471"/>
    <x v="301"/>
    <m/>
    <m/>
    <x v="1"/>
    <d v="2003-09-26T00:00:00"/>
    <x v="9"/>
    <m/>
    <d v="2004-06-01T00:00:00"/>
    <x v="5"/>
    <x v="0"/>
    <x v="0"/>
    <x v="4"/>
    <x v="0"/>
    <m/>
    <d v="2005-01-31T00:00:00"/>
    <x v="80"/>
    <m/>
    <n v="7500"/>
    <x v="0"/>
    <x v="0"/>
    <n v="57500"/>
    <m/>
    <x v="1"/>
    <n v="0"/>
    <x v="0"/>
    <x v="0"/>
    <m/>
    <m/>
    <x v="0"/>
    <d v="2008-09-02T00:00:00"/>
    <x v="0"/>
    <m/>
    <x v="3"/>
    <x v="9"/>
    <s v="R"/>
    <x v="13"/>
    <x v="0"/>
    <x v="63"/>
    <s v="Manuel Mozos"/>
    <x v="106"/>
    <x v="6"/>
    <x v="2"/>
    <x v="0"/>
    <x v="0"/>
    <d v="1899-12-30T00:00:00"/>
    <d v="1899-12-30T00:00:00"/>
  </r>
  <r>
    <n v="625"/>
    <x v="0"/>
    <x v="145"/>
    <x v="499"/>
    <n v="7643"/>
    <x v="302"/>
    <m/>
    <s v="Traços Negros"/>
    <x v="1"/>
    <d v="2005-07-12T00:00:00"/>
    <x v="6"/>
    <m/>
    <d v="2006-03-13T00:00:00"/>
    <x v="4"/>
    <x v="0"/>
    <x v="0"/>
    <x v="4"/>
    <x v="0"/>
    <m/>
    <d v="2006-11-20T00:00:00"/>
    <x v="80"/>
    <m/>
    <n v="7500"/>
    <x v="0"/>
    <x v="0"/>
    <n v="57500"/>
    <m/>
    <x v="1"/>
    <n v="0"/>
    <x v="0"/>
    <x v="0"/>
    <m/>
    <m/>
    <x v="0"/>
    <d v="2008-05-27T00:00:00"/>
    <x v="0"/>
    <m/>
    <x v="3"/>
    <x v="11"/>
    <s v="R"/>
    <x v="13"/>
    <x v="0"/>
    <x v="261"/>
    <s v="Inês Sapeta Dias"/>
    <x v="47"/>
    <x v="14"/>
    <x v="2"/>
    <x v="1"/>
    <x v="0"/>
    <d v="1899-12-30T00:00:00"/>
    <d v="1899-12-30T00:00:00"/>
  </r>
  <r>
    <n v="626"/>
    <x v="0"/>
    <x v="24"/>
    <x v="500"/>
    <n v="11886"/>
    <x v="303"/>
    <m/>
    <s v="Amadeo"/>
    <x v="0"/>
    <d v="2006-10-16T00:00:00"/>
    <x v="4"/>
    <m/>
    <d v="2007-05-11T00:00:00"/>
    <x v="3"/>
    <x v="0"/>
    <x v="0"/>
    <x v="3"/>
    <x v="0"/>
    <m/>
    <d v="2007-10-18T00:00:00"/>
    <x v="9"/>
    <m/>
    <n v="6750"/>
    <x v="0"/>
    <x v="0"/>
    <n v="51750"/>
    <m/>
    <x v="1"/>
    <n v="0"/>
    <x v="0"/>
    <x v="0"/>
    <d v="2007-10-22T00:00:00"/>
    <m/>
    <x v="0"/>
    <d v="2008-12-22T00:00:00"/>
    <x v="0"/>
    <m/>
    <x v="2"/>
    <x v="10"/>
    <s v="C"/>
    <x v="13"/>
    <x v="0"/>
    <x v="176"/>
    <s v="Edgar Pêra"/>
    <x v="115"/>
    <x v="6"/>
    <x v="0"/>
    <x v="1"/>
    <x v="0"/>
    <d v="2007-10-22T00:00:00"/>
    <d v="1899-12-30T00:00:00"/>
  </r>
  <r>
    <n v="627"/>
    <x v="0"/>
    <x v="146"/>
    <x v="501"/>
    <n v="10576"/>
    <x v="304"/>
    <m/>
    <m/>
    <x v="1"/>
    <d v="2001-10-19T00:00:00"/>
    <x v="16"/>
    <m/>
    <d v="2002-04-03T00:00:00"/>
    <x v="17"/>
    <x v="0"/>
    <x v="0"/>
    <x v="3"/>
    <x v="0"/>
    <m/>
    <m/>
    <x v="204"/>
    <n v="42489.18"/>
    <m/>
    <x v="0"/>
    <x v="0"/>
    <n v="42489.18"/>
    <m/>
    <x v="1"/>
    <n v="0"/>
    <x v="0"/>
    <x v="0"/>
    <m/>
    <m/>
    <x v="0"/>
    <d v="2008-10-31T00:00:00"/>
    <x v="0"/>
    <m/>
    <x v="2"/>
    <x v="20"/>
    <s v="1"/>
    <x v="13"/>
    <x v="0"/>
    <x v="262"/>
    <s v="Nuno Tudela"/>
    <x v="39"/>
    <x v="8"/>
    <x v="0"/>
    <x v="1"/>
    <x v="0"/>
    <d v="1899-12-30T00:00:00"/>
    <d v="1899-12-30T00:00:00"/>
  </r>
  <r>
    <n v="628"/>
    <x v="0"/>
    <x v="147"/>
    <x v="502"/>
    <n v="11884"/>
    <x v="305"/>
    <m/>
    <m/>
    <x v="2"/>
    <d v="2006-10-16T00:00:00"/>
    <x v="4"/>
    <m/>
    <d v="2007-05-11T00:00:00"/>
    <x v="3"/>
    <x v="0"/>
    <x v="0"/>
    <x v="3"/>
    <x v="0"/>
    <m/>
    <m/>
    <x v="3"/>
    <m/>
    <n v="3000"/>
    <x v="0"/>
    <x v="0"/>
    <n v="23000"/>
    <m/>
    <x v="1"/>
    <n v="0"/>
    <x v="0"/>
    <x v="0"/>
    <m/>
    <m/>
    <x v="0"/>
    <d v="2008-10-10T00:00:00"/>
    <x v="0"/>
    <m/>
    <x v="2"/>
    <x v="9"/>
    <s v="A"/>
    <x v="13"/>
    <x v="0"/>
    <x v="263"/>
    <s v="Rita Teles"/>
    <x v="139"/>
    <x v="14"/>
    <x v="0"/>
    <x v="1"/>
    <x v="0"/>
    <d v="1899-12-30T00:00:00"/>
    <d v="1899-12-30T00:00:00"/>
  </r>
  <r>
    <n v="629"/>
    <x v="0"/>
    <x v="23"/>
    <x v="503"/>
    <n v="11883"/>
    <x v="306"/>
    <m/>
    <m/>
    <x v="1"/>
    <d v="2005-07-01T00:00:00"/>
    <x v="6"/>
    <m/>
    <d v="2006-04-24T00:00:00"/>
    <x v="4"/>
    <x v="0"/>
    <x v="0"/>
    <x v="3"/>
    <x v="0"/>
    <m/>
    <d v="2008-02-18T00:00:00"/>
    <x v="9"/>
    <m/>
    <n v="6750"/>
    <x v="0"/>
    <x v="0"/>
    <n v="51750"/>
    <m/>
    <x v="1"/>
    <n v="0"/>
    <x v="0"/>
    <x v="0"/>
    <d v="2008-03-24T00:00:00"/>
    <d v="2008-04-01T00:00:00"/>
    <x v="1"/>
    <d v="2008-09-17T00:00:00"/>
    <x v="0"/>
    <m/>
    <x v="2"/>
    <x v="9"/>
    <s v="A"/>
    <x v="13"/>
    <x v="0"/>
    <x v="93"/>
    <s v="Miguel Fonseca"/>
    <x v="39"/>
    <x v="14"/>
    <x v="0"/>
    <x v="1"/>
    <x v="0"/>
    <d v="2008-03-24T00:00:00"/>
    <d v="2008-04-01T00:00:00"/>
  </r>
  <r>
    <n v="630"/>
    <x v="0"/>
    <x v="9"/>
    <x v="504"/>
    <n v="11882"/>
    <x v="307"/>
    <m/>
    <m/>
    <x v="2"/>
    <d v="2006-10-16T00:00:00"/>
    <x v="4"/>
    <m/>
    <d v="2007-05-11T00:00:00"/>
    <x v="3"/>
    <x v="0"/>
    <x v="0"/>
    <x v="3"/>
    <x v="0"/>
    <m/>
    <d v="2007-07-12T00:00:00"/>
    <x v="3"/>
    <m/>
    <n v="3000"/>
    <x v="0"/>
    <x v="0"/>
    <n v="23000"/>
    <m/>
    <x v="1"/>
    <n v="0"/>
    <x v="0"/>
    <x v="0"/>
    <m/>
    <m/>
    <x v="0"/>
    <d v="2008-09-09T00:00:00"/>
    <x v="0"/>
    <m/>
    <x v="2"/>
    <x v="3"/>
    <s v="A"/>
    <x v="13"/>
    <x v="0"/>
    <x v="264"/>
    <s v="Nuno Canavarro"/>
    <x v="183"/>
    <x v="14"/>
    <x v="0"/>
    <x v="1"/>
    <x v="0"/>
    <d v="1899-12-30T00:00:00"/>
    <d v="1899-12-30T00:00:00"/>
  </r>
  <r>
    <n v="631"/>
    <x v="0"/>
    <x v="136"/>
    <x v="505"/>
    <n v="7449"/>
    <x v="308"/>
    <m/>
    <m/>
    <x v="0"/>
    <d v="2006-10-16T00:00:00"/>
    <x v="4"/>
    <m/>
    <d v="2007-05-11T00:00:00"/>
    <x v="3"/>
    <x v="0"/>
    <x v="0"/>
    <x v="3"/>
    <x v="0"/>
    <m/>
    <d v="2007-09-17T00:00:00"/>
    <x v="9"/>
    <m/>
    <n v="6750"/>
    <x v="0"/>
    <x v="0"/>
    <n v="51750"/>
    <m/>
    <x v="1"/>
    <n v="0"/>
    <x v="0"/>
    <x v="0"/>
    <m/>
    <m/>
    <x v="0"/>
    <d v="2008-08-22T00:00:00"/>
    <x v="0"/>
    <m/>
    <x v="2"/>
    <x v="0"/>
    <s v="A"/>
    <x v="13"/>
    <x v="0"/>
    <x v="234"/>
    <s v="Jorge Silva Melo"/>
    <x v="76"/>
    <x v="14"/>
    <x v="0"/>
    <x v="1"/>
    <x v="0"/>
    <d v="1899-12-30T00:00:00"/>
    <d v="1899-12-30T00:00:00"/>
  </r>
  <r>
    <n v="632"/>
    <x v="0"/>
    <x v="5"/>
    <x v="506"/>
    <n v="10516"/>
    <x v="309"/>
    <m/>
    <s v="A 28ª Semana"/>
    <x v="1"/>
    <d v="2002-09-27T00:00:00"/>
    <x v="14"/>
    <m/>
    <d v="2003-08-01T00:00:00"/>
    <x v="14"/>
    <x v="0"/>
    <x v="0"/>
    <x v="3"/>
    <x v="0"/>
    <d v="2003-09-11T00:00:00"/>
    <d v="2004-05-10T00:00:00"/>
    <x v="9"/>
    <m/>
    <m/>
    <x v="0"/>
    <x v="0"/>
    <n v="45000"/>
    <m/>
    <x v="1"/>
    <n v="0"/>
    <x v="0"/>
    <x v="0"/>
    <d v="2006-02-22T00:00:00"/>
    <m/>
    <x v="0"/>
    <d v="2008-05-26T00:00:00"/>
    <x v="0"/>
    <m/>
    <x v="2"/>
    <x v="1"/>
    <s v="P"/>
    <x v="13"/>
    <x v="0"/>
    <x v="12"/>
    <s v="João Figueiras"/>
    <x v="20"/>
    <x v="14"/>
    <x v="0"/>
    <x v="1"/>
    <x v="0"/>
    <d v="2006-02-22T00:00:00"/>
    <d v="1899-12-30T00:00:00"/>
  </r>
  <r>
    <n v="633"/>
    <x v="0"/>
    <x v="41"/>
    <x v="507"/>
    <n v="11881"/>
    <x v="310"/>
    <m/>
    <m/>
    <x v="1"/>
    <d v="2004-09-17T00:00:00"/>
    <x v="5"/>
    <m/>
    <d v="2005-05-20T00:00:00"/>
    <x v="6"/>
    <x v="0"/>
    <x v="0"/>
    <x v="3"/>
    <x v="0"/>
    <m/>
    <d v="2006-02-13T00:00:00"/>
    <x v="9"/>
    <m/>
    <n v="5265"/>
    <x v="0"/>
    <x v="0"/>
    <n v="50265"/>
    <m/>
    <x v="1"/>
    <n v="0"/>
    <x v="0"/>
    <x v="0"/>
    <m/>
    <m/>
    <x v="0"/>
    <d v="2008-05-09T00:00:00"/>
    <x v="0"/>
    <m/>
    <x v="2"/>
    <x v="13"/>
    <s v="F"/>
    <x v="13"/>
    <x v="0"/>
    <x v="265"/>
    <s v="João Paulo Oliveira"/>
    <x v="184"/>
    <x v="14"/>
    <x v="0"/>
    <x v="1"/>
    <x v="0"/>
    <d v="1899-12-30T00:00:00"/>
    <d v="1899-12-30T00:00:00"/>
  </r>
  <r>
    <n v="634"/>
    <x v="0"/>
    <x v="9"/>
    <x v="508"/>
    <n v="8184"/>
    <x v="311"/>
    <m/>
    <m/>
    <x v="1"/>
    <d v="2004-09-17T00:00:00"/>
    <x v="5"/>
    <m/>
    <d v="2005-05-20T00:00:00"/>
    <x v="6"/>
    <x v="0"/>
    <x v="0"/>
    <x v="3"/>
    <x v="0"/>
    <d v="2005-08-12T00:00:00"/>
    <d v="2006-08-10T00:00:00"/>
    <x v="9"/>
    <m/>
    <n v="6750"/>
    <x v="0"/>
    <x v="0"/>
    <n v="51750"/>
    <m/>
    <x v="1"/>
    <n v="0"/>
    <x v="0"/>
    <x v="0"/>
    <m/>
    <m/>
    <x v="0"/>
    <d v="2008-04-16T00:00:00"/>
    <x v="0"/>
    <m/>
    <x v="2"/>
    <x v="3"/>
    <s v="A"/>
    <x v="13"/>
    <x v="0"/>
    <x v="97"/>
    <s v="José Filipe Costa"/>
    <x v="185"/>
    <x v="14"/>
    <x v="0"/>
    <x v="1"/>
    <x v="0"/>
    <d v="1899-12-30T00:00:00"/>
    <d v="1899-12-30T00:00:00"/>
  </r>
  <r>
    <n v="635"/>
    <x v="0"/>
    <x v="10"/>
    <x v="509"/>
    <n v="11942"/>
    <x v="312"/>
    <m/>
    <m/>
    <x v="1"/>
    <d v="2006-10-16T00:00:00"/>
    <x v="4"/>
    <m/>
    <d v="2007-05-11T00:00:00"/>
    <x v="3"/>
    <x v="0"/>
    <x v="0"/>
    <x v="3"/>
    <x v="0"/>
    <d v="2007-06-14T00:00:00"/>
    <d v="2007-12-14T00:00:00"/>
    <x v="3"/>
    <m/>
    <n v="3000"/>
    <x v="0"/>
    <x v="0"/>
    <n v="23000"/>
    <m/>
    <x v="1"/>
    <n v="0"/>
    <x v="0"/>
    <x v="0"/>
    <m/>
    <m/>
    <x v="0"/>
    <d v="2008-04-15T00:00:00"/>
    <x v="0"/>
    <m/>
    <x v="2"/>
    <x v="4"/>
    <s v="O"/>
    <x v="13"/>
    <x v="0"/>
    <x v="266"/>
    <s v="Sílvio Varela Sousa"/>
    <x v="139"/>
    <x v="8"/>
    <x v="0"/>
    <x v="1"/>
    <x v="0"/>
    <d v="1899-12-30T00:00:00"/>
    <d v="1899-12-30T00:00:00"/>
  </r>
  <r>
    <n v="636"/>
    <x v="0"/>
    <x v="34"/>
    <x v="510"/>
    <n v="11880"/>
    <x v="313"/>
    <m/>
    <m/>
    <x v="1"/>
    <d v="2004-09-17T00:00:00"/>
    <x v="5"/>
    <m/>
    <d v="2005-05-20T00:00:00"/>
    <x v="6"/>
    <x v="0"/>
    <x v="0"/>
    <x v="3"/>
    <x v="0"/>
    <m/>
    <d v="2006-01-31T00:00:00"/>
    <x v="9"/>
    <m/>
    <n v="5265"/>
    <x v="0"/>
    <x v="0"/>
    <n v="50265"/>
    <m/>
    <x v="1"/>
    <n v="0"/>
    <x v="0"/>
    <x v="0"/>
    <d v="2007-04-23T00:00:00"/>
    <m/>
    <x v="0"/>
    <d v="2008-04-10T00:00:00"/>
    <x v="0"/>
    <m/>
    <x v="2"/>
    <x v="0"/>
    <s v="M"/>
    <x v="13"/>
    <x v="0"/>
    <x v="267"/>
    <s v="António Duarte"/>
    <x v="186"/>
    <x v="8"/>
    <x v="0"/>
    <x v="1"/>
    <x v="0"/>
    <d v="2007-04-23T00:00:00"/>
    <d v="1899-12-30T00:00:00"/>
  </r>
  <r>
    <n v="637"/>
    <x v="0"/>
    <x v="13"/>
    <x v="511"/>
    <n v="11879"/>
    <x v="314"/>
    <m/>
    <s v="Lift Off"/>
    <x v="0"/>
    <d v="2006-10-16T00:00:00"/>
    <x v="4"/>
    <m/>
    <d v="2007-05-11T00:00:00"/>
    <x v="3"/>
    <x v="0"/>
    <x v="0"/>
    <x v="3"/>
    <x v="0"/>
    <d v="2007-07-12T00:00:00"/>
    <d v="2007-10-10T00:00:00"/>
    <x v="9"/>
    <m/>
    <n v="6750"/>
    <x v="0"/>
    <x v="0"/>
    <n v="51750"/>
    <m/>
    <x v="1"/>
    <n v="0"/>
    <x v="0"/>
    <x v="0"/>
    <m/>
    <m/>
    <x v="0"/>
    <d v="2008-04-03T00:00:00"/>
    <x v="0"/>
    <m/>
    <x v="2"/>
    <x v="4"/>
    <s v="V"/>
    <x v="13"/>
    <x v="0"/>
    <x v="252"/>
    <s v="António Escudeiro"/>
    <x v="57"/>
    <x v="14"/>
    <x v="0"/>
    <x v="1"/>
    <x v="0"/>
    <d v="1899-12-30T00:00:00"/>
    <d v="1899-12-30T00:00:00"/>
  </r>
  <r>
    <n v="638"/>
    <x v="0"/>
    <x v="148"/>
    <x v="512"/>
    <n v="11877"/>
    <x v="315"/>
    <m/>
    <m/>
    <x v="1"/>
    <d v="2005-07-01T00:00:00"/>
    <x v="6"/>
    <m/>
    <d v="2006-04-24T00:00:00"/>
    <x v="4"/>
    <x v="0"/>
    <x v="0"/>
    <x v="3"/>
    <x v="0"/>
    <d v="2006-08-17T00:00:00"/>
    <d v="2006-12-13T00:00:00"/>
    <x v="9"/>
    <m/>
    <n v="6750"/>
    <x v="0"/>
    <x v="0"/>
    <n v="51750"/>
    <m/>
    <x v="1"/>
    <n v="0"/>
    <x v="0"/>
    <x v="0"/>
    <d v="2006-11-30T00:00:00"/>
    <m/>
    <x v="0"/>
    <d v="2008-04-03T00:00:00"/>
    <x v="0"/>
    <m/>
    <x v="2"/>
    <x v="14"/>
    <s v="A"/>
    <x v="13"/>
    <x v="0"/>
    <x v="268"/>
    <s v="Leonardo António"/>
    <x v="136"/>
    <x v="14"/>
    <x v="0"/>
    <x v="1"/>
    <x v="0"/>
    <d v="2006-11-30T00:00:00"/>
    <d v="1899-12-30T00:00:00"/>
  </r>
  <r>
    <n v="639"/>
    <x v="0"/>
    <x v="149"/>
    <x v="513"/>
    <n v="11943"/>
    <x v="316"/>
    <m/>
    <s v="Mundo Vieira"/>
    <x v="1"/>
    <d v="2006-10-16T00:00:00"/>
    <x v="4"/>
    <m/>
    <d v="2007-05-11T00:00:00"/>
    <x v="3"/>
    <x v="0"/>
    <x v="0"/>
    <x v="3"/>
    <x v="0"/>
    <m/>
    <d v="2007-10-17T00:00:00"/>
    <x v="3"/>
    <m/>
    <m/>
    <x v="0"/>
    <x v="0"/>
    <n v="20000"/>
    <m/>
    <x v="1"/>
    <n v="0"/>
    <x v="0"/>
    <x v="0"/>
    <m/>
    <m/>
    <x v="0"/>
    <d v="2008-03-10T00:00:00"/>
    <x v="0"/>
    <m/>
    <x v="2"/>
    <x v="9"/>
    <s v="U"/>
    <x v="13"/>
    <x v="0"/>
    <x v="269"/>
    <s v="Filipe Melo"/>
    <x v="187"/>
    <x v="14"/>
    <x v="0"/>
    <x v="1"/>
    <x v="0"/>
    <d v="1899-12-30T00:00:00"/>
    <d v="1899-12-30T00:00:00"/>
  </r>
  <r>
    <n v="640"/>
    <x v="0"/>
    <x v="150"/>
    <x v="514"/>
    <n v="11875"/>
    <x v="317"/>
    <m/>
    <s v="Quando Insuflados os Corações Plásticos Escorregam na Lama"/>
    <x v="1"/>
    <d v="2005-07-01T00:00:00"/>
    <x v="6"/>
    <m/>
    <d v="2006-04-24T00:00:00"/>
    <x v="4"/>
    <x v="0"/>
    <x v="0"/>
    <x v="3"/>
    <x v="0"/>
    <d v="2006-11-15T00:00:00"/>
    <d v="2007-03-20T00:00:00"/>
    <x v="75"/>
    <m/>
    <n v="6000"/>
    <x v="0"/>
    <x v="0"/>
    <n v="46000"/>
    <m/>
    <x v="1"/>
    <n v="0"/>
    <x v="0"/>
    <x v="0"/>
    <m/>
    <m/>
    <x v="0"/>
    <d v="2008-03-04T00:00:00"/>
    <x v="0"/>
    <m/>
    <x v="2"/>
    <x v="0"/>
    <s v="C"/>
    <x v="13"/>
    <x v="0"/>
    <x v="207"/>
    <s v="Sérgio Brás D'Almeida"/>
    <x v="188"/>
    <x v="14"/>
    <x v="0"/>
    <x v="1"/>
    <x v="0"/>
    <d v="1899-12-30T00:00:00"/>
    <d v="1899-12-30T00:00:00"/>
  </r>
  <r>
    <n v="641"/>
    <x v="0"/>
    <x v="52"/>
    <x v="515"/>
    <n v="11874"/>
    <x v="318"/>
    <m/>
    <s v="Diz-me o Que Sonhas"/>
    <x v="0"/>
    <d v="2006-10-16T00:00:00"/>
    <x v="4"/>
    <m/>
    <d v="2007-05-11T00:00:00"/>
    <x v="3"/>
    <x v="0"/>
    <x v="0"/>
    <x v="3"/>
    <x v="0"/>
    <m/>
    <d v="2007-05-31T00:00:00"/>
    <x v="9"/>
    <m/>
    <m/>
    <x v="0"/>
    <x v="0"/>
    <n v="45000"/>
    <m/>
    <x v="1"/>
    <n v="0"/>
    <x v="0"/>
    <x v="0"/>
    <d v="2007-06-01T00:00:00"/>
    <m/>
    <x v="0"/>
    <d v="2008-01-17T00:00:00"/>
    <x v="0"/>
    <m/>
    <x v="2"/>
    <x v="2"/>
    <s v="D"/>
    <x v="13"/>
    <x v="0"/>
    <x v="136"/>
    <s v="Isabel Aboim Inglez"/>
    <x v="189"/>
    <x v="14"/>
    <x v="0"/>
    <x v="1"/>
    <x v="0"/>
    <d v="2007-06-01T00:00:00"/>
    <d v="1899-12-30T00:00:00"/>
  </r>
  <r>
    <n v="642"/>
    <x v="0"/>
    <x v="31"/>
    <x v="516"/>
    <n v="6522"/>
    <x v="319"/>
    <m/>
    <s v="Naturezas Mortas"/>
    <x v="2"/>
    <d v="2004-01-02T00:00:00"/>
    <x v="5"/>
    <d v="2004-02-16T00:00:00"/>
    <d v="2004-04-22T00:00:00"/>
    <x v="5"/>
    <x v="0"/>
    <x v="0"/>
    <x v="9"/>
    <x v="0"/>
    <m/>
    <d v="2007-04-13T00:00:00"/>
    <x v="23"/>
    <m/>
    <n v="97500"/>
    <x v="0"/>
    <x v="0"/>
    <n v="747500"/>
    <m/>
    <x v="1"/>
    <n v="0"/>
    <x v="0"/>
    <x v="0"/>
    <m/>
    <m/>
    <x v="0"/>
    <d v="2008-11-05T00:00:00"/>
    <x v="0"/>
    <m/>
    <x v="0"/>
    <x v="12"/>
    <s v="A"/>
    <x v="13"/>
    <x v="0"/>
    <x v="66"/>
    <s v="Leonel Vieira"/>
    <x v="36"/>
    <x v="14"/>
    <x v="0"/>
    <x v="0"/>
    <x v="0"/>
    <d v="1899-12-30T00:00:00"/>
    <d v="1899-12-30T00:00:00"/>
  </r>
  <r>
    <n v="643"/>
    <x v="0"/>
    <x v="46"/>
    <x v="517"/>
    <n v="6670"/>
    <x v="320"/>
    <m/>
    <s v="Requiem Para D. Quixote"/>
    <x v="1"/>
    <d v="2004-07-16T00:00:00"/>
    <x v="5"/>
    <m/>
    <d v="2005-05-23T00:00:00"/>
    <x v="6"/>
    <x v="0"/>
    <x v="0"/>
    <x v="11"/>
    <x v="0"/>
    <d v="2005-07-05T00:00:00"/>
    <d v="2007-01-31T00:00:00"/>
    <x v="21"/>
    <m/>
    <m/>
    <x v="0"/>
    <x v="0"/>
    <n v="450000"/>
    <m/>
    <x v="1"/>
    <n v="0"/>
    <x v="4"/>
    <x v="0"/>
    <d v="2005-05-10T00:00:00"/>
    <d v="2008-01-14T00:00:00"/>
    <x v="0"/>
    <d v="2008-10-30T00:00:00"/>
    <x v="0"/>
    <m/>
    <x v="0"/>
    <x v="17"/>
    <s v="C"/>
    <x v="13"/>
    <x v="0"/>
    <x v="23"/>
    <s v="Nicolau Breyner"/>
    <x v="131"/>
    <x v="14"/>
    <x v="0"/>
    <x v="0"/>
    <x v="0"/>
    <d v="2005-05-10T00:00:00"/>
    <d v="2008-01-14T00:00:00"/>
  </r>
  <r>
    <n v="644"/>
    <x v="0"/>
    <x v="151"/>
    <x v="518"/>
    <n v="6569"/>
    <x v="321"/>
    <m/>
    <s v="Em Tempo Real"/>
    <x v="3"/>
    <m/>
    <x v="8"/>
    <m/>
    <d v="2005-08-18T00:00:00"/>
    <x v="6"/>
    <x v="0"/>
    <x v="0"/>
    <x v="28"/>
    <x v="0"/>
    <m/>
    <d v="2005-08-18T00:00:00"/>
    <x v="174"/>
    <m/>
    <m/>
    <x v="2"/>
    <x v="0"/>
    <n v="75000"/>
    <m/>
    <x v="1"/>
    <n v="0"/>
    <x v="0"/>
    <x v="0"/>
    <m/>
    <m/>
    <x v="0"/>
    <d v="2008-10-21T00:00:00"/>
    <x v="11"/>
    <m/>
    <x v="0"/>
    <x v="4"/>
    <s v="1"/>
    <x v="13"/>
    <x v="0"/>
    <x v="270"/>
    <s v="Daniel Souza"/>
    <x v="53"/>
    <x v="14"/>
    <x v="0"/>
    <x v="0"/>
    <x v="0"/>
    <d v="1899-12-30T00:00:00"/>
    <d v="1899-12-30T00:00:00"/>
  </r>
  <r>
    <n v="645"/>
    <x v="0"/>
    <x v="8"/>
    <x v="519"/>
    <n v="7221"/>
    <x v="322"/>
    <m/>
    <m/>
    <x v="0"/>
    <d v="2003-08-15T00:00:00"/>
    <x v="9"/>
    <m/>
    <d v="2004-02-12T00:00:00"/>
    <x v="5"/>
    <x v="0"/>
    <x v="0"/>
    <x v="0"/>
    <x v="0"/>
    <m/>
    <d v="2005-05-04T00:00:00"/>
    <x v="23"/>
    <m/>
    <n v="97500"/>
    <x v="0"/>
    <x v="0"/>
    <n v="747500"/>
    <m/>
    <x v="1"/>
    <n v="0"/>
    <x v="0"/>
    <x v="0"/>
    <d v="2007-05-03T00:00:00"/>
    <m/>
    <x v="15"/>
    <d v="2008-08-04T00:00:00"/>
    <x v="0"/>
    <m/>
    <x v="0"/>
    <x v="2"/>
    <s v="O"/>
    <x v="13"/>
    <x v="0"/>
    <x v="194"/>
    <s v="Francisco Manso"/>
    <x v="111"/>
    <x v="6"/>
    <x v="0"/>
    <x v="0"/>
    <x v="0"/>
    <d v="2007-05-03T00:00:00"/>
    <d v="1899-12-30T00:00:00"/>
  </r>
  <r>
    <n v="646"/>
    <x v="0"/>
    <x v="52"/>
    <x v="520"/>
    <n v="6680"/>
    <x v="323"/>
    <m/>
    <m/>
    <x v="0"/>
    <d v="2004-07-16T00:00:00"/>
    <x v="5"/>
    <d v="2004-09-17T00:00:00"/>
    <d v="2005-02-24T00:00:00"/>
    <x v="6"/>
    <x v="0"/>
    <x v="0"/>
    <x v="0"/>
    <x v="0"/>
    <d v="2005-03-03T00:00:00"/>
    <d v="2006-03-06T00:00:00"/>
    <x v="23"/>
    <m/>
    <n v="76050"/>
    <x v="0"/>
    <x v="0"/>
    <n v="726050"/>
    <m/>
    <x v="1"/>
    <n v="0"/>
    <x v="0"/>
    <x v="0"/>
    <d v="2005-12-12T00:00:00"/>
    <m/>
    <x v="0"/>
    <d v="2008-06-06T00:00:00"/>
    <x v="0"/>
    <m/>
    <x v="0"/>
    <x v="2"/>
    <s v="V"/>
    <x v="13"/>
    <x v="0"/>
    <x v="271"/>
    <s v="Raquel Freire"/>
    <x v="46"/>
    <x v="14"/>
    <x v="0"/>
    <x v="0"/>
    <x v="0"/>
    <d v="2005-12-12T00:00:00"/>
    <d v="1899-12-30T00:00:00"/>
  </r>
  <r>
    <n v="647"/>
    <x v="0"/>
    <x v="23"/>
    <x v="521"/>
    <n v="6204"/>
    <x v="324"/>
    <m/>
    <m/>
    <x v="2"/>
    <d v="2004-12-03T00:00:00"/>
    <x v="5"/>
    <d v="2005-01-24T00:00:00"/>
    <d v="2005-06-01T00:00:00"/>
    <x v="6"/>
    <x v="0"/>
    <x v="0"/>
    <x v="0"/>
    <x v="0"/>
    <m/>
    <d v="2006-02-13T00:00:00"/>
    <x v="23"/>
    <m/>
    <n v="76050"/>
    <x v="0"/>
    <x v="0"/>
    <n v="726050"/>
    <m/>
    <x v="1"/>
    <n v="0"/>
    <x v="0"/>
    <x v="0"/>
    <d v="2006-08-06T00:00:00"/>
    <d v="2006-08-14T00:00:00"/>
    <x v="1"/>
    <d v="2008-05-28T00:00:00"/>
    <x v="0"/>
    <m/>
    <x v="0"/>
    <x v="9"/>
    <s v="A"/>
    <x v="13"/>
    <x v="0"/>
    <x v="47"/>
    <s v="Miguel Gomes"/>
    <x v="190"/>
    <x v="14"/>
    <x v="0"/>
    <x v="0"/>
    <x v="0"/>
    <d v="2006-08-06T00:00:00"/>
    <d v="2006-08-14T00:00:00"/>
  </r>
  <r>
    <n v="648"/>
    <x v="0"/>
    <x v="29"/>
    <x v="522"/>
    <n v="7522"/>
    <x v="325"/>
    <m/>
    <s v="Diana"/>
    <x v="2"/>
    <d v="2004-01-02T00:00:00"/>
    <x v="5"/>
    <d v="2004-04-01T00:00:00"/>
    <d v="2004-09-13T00:00:00"/>
    <x v="5"/>
    <x v="0"/>
    <x v="0"/>
    <x v="0"/>
    <x v="0"/>
    <d v="2004-10-28T00:00:00"/>
    <d v="2005-04-14T00:00:00"/>
    <x v="23"/>
    <m/>
    <n v="97500"/>
    <x v="0"/>
    <x v="0"/>
    <n v="747500"/>
    <m/>
    <x v="1"/>
    <n v="0"/>
    <x v="0"/>
    <x v="0"/>
    <m/>
    <m/>
    <x v="0"/>
    <d v="2008-03-28T00:00:00"/>
    <x v="0"/>
    <m/>
    <x v="0"/>
    <x v="11"/>
    <s v="4"/>
    <x v="13"/>
    <x v="0"/>
    <x v="63"/>
    <s v="Manuel Mozos"/>
    <x v="61"/>
    <x v="14"/>
    <x v="0"/>
    <x v="0"/>
    <x v="0"/>
    <d v="1899-12-30T00:00:00"/>
    <d v="1899-12-30T00:00:00"/>
  </r>
  <r>
    <n v="649"/>
    <x v="0"/>
    <x v="8"/>
    <x v="523"/>
    <n v="5733"/>
    <x v="326"/>
    <m/>
    <m/>
    <x v="1"/>
    <d v="2004-05-03T00:00:00"/>
    <x v="5"/>
    <m/>
    <d v="2004-12-14T00:00:00"/>
    <x v="5"/>
    <x v="0"/>
    <x v="0"/>
    <x v="8"/>
    <x v="0"/>
    <d v="2005-02-15T00:00:00"/>
    <d v="2005-09-09T00:00:00"/>
    <x v="21"/>
    <m/>
    <m/>
    <x v="0"/>
    <x v="0"/>
    <n v="450000"/>
    <m/>
    <x v="1"/>
    <n v="0"/>
    <x v="0"/>
    <x v="0"/>
    <d v="2005-02-15T00:00:00"/>
    <d v="2005-09-07T00:00:00"/>
    <x v="0"/>
    <d v="2008-02-07T00:00:00"/>
    <x v="0"/>
    <m/>
    <x v="0"/>
    <x v="2"/>
    <s v="A"/>
    <x v="13"/>
    <x v="0"/>
    <x v="194"/>
    <s v="Francisco Manso"/>
    <x v="21"/>
    <x v="14"/>
    <x v="0"/>
    <x v="0"/>
    <x v="0"/>
    <d v="2005-02-15T00:00:00"/>
    <d v="2005-09-07T00:00:00"/>
  </r>
  <r>
    <n v="650"/>
    <x v="0"/>
    <x v="1"/>
    <x v="524"/>
    <n v="11938"/>
    <x v="327"/>
    <m/>
    <m/>
    <x v="0"/>
    <d v="2002-08-02T00:00:00"/>
    <x v="14"/>
    <m/>
    <d v="2003-04-22T00:00:00"/>
    <x v="14"/>
    <x v="0"/>
    <x v="0"/>
    <x v="1"/>
    <x v="0"/>
    <d v="2003-06-12T00:00:00"/>
    <d v="2004-09-17T00:00:00"/>
    <x v="75"/>
    <m/>
    <m/>
    <x v="0"/>
    <x v="0"/>
    <n v="40000"/>
    <m/>
    <x v="1"/>
    <n v="0"/>
    <x v="0"/>
    <x v="0"/>
    <m/>
    <m/>
    <x v="0"/>
    <d v="2007-09-18T00:00:00"/>
    <x v="0"/>
    <m/>
    <x v="1"/>
    <x v="0"/>
    <s v="T"/>
    <x v="14"/>
    <x v="0"/>
    <x v="3"/>
    <s v="Nuno Amorim"/>
    <x v="3"/>
    <x v="14"/>
    <x v="1"/>
    <x v="1"/>
    <x v="0"/>
    <d v="1899-12-30T00:00:00"/>
    <d v="1899-12-30T00:00:00"/>
  </r>
  <r>
    <n v="651"/>
    <x v="0"/>
    <x v="44"/>
    <x v="525"/>
    <n v="11937"/>
    <x v="328"/>
    <m/>
    <m/>
    <x v="0"/>
    <d v="2002-08-02T00:00:00"/>
    <x v="14"/>
    <m/>
    <d v="2003-04-22T00:00:00"/>
    <x v="14"/>
    <x v="0"/>
    <x v="0"/>
    <x v="1"/>
    <x v="0"/>
    <d v="2003-05-21T00:00:00"/>
    <d v="2004-10-26T00:00:00"/>
    <x v="181"/>
    <m/>
    <m/>
    <x v="0"/>
    <x v="0"/>
    <n v="56000"/>
    <m/>
    <x v="1"/>
    <n v="0"/>
    <x v="0"/>
    <x v="0"/>
    <m/>
    <m/>
    <x v="0"/>
    <d v="2007-07-27T00:00:00"/>
    <x v="0"/>
    <m/>
    <x v="1"/>
    <x v="16"/>
    <s v="N"/>
    <x v="14"/>
    <x v="0"/>
    <x v="272"/>
    <s v="José Miguel Ribeiro, Marina Palácio"/>
    <x v="185"/>
    <x v="8"/>
    <x v="1"/>
    <x v="1"/>
    <x v="0"/>
    <d v="1899-12-30T00:00:00"/>
    <d v="1899-12-30T00:00:00"/>
  </r>
  <r>
    <n v="652"/>
    <x v="0"/>
    <x v="14"/>
    <x v="526"/>
    <n v="11936"/>
    <x v="329"/>
    <m/>
    <m/>
    <x v="2"/>
    <d v="1998-10-12T00:00:00"/>
    <x v="13"/>
    <m/>
    <d v="1999-02-17T00:00:00"/>
    <x v="12"/>
    <x v="0"/>
    <x v="0"/>
    <x v="1"/>
    <x v="0"/>
    <m/>
    <m/>
    <x v="144"/>
    <m/>
    <m/>
    <x v="0"/>
    <x v="0"/>
    <n v="34915.85"/>
    <m/>
    <x v="1"/>
    <n v="0"/>
    <x v="0"/>
    <x v="0"/>
    <m/>
    <m/>
    <x v="0"/>
    <d v="2007-07-25T00:00:00"/>
    <x v="0"/>
    <m/>
    <x v="1"/>
    <x v="4"/>
    <s v="C"/>
    <x v="14"/>
    <x v="0"/>
    <x v="273"/>
    <s v="Joana Toste"/>
    <x v="191"/>
    <x v="8"/>
    <x v="1"/>
    <x v="1"/>
    <x v="0"/>
    <d v="1899-12-30T00:00:00"/>
    <d v="1899-12-30T00:00:00"/>
  </r>
  <r>
    <n v="653"/>
    <x v="0"/>
    <x v="2"/>
    <x v="527"/>
    <n v="11935"/>
    <x v="330"/>
    <m/>
    <m/>
    <x v="1"/>
    <d v="2004-06-11T00:00:00"/>
    <x v="5"/>
    <m/>
    <d v="2005-02-21T00:00:00"/>
    <x v="6"/>
    <x v="0"/>
    <x v="0"/>
    <x v="1"/>
    <x v="0"/>
    <d v="2005-03-24T00:00:00"/>
    <d v="2005-11-02T00:00:00"/>
    <x v="181"/>
    <m/>
    <n v="6552"/>
    <x v="0"/>
    <x v="0"/>
    <n v="62552"/>
    <m/>
    <x v="1"/>
    <n v="0"/>
    <x v="0"/>
    <x v="0"/>
    <m/>
    <m/>
    <x v="0"/>
    <d v="2007-07-19T00:00:00"/>
    <x v="0"/>
    <m/>
    <x v="1"/>
    <x v="0"/>
    <s v="Z"/>
    <x v="14"/>
    <x v="0"/>
    <x v="274"/>
    <s v="André Letria"/>
    <x v="3"/>
    <x v="8"/>
    <x v="1"/>
    <x v="1"/>
    <x v="0"/>
    <d v="1899-12-30T00:00:00"/>
    <d v="1899-12-30T00:00:00"/>
  </r>
  <r>
    <n v="654"/>
    <x v="0"/>
    <x v="152"/>
    <x v="528"/>
    <n v="6729"/>
    <x v="331"/>
    <m/>
    <m/>
    <x v="1"/>
    <d v="2001-11-09T00:00:00"/>
    <x v="16"/>
    <m/>
    <d v="2002-07-15T00:00:00"/>
    <x v="17"/>
    <x v="0"/>
    <x v="0"/>
    <x v="1"/>
    <x v="0"/>
    <m/>
    <m/>
    <x v="205"/>
    <m/>
    <m/>
    <x v="0"/>
    <x v="0"/>
    <n v="55865.39"/>
    <m/>
    <x v="1"/>
    <n v="0"/>
    <x v="0"/>
    <x v="0"/>
    <m/>
    <m/>
    <x v="0"/>
    <d v="2007-07-02T00:00:00"/>
    <x v="0"/>
    <m/>
    <x v="1"/>
    <x v="13"/>
    <s v="O"/>
    <x v="14"/>
    <x v="0"/>
    <x v="123"/>
    <s v="Júlio Alves"/>
    <x v="109"/>
    <x v="8"/>
    <x v="1"/>
    <x v="1"/>
    <x v="0"/>
    <d v="1899-12-30T00:00:00"/>
    <d v="1899-12-30T00:00:00"/>
  </r>
  <r>
    <n v="655"/>
    <x v="0"/>
    <x v="153"/>
    <x v="529"/>
    <n v="11933"/>
    <x v="332"/>
    <m/>
    <m/>
    <x v="2"/>
    <d v="1999-10-06T00:00:00"/>
    <x v="12"/>
    <m/>
    <d v="2000-02-16T00:00:00"/>
    <x v="15"/>
    <x v="0"/>
    <x v="0"/>
    <x v="1"/>
    <x v="0"/>
    <m/>
    <m/>
    <x v="204"/>
    <m/>
    <m/>
    <x v="0"/>
    <x v="0"/>
    <n v="44891.81"/>
    <m/>
    <x v="1"/>
    <n v="0"/>
    <x v="0"/>
    <x v="0"/>
    <m/>
    <m/>
    <x v="0"/>
    <d v="2007-06-11T00:00:00"/>
    <x v="0"/>
    <m/>
    <x v="1"/>
    <x v="20"/>
    <s v="C"/>
    <x v="14"/>
    <x v="0"/>
    <x v="143"/>
    <s v="Zepe"/>
    <x v="115"/>
    <x v="8"/>
    <x v="1"/>
    <x v="1"/>
    <x v="0"/>
    <d v="1899-12-30T00:00:00"/>
    <d v="1899-12-30T00:00:00"/>
  </r>
  <r>
    <n v="656"/>
    <x v="0"/>
    <x v="8"/>
    <x v="530"/>
    <n v="11929"/>
    <x v="333"/>
    <m/>
    <m/>
    <x v="1"/>
    <d v="2001-11-09T00:00:00"/>
    <x v="16"/>
    <m/>
    <d v="2002-07-15T00:00:00"/>
    <x v="17"/>
    <x v="0"/>
    <x v="0"/>
    <x v="1"/>
    <x v="0"/>
    <m/>
    <m/>
    <x v="202"/>
    <m/>
    <m/>
    <x v="0"/>
    <x v="0"/>
    <n v="55865.36"/>
    <m/>
    <x v="1"/>
    <n v="0"/>
    <x v="0"/>
    <x v="0"/>
    <m/>
    <m/>
    <x v="0"/>
    <d v="2007-05-14T00:00:00"/>
    <x v="0"/>
    <m/>
    <x v="1"/>
    <x v="2"/>
    <s v="H"/>
    <x v="14"/>
    <x v="0"/>
    <x v="275"/>
    <s v="Pedro Teixeira"/>
    <x v="76"/>
    <x v="8"/>
    <x v="1"/>
    <x v="1"/>
    <x v="0"/>
    <d v="1899-12-30T00:00:00"/>
    <d v="1899-12-30T00:00:00"/>
  </r>
  <r>
    <n v="657"/>
    <x v="0"/>
    <x v="154"/>
    <x v="531"/>
    <n v="4968"/>
    <x v="334"/>
    <m/>
    <m/>
    <x v="0"/>
    <d v="1998-05-30T00:00:00"/>
    <x v="13"/>
    <m/>
    <d v="1998-09-04T00:00:00"/>
    <x v="13"/>
    <x v="0"/>
    <x v="0"/>
    <x v="1"/>
    <x v="0"/>
    <m/>
    <m/>
    <x v="174"/>
    <m/>
    <m/>
    <x v="0"/>
    <x v="0"/>
    <n v="0"/>
    <m/>
    <x v="1"/>
    <n v="0"/>
    <x v="0"/>
    <x v="0"/>
    <m/>
    <m/>
    <x v="0"/>
    <d v="2007-04-03T00:00:00"/>
    <x v="0"/>
    <m/>
    <x v="1"/>
    <x v="4"/>
    <s v="P"/>
    <x v="14"/>
    <x v="0"/>
    <x v="276"/>
    <s v="Joaquim Pinto, Nuno Leonel"/>
    <x v="138"/>
    <x v="8"/>
    <x v="1"/>
    <x v="1"/>
    <x v="0"/>
    <d v="1899-12-30T00:00:00"/>
    <d v="1899-12-30T00:00:00"/>
  </r>
  <r>
    <n v="658"/>
    <x v="0"/>
    <x v="14"/>
    <x v="532"/>
    <n v="10064"/>
    <x v="335"/>
    <m/>
    <m/>
    <x v="1"/>
    <d v="2001-11-09T00:00:00"/>
    <x v="16"/>
    <m/>
    <d v="2002-07-15T00:00:00"/>
    <x v="17"/>
    <x v="0"/>
    <x v="0"/>
    <x v="1"/>
    <x v="0"/>
    <m/>
    <m/>
    <x v="206"/>
    <m/>
    <m/>
    <x v="0"/>
    <x v="0"/>
    <n v="15961.53"/>
    <m/>
    <x v="1"/>
    <n v="0"/>
    <x v="0"/>
    <x v="0"/>
    <m/>
    <m/>
    <x v="0"/>
    <d v="2007-03-21T00:00:00"/>
    <x v="0"/>
    <m/>
    <x v="1"/>
    <x v="4"/>
    <s v="A"/>
    <x v="14"/>
    <x v="0"/>
    <x v="277"/>
    <s v="Clídio Nódio"/>
    <x v="105"/>
    <x v="9"/>
    <x v="1"/>
    <x v="1"/>
    <x v="0"/>
    <d v="1899-12-30T00:00:00"/>
    <d v="1899-12-30T00:00:00"/>
  </r>
  <r>
    <n v="659"/>
    <x v="0"/>
    <x v="2"/>
    <x v="533"/>
    <n v="11927"/>
    <x v="336"/>
    <m/>
    <s v="Silêncio"/>
    <x v="1"/>
    <d v="2003-08-15T00:00:00"/>
    <x v="9"/>
    <m/>
    <d v="2004-04-12T00:00:00"/>
    <x v="5"/>
    <x v="0"/>
    <x v="0"/>
    <x v="1"/>
    <x v="0"/>
    <d v="2004-05-17T00:00:00"/>
    <d v="2004-09-06T00:00:00"/>
    <x v="181"/>
    <m/>
    <m/>
    <x v="0"/>
    <x v="0"/>
    <n v="56000"/>
    <m/>
    <x v="1"/>
    <n v="0"/>
    <x v="0"/>
    <x v="0"/>
    <m/>
    <m/>
    <x v="0"/>
    <d v="2007-02-08T00:00:00"/>
    <x v="0"/>
    <m/>
    <x v="1"/>
    <x v="0"/>
    <s v="I"/>
    <x v="14"/>
    <x v="0"/>
    <x v="257"/>
    <s v="Irina Calado"/>
    <x v="43"/>
    <x v="8"/>
    <x v="1"/>
    <x v="1"/>
    <x v="0"/>
    <d v="1899-12-30T00:00:00"/>
    <d v="1899-12-30T00:00:00"/>
  </r>
  <r>
    <n v="660"/>
    <x v="0"/>
    <x v="1"/>
    <x v="534"/>
    <n v="11924"/>
    <x v="337"/>
    <m/>
    <m/>
    <x v="1"/>
    <d v="2001-11-09T00:00:00"/>
    <x v="16"/>
    <m/>
    <d v="2002-07-15T00:00:00"/>
    <x v="17"/>
    <x v="0"/>
    <x v="0"/>
    <x v="1"/>
    <x v="0"/>
    <m/>
    <m/>
    <x v="174"/>
    <m/>
    <m/>
    <x v="0"/>
    <x v="0"/>
    <n v="0"/>
    <m/>
    <x v="1"/>
    <n v="0"/>
    <x v="0"/>
    <x v="0"/>
    <m/>
    <m/>
    <x v="0"/>
    <d v="2007-02-07T00:00:00"/>
    <x v="0"/>
    <m/>
    <x v="1"/>
    <x v="0"/>
    <s v="O"/>
    <x v="14"/>
    <x v="0"/>
    <x v="3"/>
    <s v="Nuno Amorim"/>
    <x v="43"/>
    <x v="8"/>
    <x v="1"/>
    <x v="1"/>
    <x v="0"/>
    <d v="1899-12-30T00:00:00"/>
    <d v="1899-12-30T00:00:00"/>
  </r>
  <r>
    <n v="661"/>
    <x v="0"/>
    <x v="155"/>
    <x v="535"/>
    <n v="11921"/>
    <x v="338"/>
    <m/>
    <s v="João Louro - Blind Runner"/>
    <x v="1"/>
    <d v="2005-07-12T00:00:00"/>
    <x v="6"/>
    <m/>
    <d v="2006-03-13T00:00:00"/>
    <x v="4"/>
    <x v="0"/>
    <x v="0"/>
    <x v="4"/>
    <x v="0"/>
    <m/>
    <d v="2006-10-19T00:00:00"/>
    <x v="80"/>
    <m/>
    <n v="7500"/>
    <x v="0"/>
    <x v="0"/>
    <n v="57500"/>
    <m/>
    <x v="1"/>
    <n v="0"/>
    <x v="0"/>
    <x v="0"/>
    <d v="2006-10-05T00:00:00"/>
    <m/>
    <x v="0"/>
    <d v="2007-12-28T00:00:00"/>
    <x v="0"/>
    <m/>
    <x v="3"/>
    <x v="0"/>
    <s v="B"/>
    <x v="14"/>
    <x v="0"/>
    <x v="200"/>
    <s v="Luís Alves de Matos"/>
    <x v="97"/>
    <x v="8"/>
    <x v="2"/>
    <x v="1"/>
    <x v="0"/>
    <d v="2006-10-05T00:00:00"/>
    <d v="1899-12-30T00:00:00"/>
  </r>
  <r>
    <n v="662"/>
    <x v="0"/>
    <x v="156"/>
    <x v="536"/>
    <n v="11920"/>
    <x v="339"/>
    <m/>
    <m/>
    <x v="1"/>
    <d v="2004-11-26T00:00:00"/>
    <x v="5"/>
    <m/>
    <d v="2005-08-03T00:00:00"/>
    <x v="6"/>
    <x v="0"/>
    <x v="0"/>
    <x v="4"/>
    <x v="0"/>
    <m/>
    <d v="2005-10-10T00:00:00"/>
    <x v="80"/>
    <m/>
    <n v="5850"/>
    <x v="0"/>
    <x v="0"/>
    <n v="55850"/>
    <m/>
    <x v="1"/>
    <n v="0"/>
    <x v="0"/>
    <x v="0"/>
    <d v="2005-10-14T00:00:00"/>
    <m/>
    <x v="0"/>
    <d v="2007-12-27T00:00:00"/>
    <x v="0"/>
    <m/>
    <x v="3"/>
    <x v="2"/>
    <s v="U"/>
    <x v="14"/>
    <x v="0"/>
    <x v="167"/>
    <s v="João Pinto Nogueira (Pinconé)"/>
    <x v="77"/>
    <x v="14"/>
    <x v="2"/>
    <x v="0"/>
    <x v="0"/>
    <d v="2005-10-14T00:00:00"/>
    <d v="1899-12-30T00:00:00"/>
  </r>
  <r>
    <n v="663"/>
    <x v="0"/>
    <x v="17"/>
    <x v="537"/>
    <n v="11919"/>
    <x v="340"/>
    <m/>
    <m/>
    <x v="1"/>
    <d v="2003-09-26T00:00:00"/>
    <x v="9"/>
    <m/>
    <d v="2004-06-01T00:00:00"/>
    <x v="5"/>
    <x v="0"/>
    <x v="0"/>
    <x v="4"/>
    <x v="0"/>
    <m/>
    <d v="2007-04-19T00:00:00"/>
    <x v="80"/>
    <m/>
    <n v="7500"/>
    <x v="0"/>
    <x v="0"/>
    <n v="57500"/>
    <m/>
    <x v="1"/>
    <n v="0"/>
    <x v="0"/>
    <x v="0"/>
    <m/>
    <m/>
    <x v="0"/>
    <d v="2007-11-08T00:00:00"/>
    <x v="0"/>
    <m/>
    <x v="3"/>
    <x v="7"/>
    <s v="A"/>
    <x v="14"/>
    <x v="0"/>
    <x v="231"/>
    <s v="Diana Andringa"/>
    <x v="21"/>
    <x v="8"/>
    <x v="2"/>
    <x v="0"/>
    <x v="0"/>
    <d v="1899-12-30T00:00:00"/>
    <d v="1899-12-30T00:00:00"/>
  </r>
  <r>
    <n v="664"/>
    <x v="0"/>
    <x v="52"/>
    <x v="538"/>
    <n v="11918"/>
    <x v="341"/>
    <m/>
    <m/>
    <x v="1"/>
    <d v="2006-04-03T00:00:00"/>
    <x v="4"/>
    <m/>
    <d v="2006-08-03T00:00:00"/>
    <x v="4"/>
    <x v="0"/>
    <x v="0"/>
    <x v="26"/>
    <x v="0"/>
    <m/>
    <d v="2006-08-18T00:00:00"/>
    <x v="80"/>
    <m/>
    <n v="7500"/>
    <x v="0"/>
    <x v="0"/>
    <n v="57500"/>
    <m/>
    <x v="1"/>
    <n v="0"/>
    <x v="0"/>
    <x v="0"/>
    <m/>
    <m/>
    <x v="0"/>
    <d v="2007-10-15T00:00:00"/>
    <x v="0"/>
    <m/>
    <x v="3"/>
    <x v="2"/>
    <s v="P"/>
    <x v="14"/>
    <x v="0"/>
    <x v="182"/>
    <s v="Rita Nunes"/>
    <x v="192"/>
    <x v="8"/>
    <x v="2"/>
    <x v="1"/>
    <x v="0"/>
    <d v="1899-12-30T00:00:00"/>
    <d v="1899-12-30T00:00:00"/>
  </r>
  <r>
    <n v="665"/>
    <x v="0"/>
    <x v="123"/>
    <x v="539"/>
    <n v="10914"/>
    <x v="342"/>
    <m/>
    <s v="Carlos de Oliveira"/>
    <x v="1"/>
    <d v="2005-07-12T00:00:00"/>
    <x v="6"/>
    <m/>
    <d v="2006-03-13T00:00:00"/>
    <x v="4"/>
    <x v="0"/>
    <x v="0"/>
    <x v="4"/>
    <x v="0"/>
    <m/>
    <d v="2006-07-17T00:00:00"/>
    <x v="80"/>
    <m/>
    <n v="75000"/>
    <x v="0"/>
    <x v="0"/>
    <n v="125000"/>
    <m/>
    <x v="1"/>
    <n v="0"/>
    <x v="0"/>
    <x v="0"/>
    <d v="2006-09-15T00:00:00"/>
    <m/>
    <x v="0"/>
    <d v="2007-10-02T00:00:00"/>
    <x v="0"/>
    <m/>
    <x v="3"/>
    <x v="0"/>
    <s v="S"/>
    <x v="14"/>
    <x v="0"/>
    <x v="152"/>
    <s v="Margarida Gil"/>
    <x v="193"/>
    <x v="14"/>
    <x v="2"/>
    <x v="1"/>
    <x v="0"/>
    <d v="2006-09-15T00:00:00"/>
    <d v="1899-12-30T00:00:00"/>
  </r>
  <r>
    <n v="666"/>
    <x v="0"/>
    <x v="147"/>
    <x v="540"/>
    <n v="11916"/>
    <x v="343"/>
    <m/>
    <m/>
    <x v="1"/>
    <d v="2004-11-26T00:00:00"/>
    <x v="5"/>
    <m/>
    <d v="2005-08-03T00:00:00"/>
    <x v="6"/>
    <x v="0"/>
    <x v="0"/>
    <x v="4"/>
    <x v="0"/>
    <m/>
    <d v="2005-09-29T00:00:00"/>
    <x v="80"/>
    <m/>
    <n v="5850"/>
    <x v="0"/>
    <x v="0"/>
    <n v="55850"/>
    <m/>
    <x v="1"/>
    <n v="0"/>
    <x v="0"/>
    <x v="0"/>
    <d v="2005-09-28T00:00:00"/>
    <m/>
    <x v="0"/>
    <d v="2007-06-08T00:00:00"/>
    <x v="0"/>
    <m/>
    <x v="3"/>
    <x v="9"/>
    <s v="M"/>
    <x v="14"/>
    <x v="0"/>
    <x v="43"/>
    <s v="António-Pedro Vasconcelos"/>
    <x v="194"/>
    <x v="8"/>
    <x v="2"/>
    <x v="0"/>
    <x v="0"/>
    <d v="2005-09-28T00:00:00"/>
    <d v="1899-12-30T00:00:00"/>
  </r>
  <r>
    <n v="667"/>
    <x v="0"/>
    <x v="134"/>
    <x v="541"/>
    <n v="12105"/>
    <x v="344"/>
    <m/>
    <m/>
    <x v="1"/>
    <d v="2005-07-12T00:00:00"/>
    <x v="6"/>
    <m/>
    <d v="2006-03-13T00:00:00"/>
    <x v="4"/>
    <x v="0"/>
    <x v="0"/>
    <x v="4"/>
    <x v="0"/>
    <m/>
    <d v="2006-11-20T00:00:00"/>
    <x v="80"/>
    <m/>
    <n v="7500"/>
    <x v="0"/>
    <x v="0"/>
    <n v="57500"/>
    <m/>
    <x v="1"/>
    <n v="0"/>
    <x v="0"/>
    <x v="0"/>
    <d v="2007-01-11T00:00:00"/>
    <m/>
    <x v="0"/>
    <d v="2007-04-26T00:00:00"/>
    <x v="0"/>
    <m/>
    <x v="3"/>
    <x v="10"/>
    <s v="D"/>
    <x v="14"/>
    <x v="0"/>
    <x v="278"/>
    <s v="Pedro Éfe"/>
    <x v="41"/>
    <x v="8"/>
    <x v="2"/>
    <x v="1"/>
    <x v="0"/>
    <d v="2007-01-11T00:00:00"/>
    <d v="1899-12-30T00:00:00"/>
  </r>
  <r>
    <n v="668"/>
    <x v="0"/>
    <x v="150"/>
    <x v="542"/>
    <n v="11914"/>
    <x v="345"/>
    <m/>
    <m/>
    <x v="1"/>
    <d v="2005-07-12T00:00:00"/>
    <x v="6"/>
    <m/>
    <d v="2006-03-13T00:00:00"/>
    <x v="4"/>
    <x v="0"/>
    <x v="0"/>
    <x v="4"/>
    <x v="0"/>
    <m/>
    <d v="2006-06-12T00:00:00"/>
    <x v="207"/>
    <m/>
    <n v="7480.2"/>
    <x v="0"/>
    <x v="0"/>
    <n v="57348.2"/>
    <m/>
    <x v="1"/>
    <n v="0"/>
    <x v="0"/>
    <x v="0"/>
    <m/>
    <m/>
    <x v="0"/>
    <d v="2007-04-10T00:00:00"/>
    <x v="0"/>
    <m/>
    <x v="3"/>
    <x v="0"/>
    <s v="E"/>
    <x v="14"/>
    <x v="0"/>
    <x v="44"/>
    <s v="Miguel Clara Vasconcelos"/>
    <x v="195"/>
    <x v="8"/>
    <x v="2"/>
    <x v="1"/>
    <x v="0"/>
    <d v="1899-12-30T00:00:00"/>
    <d v="1899-12-30T00:00:00"/>
  </r>
  <r>
    <n v="669"/>
    <x v="0"/>
    <x v="17"/>
    <x v="543"/>
    <n v="11913"/>
    <x v="346"/>
    <m/>
    <m/>
    <x v="1"/>
    <d v="2004-09-26T00:00:00"/>
    <x v="5"/>
    <m/>
    <d v="2005-07-15T00:00:00"/>
    <x v="6"/>
    <x v="0"/>
    <x v="0"/>
    <x v="26"/>
    <x v="0"/>
    <m/>
    <d v="2005-09-16T00:00:00"/>
    <x v="80"/>
    <m/>
    <m/>
    <x v="0"/>
    <x v="0"/>
    <n v="50000"/>
    <m/>
    <x v="1"/>
    <n v="0"/>
    <x v="0"/>
    <x v="0"/>
    <d v="2005-09-14T00:00:00"/>
    <m/>
    <x v="0"/>
    <d v="2007-03-13T00:00:00"/>
    <x v="0"/>
    <m/>
    <x v="3"/>
    <x v="7"/>
    <s v="C"/>
    <x v="14"/>
    <x v="0"/>
    <x v="57"/>
    <s v="Jean-Luc Bouvret"/>
    <x v="79"/>
    <x v="8"/>
    <x v="2"/>
    <x v="1"/>
    <x v="0"/>
    <d v="2005-09-14T00:00:00"/>
    <d v="1899-12-30T00:00:00"/>
  </r>
  <r>
    <n v="670"/>
    <x v="0"/>
    <x v="156"/>
    <x v="544"/>
    <n v="11912"/>
    <x v="347"/>
    <m/>
    <m/>
    <x v="1"/>
    <d v="2001-10-26T00:00:00"/>
    <x v="16"/>
    <m/>
    <d v="2002-04-03T00:00:00"/>
    <x v="17"/>
    <x v="0"/>
    <x v="0"/>
    <x v="4"/>
    <x v="0"/>
    <m/>
    <m/>
    <x v="208"/>
    <m/>
    <m/>
    <x v="0"/>
    <x v="0"/>
    <n v="49879.79"/>
    <m/>
    <x v="1"/>
    <n v="0"/>
    <x v="0"/>
    <x v="0"/>
    <d v="2002-05-06T00:00:00"/>
    <m/>
    <x v="0"/>
    <d v="2007-07-03T00:00:00"/>
    <x v="0"/>
    <m/>
    <x v="3"/>
    <x v="2"/>
    <s v="A"/>
    <x v="14"/>
    <x v="0"/>
    <x v="279"/>
    <s v="Francisco Xavier Moulens"/>
    <x v="196"/>
    <x v="8"/>
    <x v="2"/>
    <x v="1"/>
    <x v="0"/>
    <d v="2002-05-06T00:00:00"/>
    <d v="1899-12-30T00:00:00"/>
  </r>
  <r>
    <n v="671"/>
    <x v="0"/>
    <x v="28"/>
    <x v="545"/>
    <n v="11911"/>
    <x v="348"/>
    <m/>
    <m/>
    <x v="0"/>
    <d v="2006-10-16T00:00:00"/>
    <x v="4"/>
    <m/>
    <d v="2007-05-11T00:00:00"/>
    <x v="3"/>
    <x v="0"/>
    <x v="0"/>
    <x v="3"/>
    <x v="0"/>
    <m/>
    <d v="2007-07-12T00:00:00"/>
    <x v="9"/>
    <m/>
    <n v="6750"/>
    <x v="0"/>
    <x v="0"/>
    <n v="51750"/>
    <m/>
    <x v="1"/>
    <n v="0"/>
    <x v="0"/>
    <x v="0"/>
    <m/>
    <m/>
    <x v="0"/>
    <d v="2007-12-10T00:00:00"/>
    <x v="0"/>
    <m/>
    <x v="2"/>
    <x v="11"/>
    <s v="O"/>
    <x v="14"/>
    <x v="0"/>
    <x v="102"/>
    <s v="Rita Palma"/>
    <x v="197"/>
    <x v="8"/>
    <x v="0"/>
    <x v="1"/>
    <x v="0"/>
    <d v="1899-12-30T00:00:00"/>
    <d v="1899-12-30T00:00:00"/>
  </r>
  <r>
    <n v="672"/>
    <x v="0"/>
    <x v="28"/>
    <x v="546"/>
    <n v="11910"/>
    <x v="349"/>
    <m/>
    <s v="Encontrar o Sentido"/>
    <x v="2"/>
    <d v="2006-10-16T00:00:00"/>
    <x v="4"/>
    <m/>
    <d v="2007-05-11T00:00:00"/>
    <x v="3"/>
    <x v="0"/>
    <x v="0"/>
    <x v="3"/>
    <x v="0"/>
    <m/>
    <d v="2007-06-20T00:00:00"/>
    <x v="3"/>
    <m/>
    <n v="3000"/>
    <x v="0"/>
    <x v="0"/>
    <n v="23000"/>
    <m/>
    <x v="1"/>
    <n v="0"/>
    <x v="0"/>
    <x v="0"/>
    <m/>
    <m/>
    <x v="0"/>
    <d v="2007-11-09T00:00:00"/>
    <x v="0"/>
    <m/>
    <x v="2"/>
    <x v="11"/>
    <s v="M"/>
    <x v="14"/>
    <x v="0"/>
    <x v="133"/>
    <s v="Marta Pessoa"/>
    <x v="198"/>
    <x v="8"/>
    <x v="0"/>
    <x v="1"/>
    <x v="0"/>
    <d v="1899-12-30T00:00:00"/>
    <d v="1899-12-30T00:00:00"/>
  </r>
  <r>
    <n v="673"/>
    <x v="0"/>
    <x v="32"/>
    <x v="547"/>
    <n v="11909"/>
    <x v="350"/>
    <m/>
    <s v="Não Importa Hoje"/>
    <x v="1"/>
    <d v="2004-09-17T00:00:00"/>
    <x v="5"/>
    <m/>
    <d v="2005-05-20T00:00:00"/>
    <x v="6"/>
    <x v="0"/>
    <x v="0"/>
    <x v="3"/>
    <x v="0"/>
    <m/>
    <d v="2006-06-12T00:00:00"/>
    <x v="9"/>
    <m/>
    <n v="5265"/>
    <x v="0"/>
    <x v="0"/>
    <n v="50265"/>
    <m/>
    <x v="1"/>
    <n v="0"/>
    <x v="0"/>
    <x v="0"/>
    <m/>
    <m/>
    <x v="0"/>
    <d v="2007-11-05T00:00:00"/>
    <x v="0"/>
    <m/>
    <x v="2"/>
    <x v="13"/>
    <s v="E"/>
    <x v="14"/>
    <x v="0"/>
    <x v="98"/>
    <s v="Luís Miguel Correia"/>
    <x v="199"/>
    <x v="8"/>
    <x v="0"/>
    <x v="1"/>
    <x v="0"/>
    <d v="1899-12-30T00:00:00"/>
    <d v="1899-12-30T00:00:00"/>
  </r>
  <r>
    <n v="674"/>
    <x v="0"/>
    <x v="10"/>
    <x v="548"/>
    <n v="11908"/>
    <x v="351"/>
    <m/>
    <s v="Em Fuga"/>
    <x v="1"/>
    <d v="2002-09-27T00:00:00"/>
    <x v="14"/>
    <m/>
    <d v="2003-08-01T00:00:00"/>
    <x v="14"/>
    <x v="0"/>
    <x v="0"/>
    <x v="3"/>
    <x v="0"/>
    <d v="2003-09-11T00:00:00"/>
    <d v="2004-07-06T00:00:00"/>
    <x v="9"/>
    <m/>
    <m/>
    <x v="0"/>
    <x v="0"/>
    <n v="45000"/>
    <m/>
    <x v="1"/>
    <n v="0"/>
    <x v="0"/>
    <x v="0"/>
    <m/>
    <m/>
    <x v="0"/>
    <d v="2007-10-26T00:00:00"/>
    <x v="0"/>
    <m/>
    <x v="2"/>
    <x v="4"/>
    <s v="A"/>
    <x v="14"/>
    <x v="0"/>
    <x v="209"/>
    <s v="Gonçalo Galvão Teles"/>
    <x v="163"/>
    <x v="8"/>
    <x v="0"/>
    <x v="1"/>
    <x v="0"/>
    <d v="1899-12-30T00:00:00"/>
    <d v="1899-12-30T00:00:00"/>
  </r>
  <r>
    <n v="675"/>
    <x v="0"/>
    <x v="52"/>
    <x v="549"/>
    <n v="11907"/>
    <x v="352"/>
    <m/>
    <m/>
    <x v="1"/>
    <d v="2004-09-17T00:00:00"/>
    <x v="5"/>
    <m/>
    <d v="2005-05-20T00:00:00"/>
    <x v="6"/>
    <x v="0"/>
    <x v="0"/>
    <x v="3"/>
    <x v="0"/>
    <d v="2006-01-31T00:00:00"/>
    <d v="2007-03-19T00:00:00"/>
    <x v="9"/>
    <m/>
    <m/>
    <x v="0"/>
    <x v="0"/>
    <n v="45000"/>
    <m/>
    <x v="1"/>
    <n v="0"/>
    <x v="0"/>
    <x v="0"/>
    <m/>
    <m/>
    <x v="0"/>
    <d v="2007-10-11T00:00:00"/>
    <x v="0"/>
    <m/>
    <x v="2"/>
    <x v="2"/>
    <s v="O"/>
    <x v="14"/>
    <x v="0"/>
    <x v="280"/>
    <s v="Paulo Guilherme"/>
    <x v="200"/>
    <x v="14"/>
    <x v="0"/>
    <x v="1"/>
    <x v="0"/>
    <d v="1899-12-30T00:00:00"/>
    <d v="1899-12-30T00:00:00"/>
  </r>
  <r>
    <n v="676"/>
    <x v="0"/>
    <x v="23"/>
    <x v="550"/>
    <n v="11906"/>
    <x v="353"/>
    <m/>
    <m/>
    <x v="1"/>
    <d v="2004-09-17T00:00:00"/>
    <x v="5"/>
    <m/>
    <d v="2005-05-20T00:00:00"/>
    <x v="6"/>
    <x v="0"/>
    <x v="0"/>
    <x v="3"/>
    <x v="0"/>
    <m/>
    <d v="2006-11-13T00:00:00"/>
    <x v="9"/>
    <m/>
    <n v="5265"/>
    <x v="0"/>
    <x v="0"/>
    <n v="50265"/>
    <m/>
    <x v="1"/>
    <n v="0"/>
    <x v="0"/>
    <x v="0"/>
    <m/>
    <m/>
    <x v="0"/>
    <d v="2007-09-17T00:00:00"/>
    <x v="0"/>
    <m/>
    <x v="2"/>
    <x v="9"/>
    <s v="A"/>
    <x v="14"/>
    <x v="0"/>
    <x v="53"/>
    <s v="Sandro Aguilar"/>
    <x v="201"/>
    <x v="8"/>
    <x v="0"/>
    <x v="1"/>
    <x v="0"/>
    <d v="1899-12-30T00:00:00"/>
    <d v="1899-12-30T00:00:00"/>
  </r>
  <r>
    <n v="677"/>
    <x v="0"/>
    <x v="25"/>
    <x v="551"/>
    <n v="7741"/>
    <x v="354"/>
    <m/>
    <m/>
    <x v="1"/>
    <d v="2004-09-17T00:00:00"/>
    <x v="5"/>
    <m/>
    <d v="2005-05-20T00:00:00"/>
    <x v="6"/>
    <x v="0"/>
    <x v="0"/>
    <x v="3"/>
    <x v="0"/>
    <d v="2005-07-05T00:00:00"/>
    <d v="2007-01-30T00:00:00"/>
    <x v="9"/>
    <m/>
    <n v="5265"/>
    <x v="0"/>
    <x v="0"/>
    <n v="50265"/>
    <m/>
    <x v="1"/>
    <n v="0"/>
    <x v="0"/>
    <x v="0"/>
    <m/>
    <m/>
    <x v="0"/>
    <d v="2007-08-10T00:00:00"/>
    <x v="0"/>
    <m/>
    <x v="2"/>
    <x v="10"/>
    <s v="D"/>
    <x v="14"/>
    <x v="0"/>
    <x v="173"/>
    <s v="António Ferreira"/>
    <x v="88"/>
    <x v="8"/>
    <x v="0"/>
    <x v="1"/>
    <x v="0"/>
    <d v="1899-12-30T00:00:00"/>
    <d v="1899-12-30T00:00:00"/>
  </r>
  <r>
    <n v="678"/>
    <x v="0"/>
    <x v="130"/>
    <x v="552"/>
    <n v="11905"/>
    <x v="355"/>
    <m/>
    <m/>
    <x v="1"/>
    <d v="2005-07-01T00:00:00"/>
    <x v="6"/>
    <m/>
    <d v="2006-04-24T00:00:00"/>
    <x v="4"/>
    <x v="0"/>
    <x v="0"/>
    <x v="3"/>
    <x v="0"/>
    <m/>
    <d v="2006-11-02T00:00:00"/>
    <x v="9"/>
    <m/>
    <n v="6750"/>
    <x v="0"/>
    <x v="0"/>
    <n v="51750"/>
    <m/>
    <x v="1"/>
    <n v="0"/>
    <x v="0"/>
    <x v="0"/>
    <m/>
    <m/>
    <x v="0"/>
    <d v="2007-08-06T00:00:00"/>
    <x v="0"/>
    <m/>
    <x v="2"/>
    <x v="4"/>
    <s v="I"/>
    <x v="14"/>
    <x v="0"/>
    <x v="44"/>
    <s v="Miguel Clara Vasconcelos"/>
    <x v="202"/>
    <x v="8"/>
    <x v="0"/>
    <x v="1"/>
    <x v="0"/>
    <d v="1899-12-30T00:00:00"/>
    <d v="1899-12-30T00:00:00"/>
  </r>
  <r>
    <n v="679"/>
    <x v="0"/>
    <x v="139"/>
    <x v="553"/>
    <n v="11904"/>
    <x v="356"/>
    <m/>
    <n v="2005"/>
    <x v="1"/>
    <d v="2005-07-01T00:00:00"/>
    <x v="6"/>
    <m/>
    <d v="2006-04-24T00:00:00"/>
    <x v="4"/>
    <x v="0"/>
    <x v="0"/>
    <x v="3"/>
    <x v="0"/>
    <m/>
    <d v="2006-07-17T00:00:00"/>
    <x v="9"/>
    <m/>
    <n v="6750"/>
    <x v="0"/>
    <x v="0"/>
    <n v="51750"/>
    <m/>
    <x v="1"/>
    <n v="0"/>
    <x v="0"/>
    <x v="0"/>
    <m/>
    <m/>
    <x v="0"/>
    <d v="2007-05-10T00:00:00"/>
    <x v="0"/>
    <m/>
    <x v="2"/>
    <x v="7"/>
    <s v="E"/>
    <x v="14"/>
    <x v="0"/>
    <x v="78"/>
    <s v="Pedro Caldas"/>
    <x v="203"/>
    <x v="8"/>
    <x v="0"/>
    <x v="1"/>
    <x v="0"/>
    <d v="1899-12-30T00:00:00"/>
    <d v="1899-12-30T00:00:00"/>
  </r>
  <r>
    <n v="680"/>
    <x v="0"/>
    <x v="9"/>
    <x v="554"/>
    <n v="5530"/>
    <x v="357"/>
    <m/>
    <s v="Amigos"/>
    <x v="1"/>
    <d v="2005-07-01T00:00:00"/>
    <x v="6"/>
    <m/>
    <d v="2006-04-24T00:00:00"/>
    <x v="4"/>
    <x v="0"/>
    <x v="0"/>
    <x v="3"/>
    <x v="0"/>
    <m/>
    <d v="2006-08-10T00:00:00"/>
    <x v="9"/>
    <m/>
    <n v="6750"/>
    <x v="0"/>
    <x v="0"/>
    <n v="51750"/>
    <m/>
    <x v="1"/>
    <n v="0"/>
    <x v="0"/>
    <x v="0"/>
    <m/>
    <m/>
    <x v="0"/>
    <d v="2007-07-02T00:00:00"/>
    <x v="0"/>
    <m/>
    <x v="2"/>
    <x v="3"/>
    <s v="P"/>
    <x v="14"/>
    <x v="0"/>
    <x v="281"/>
    <s v="Vitor Moreira"/>
    <x v="56"/>
    <x v="8"/>
    <x v="0"/>
    <x v="1"/>
    <x v="0"/>
    <d v="1899-12-30T00:00:00"/>
    <d v="1899-12-30T00:00:00"/>
  </r>
  <r>
    <n v="681"/>
    <x v="0"/>
    <x v="5"/>
    <x v="555"/>
    <n v="4876"/>
    <x v="358"/>
    <m/>
    <m/>
    <x v="1"/>
    <d v="2005-07-01T00:00:00"/>
    <x v="6"/>
    <m/>
    <d v="2006-04-24T00:00:00"/>
    <x v="4"/>
    <x v="0"/>
    <x v="0"/>
    <x v="3"/>
    <x v="0"/>
    <m/>
    <d v="2006-10-19T00:00:00"/>
    <x v="9"/>
    <m/>
    <n v="6750"/>
    <x v="0"/>
    <x v="0"/>
    <n v="51750"/>
    <m/>
    <x v="1"/>
    <n v="0"/>
    <x v="0"/>
    <x v="0"/>
    <m/>
    <m/>
    <x v="0"/>
    <d v="2007-05-21T00:00:00"/>
    <x v="0"/>
    <m/>
    <x v="2"/>
    <x v="1"/>
    <s v="C"/>
    <x v="14"/>
    <x v="0"/>
    <x v="282"/>
    <s v="João Pedro Rodrigues, João Rui Guerra da Mata"/>
    <x v="201"/>
    <x v="8"/>
    <x v="0"/>
    <x v="1"/>
    <x v="0"/>
    <d v="1899-12-30T00:00:00"/>
    <d v="1899-12-30T00:00:00"/>
  </r>
  <r>
    <n v="682"/>
    <x v="0"/>
    <x v="32"/>
    <x v="556"/>
    <n v="11902"/>
    <x v="359"/>
    <m/>
    <m/>
    <x v="1"/>
    <d v="2004-09-17T00:00:00"/>
    <x v="5"/>
    <m/>
    <d v="2005-05-20T00:00:00"/>
    <x v="6"/>
    <x v="0"/>
    <x v="0"/>
    <x v="3"/>
    <x v="0"/>
    <d v="2006-02-08T00:00:00"/>
    <d v="2006-04-17T00:00:00"/>
    <x v="9"/>
    <m/>
    <n v="5265"/>
    <x v="0"/>
    <x v="0"/>
    <n v="50265"/>
    <m/>
    <x v="1"/>
    <n v="0"/>
    <x v="0"/>
    <x v="0"/>
    <m/>
    <m/>
    <x v="0"/>
    <d v="2007-05-07T00:00:00"/>
    <x v="0"/>
    <m/>
    <x v="2"/>
    <x v="13"/>
    <s v="S"/>
    <x v="14"/>
    <x v="0"/>
    <x v="283"/>
    <s v="Ana Eliseu"/>
    <x v="204"/>
    <x v="8"/>
    <x v="0"/>
    <x v="1"/>
    <x v="0"/>
    <d v="1899-12-30T00:00:00"/>
    <d v="1899-12-30T00:00:00"/>
  </r>
  <r>
    <n v="683"/>
    <x v="0"/>
    <x v="137"/>
    <x v="557"/>
    <n v="11901"/>
    <x v="360"/>
    <m/>
    <m/>
    <x v="2"/>
    <d v="2004-01-02T00:00:00"/>
    <x v="5"/>
    <m/>
    <d v="2004-10-01T00:00:00"/>
    <x v="5"/>
    <x v="0"/>
    <x v="0"/>
    <x v="3"/>
    <x v="0"/>
    <d v="2004-12-14T00:00:00"/>
    <d v="2005-03-24T00:00:00"/>
    <x v="9"/>
    <m/>
    <n v="6750"/>
    <x v="0"/>
    <x v="0"/>
    <n v="51750"/>
    <m/>
    <x v="1"/>
    <n v="0"/>
    <x v="0"/>
    <x v="0"/>
    <m/>
    <m/>
    <x v="0"/>
    <d v="2007-04-13T00:00:00"/>
    <x v="0"/>
    <m/>
    <x v="2"/>
    <x v="2"/>
    <s v="A"/>
    <x v="14"/>
    <x v="0"/>
    <x v="202"/>
    <s v="José Barahona"/>
    <x v="205"/>
    <x v="8"/>
    <x v="0"/>
    <x v="1"/>
    <x v="0"/>
    <d v="1899-12-30T00:00:00"/>
    <d v="1899-12-30T00:00:00"/>
  </r>
  <r>
    <n v="684"/>
    <x v="0"/>
    <x v="157"/>
    <x v="558"/>
    <n v="11900"/>
    <x v="361"/>
    <m/>
    <s v="Capítulo Final"/>
    <x v="1"/>
    <d v="2002-09-27T00:00:00"/>
    <x v="14"/>
    <m/>
    <d v="2003-08-01T00:00:00"/>
    <x v="14"/>
    <x v="0"/>
    <x v="0"/>
    <x v="3"/>
    <x v="0"/>
    <d v="2003-09-11T00:00:00"/>
    <d v="2004-06-23T00:00:00"/>
    <x v="9"/>
    <m/>
    <m/>
    <x v="0"/>
    <x v="0"/>
    <n v="45000"/>
    <m/>
    <x v="1"/>
    <n v="0"/>
    <x v="0"/>
    <x v="0"/>
    <m/>
    <m/>
    <x v="0"/>
    <d v="2007-03-29T00:00:00"/>
    <x v="0"/>
    <m/>
    <x v="2"/>
    <x v="8"/>
    <s v="T"/>
    <x v="14"/>
    <x v="0"/>
    <x v="284"/>
    <s v="Vitor Candeias"/>
    <x v="72"/>
    <x v="8"/>
    <x v="0"/>
    <x v="1"/>
    <x v="0"/>
    <d v="1899-12-30T00:00:00"/>
    <d v="1899-12-30T00:00:00"/>
  </r>
  <r>
    <n v="685"/>
    <x v="0"/>
    <x v="52"/>
    <x v="559"/>
    <n v="11899"/>
    <x v="362"/>
    <m/>
    <m/>
    <x v="1"/>
    <d v="2005-07-01T00:00:00"/>
    <x v="6"/>
    <m/>
    <d v="2006-04-24T00:00:00"/>
    <x v="4"/>
    <x v="0"/>
    <x v="0"/>
    <x v="3"/>
    <x v="0"/>
    <m/>
    <d v="2006-08-16T00:00:00"/>
    <x v="9"/>
    <m/>
    <n v="6750"/>
    <x v="0"/>
    <x v="0"/>
    <n v="51750"/>
    <m/>
    <x v="1"/>
    <n v="0"/>
    <x v="0"/>
    <x v="0"/>
    <m/>
    <m/>
    <x v="0"/>
    <d v="2007-03-02T00:00:00"/>
    <x v="0"/>
    <m/>
    <x v="2"/>
    <x v="2"/>
    <s v="A"/>
    <x v="14"/>
    <x v="0"/>
    <x v="208"/>
    <s v="José Maria Vaz da Silva"/>
    <x v="206"/>
    <x v="8"/>
    <x v="0"/>
    <x v="1"/>
    <x v="0"/>
    <d v="1899-12-30T00:00:00"/>
    <d v="1899-12-30T00:00:00"/>
  </r>
  <r>
    <n v="686"/>
    <x v="0"/>
    <x v="9"/>
    <x v="560"/>
    <n v="11898"/>
    <x v="363"/>
    <m/>
    <m/>
    <x v="1"/>
    <d v="2004-09-17T00:00:00"/>
    <x v="5"/>
    <m/>
    <d v="2005-05-20T00:00:00"/>
    <x v="6"/>
    <x v="0"/>
    <x v="0"/>
    <x v="3"/>
    <x v="0"/>
    <m/>
    <d v="2006-06-12T00:00:00"/>
    <x v="9"/>
    <m/>
    <n v="5265"/>
    <x v="0"/>
    <x v="0"/>
    <n v="50265"/>
    <m/>
    <x v="1"/>
    <n v="0"/>
    <x v="0"/>
    <x v="0"/>
    <m/>
    <m/>
    <x v="0"/>
    <d v="2007-02-14T00:00:00"/>
    <x v="0"/>
    <m/>
    <x v="2"/>
    <x v="3"/>
    <s v="O"/>
    <x v="14"/>
    <x v="0"/>
    <x v="285"/>
    <s v="José Diogo Gonçalves"/>
    <x v="207"/>
    <x v="8"/>
    <x v="0"/>
    <x v="1"/>
    <x v="0"/>
    <d v="1899-12-30T00:00:00"/>
    <d v="1899-12-30T00:00:00"/>
  </r>
  <r>
    <n v="687"/>
    <x v="0"/>
    <x v="11"/>
    <x v="561"/>
    <n v="11897"/>
    <x v="364"/>
    <m/>
    <m/>
    <x v="2"/>
    <d v="2004-01-02T00:00:00"/>
    <x v="5"/>
    <m/>
    <d v="2004-10-01T00:00:00"/>
    <x v="5"/>
    <x v="0"/>
    <x v="0"/>
    <x v="3"/>
    <x v="0"/>
    <d v="2004-11-25T00:00:00"/>
    <d v="2006-09-20T00:00:00"/>
    <x v="9"/>
    <m/>
    <n v="6750"/>
    <x v="0"/>
    <x v="0"/>
    <n v="51750"/>
    <m/>
    <x v="1"/>
    <n v="0"/>
    <x v="0"/>
    <x v="0"/>
    <m/>
    <m/>
    <x v="0"/>
    <d v="2007-02-02T00:00:00"/>
    <x v="0"/>
    <m/>
    <x v="2"/>
    <x v="4"/>
    <s v="A"/>
    <x v="14"/>
    <x v="0"/>
    <x v="211"/>
    <s v="Jeanne Waltz"/>
    <x v="109"/>
    <x v="8"/>
    <x v="0"/>
    <x v="1"/>
    <x v="0"/>
    <d v="1899-12-30T00:00:00"/>
    <d v="1899-12-30T00:00:00"/>
  </r>
  <r>
    <n v="688"/>
    <x v="0"/>
    <x v="23"/>
    <x v="562"/>
    <m/>
    <x v="4"/>
    <s v="IndieLisboa"/>
    <m/>
    <x v="1"/>
    <d v="2013-01-31T00:00:00"/>
    <x v="11"/>
    <d v="2013-12-31T00:00:00"/>
    <d v="2013-05-03T00:00:00"/>
    <x v="11"/>
    <x v="3"/>
    <x v="4"/>
    <x v="21"/>
    <x v="0"/>
    <m/>
    <m/>
    <x v="101"/>
    <m/>
    <m/>
    <x v="0"/>
    <x v="0"/>
    <n v="500"/>
    <m/>
    <x v="1"/>
    <n v="0"/>
    <x v="0"/>
    <x v="0"/>
    <m/>
    <m/>
    <x v="0"/>
    <m/>
    <x v="0"/>
    <d v="2013-11-25T00:00:00"/>
    <x v="5"/>
    <x v="9"/>
    <s v="D"/>
    <x v="3"/>
    <x v="0"/>
    <x v="108"/>
    <s v=""/>
    <x v="4"/>
    <x v="2"/>
    <x v="4"/>
    <x v="3"/>
    <x v="0"/>
    <d v="1899-12-30T00:00:00"/>
    <d v="1899-12-30T00:00:00"/>
  </r>
  <r>
    <n v="689"/>
    <x v="0"/>
    <x v="13"/>
    <x v="563"/>
    <n v="5183"/>
    <x v="365"/>
    <m/>
    <m/>
    <x v="3"/>
    <m/>
    <x v="8"/>
    <m/>
    <m/>
    <x v="8"/>
    <x v="0"/>
    <x v="0"/>
    <x v="0"/>
    <x v="0"/>
    <m/>
    <d v="2007-04-03T00:00:00"/>
    <x v="185"/>
    <m/>
    <m/>
    <x v="0"/>
    <x v="0"/>
    <n v="550000"/>
    <m/>
    <x v="1"/>
    <n v="0"/>
    <x v="0"/>
    <x v="0"/>
    <m/>
    <m/>
    <x v="0"/>
    <d v="2007-12-13T00:00:00"/>
    <x v="0"/>
    <m/>
    <x v="0"/>
    <x v="4"/>
    <s v="C"/>
    <x v="14"/>
    <x v="0"/>
    <x v="52"/>
    <s v="Manoel de Oliveira"/>
    <x v="77"/>
    <x v="8"/>
    <x v="0"/>
    <x v="0"/>
    <x v="0"/>
    <d v="1899-12-30T00:00:00"/>
    <d v="1899-12-30T00:00:00"/>
  </r>
  <r>
    <n v="690"/>
    <x v="0"/>
    <x v="52"/>
    <x v="564"/>
    <n v="5792"/>
    <x v="366"/>
    <m/>
    <m/>
    <x v="1"/>
    <d v="2005-08-26T00:00:00"/>
    <x v="6"/>
    <m/>
    <d v="2006-03-13T00:00:00"/>
    <x v="4"/>
    <x v="0"/>
    <x v="0"/>
    <x v="0"/>
    <x v="0"/>
    <d v="2006-03-16T00:00:00"/>
    <d v="2007-02-08T00:00:00"/>
    <x v="23"/>
    <m/>
    <n v="97500"/>
    <x v="0"/>
    <x v="0"/>
    <n v="747500"/>
    <m/>
    <x v="1"/>
    <n v="0"/>
    <x v="0"/>
    <x v="0"/>
    <d v="2007-03-01T00:00:00"/>
    <m/>
    <x v="0"/>
    <d v="2007-09-05T00:00:00"/>
    <x v="0"/>
    <m/>
    <x v="0"/>
    <x v="2"/>
    <s v="M"/>
    <x v="14"/>
    <x v="0"/>
    <x v="39"/>
    <s v="João Canijo"/>
    <x v="27"/>
    <x v="8"/>
    <x v="0"/>
    <x v="0"/>
    <x v="0"/>
    <d v="2007-03-01T00:00:00"/>
    <d v="1899-12-30T00:00:00"/>
  </r>
  <r>
    <n v="691"/>
    <x v="0"/>
    <x v="52"/>
    <x v="565"/>
    <n v="4884"/>
    <x v="367"/>
    <m/>
    <m/>
    <x v="1"/>
    <d v="2003-10-31T00:00:00"/>
    <x v="9"/>
    <m/>
    <d v="2004-06-21T00:00:00"/>
    <x v="5"/>
    <x v="0"/>
    <x v="0"/>
    <x v="11"/>
    <x v="0"/>
    <d v="2004-06-22T00:00:00"/>
    <d v="2005-11-14T00:00:00"/>
    <x v="21"/>
    <m/>
    <n v="67500"/>
    <x v="0"/>
    <x v="0"/>
    <n v="517500"/>
    <m/>
    <x v="1"/>
    <n v="0"/>
    <x v="0"/>
    <x v="0"/>
    <d v="2005-11-14T00:00:00"/>
    <m/>
    <x v="0"/>
    <d v="2007-07-23T00:00:00"/>
    <x v="0"/>
    <m/>
    <x v="0"/>
    <x v="2"/>
    <s v="O"/>
    <x v="14"/>
    <x v="0"/>
    <x v="201"/>
    <s v="Jorge Cramez"/>
    <x v="208"/>
    <x v="8"/>
    <x v="0"/>
    <x v="0"/>
    <x v="0"/>
    <d v="2005-11-14T00:00:00"/>
    <d v="1899-12-30T00:00:00"/>
  </r>
  <r>
    <n v="692"/>
    <x v="0"/>
    <x v="52"/>
    <x v="566"/>
    <n v="5558"/>
    <x v="368"/>
    <m/>
    <s v="A Monte"/>
    <x v="0"/>
    <d v="2004-07-16T00:00:00"/>
    <x v="5"/>
    <d v="2004-09-17T00:00:00"/>
    <d v="2005-02-24T00:00:00"/>
    <x v="6"/>
    <x v="0"/>
    <x v="0"/>
    <x v="0"/>
    <x v="0"/>
    <d v="2005-02-24T00:00:00"/>
    <d v="2006-03-06T00:00:00"/>
    <x v="23"/>
    <m/>
    <n v="76500"/>
    <x v="0"/>
    <x v="0"/>
    <n v="726500"/>
    <m/>
    <x v="1"/>
    <n v="0"/>
    <x v="0"/>
    <x v="0"/>
    <d v="2005-10-10T00:00:00"/>
    <m/>
    <x v="0"/>
    <d v="2007-07-18T00:00:00"/>
    <x v="0"/>
    <m/>
    <x v="0"/>
    <x v="2"/>
    <s v="L"/>
    <x v="14"/>
    <x v="0"/>
    <x v="255"/>
    <s v="José Nascimento"/>
    <x v="21"/>
    <x v="8"/>
    <x v="0"/>
    <x v="0"/>
    <x v="0"/>
    <d v="2005-10-10T00:00:00"/>
    <d v="1899-12-30T00:00:00"/>
  </r>
  <r>
    <n v="693"/>
    <x v="0"/>
    <x v="151"/>
    <x v="567"/>
    <n v="4530"/>
    <x v="369"/>
    <m/>
    <m/>
    <x v="3"/>
    <m/>
    <x v="8"/>
    <m/>
    <m/>
    <x v="8"/>
    <x v="0"/>
    <x v="0"/>
    <x v="0"/>
    <x v="0"/>
    <m/>
    <m/>
    <x v="174"/>
    <m/>
    <m/>
    <x v="0"/>
    <x v="0"/>
    <n v="0"/>
    <m/>
    <x v="1"/>
    <n v="0"/>
    <x v="0"/>
    <x v="0"/>
    <m/>
    <m/>
    <x v="0"/>
    <d v="2007-06-18T00:00:00"/>
    <x v="0"/>
    <m/>
    <x v="0"/>
    <x v="4"/>
    <s v="S"/>
    <x v="14"/>
    <x v="0"/>
    <x v="286"/>
    <s v="Artur Serra Araújo"/>
    <x v="46"/>
    <x v="8"/>
    <x v="0"/>
    <x v="0"/>
    <x v="0"/>
    <d v="1899-12-30T00:00:00"/>
    <d v="1899-12-30T00:00:00"/>
  </r>
  <r>
    <n v="694"/>
    <x v="0"/>
    <x v="13"/>
    <x v="568"/>
    <n v="5787"/>
    <x v="370"/>
    <m/>
    <s v="Olho Negro"/>
    <x v="1"/>
    <d v="2004-07-16T00:00:00"/>
    <x v="5"/>
    <m/>
    <d v="2005-05-23T00:00:00"/>
    <x v="6"/>
    <x v="0"/>
    <x v="0"/>
    <x v="11"/>
    <x v="0"/>
    <d v="2005-07-05T00:00:00"/>
    <d v="2006-05-17T00:00:00"/>
    <x v="21"/>
    <m/>
    <n v="52650"/>
    <x v="0"/>
    <x v="0"/>
    <n v="502650"/>
    <m/>
    <x v="1"/>
    <n v="0"/>
    <x v="0"/>
    <x v="0"/>
    <d v="2006-06-26T00:00:00"/>
    <m/>
    <x v="0"/>
    <d v="2007-05-17T00:00:00"/>
    <x v="0"/>
    <m/>
    <x v="0"/>
    <x v="4"/>
    <s v="G"/>
    <x v="14"/>
    <x v="0"/>
    <x v="235"/>
    <s v="Paolo Marinou-Blanco"/>
    <x v="159"/>
    <x v="8"/>
    <x v="0"/>
    <x v="0"/>
    <x v="0"/>
    <d v="2006-06-26T00:00:00"/>
    <d v="1899-12-30T00:00:00"/>
  </r>
  <r>
    <n v="695"/>
    <x v="0"/>
    <x v="130"/>
    <x v="569"/>
    <n v="4661"/>
    <x v="371"/>
    <m/>
    <m/>
    <x v="0"/>
    <d v="2002-03-11T00:00:00"/>
    <x v="14"/>
    <m/>
    <d v="2002-10-10T00:00:00"/>
    <x v="17"/>
    <x v="0"/>
    <x v="0"/>
    <x v="0"/>
    <x v="0"/>
    <d v="2003-01-24T00:00:00"/>
    <d v="2005-03-29T00:00:00"/>
    <x v="209"/>
    <m/>
    <m/>
    <x v="0"/>
    <x v="0"/>
    <n v="648500"/>
    <m/>
    <x v="1"/>
    <n v="0"/>
    <x v="0"/>
    <x v="0"/>
    <d v="2005-03-30T00:00:00"/>
    <m/>
    <x v="1"/>
    <d v="2007-05-17T00:00:00"/>
    <x v="0"/>
    <m/>
    <x v="0"/>
    <x v="4"/>
    <s v="O"/>
    <x v="14"/>
    <x v="0"/>
    <x v="287"/>
    <s v="Jorge Paixão da Costa"/>
    <x v="36"/>
    <x v="8"/>
    <x v="0"/>
    <x v="0"/>
    <x v="0"/>
    <d v="2005-03-30T00:00:00"/>
    <d v="1899-12-30T00:00:00"/>
  </r>
  <r>
    <n v="696"/>
    <x v="0"/>
    <x v="52"/>
    <x v="570"/>
    <n v="4922"/>
    <x v="372"/>
    <m/>
    <m/>
    <x v="1"/>
    <d v="2005-05-27T00:00:00"/>
    <x v="6"/>
    <m/>
    <d v="2005-11-11T00:00:00"/>
    <x v="6"/>
    <x v="0"/>
    <x v="0"/>
    <x v="9"/>
    <x v="0"/>
    <m/>
    <d v="2006-03-06T00:00:00"/>
    <x v="23"/>
    <m/>
    <n v="97500"/>
    <x v="0"/>
    <x v="0"/>
    <n v="747500"/>
    <m/>
    <x v="1"/>
    <n v="0"/>
    <x v="0"/>
    <x v="0"/>
    <d v="2006-03-20T00:00:00"/>
    <m/>
    <x v="0"/>
    <d v="2007-03-19T00:00:00"/>
    <x v="0"/>
    <m/>
    <x v="0"/>
    <x v="2"/>
    <s v="A"/>
    <x v="14"/>
    <x v="0"/>
    <x v="128"/>
    <s v="Luís Filipe Rocha"/>
    <x v="209"/>
    <x v="8"/>
    <x v="0"/>
    <x v="0"/>
    <x v="0"/>
    <d v="2006-03-20T00:00:00"/>
    <d v="1899-12-30T00:00:00"/>
  </r>
  <r>
    <n v="697"/>
    <x v="0"/>
    <x v="10"/>
    <x v="132"/>
    <n v="4549"/>
    <x v="373"/>
    <m/>
    <m/>
    <x v="2"/>
    <d v="2002-12-20T00:00:00"/>
    <x v="14"/>
    <m/>
    <d v="2003-03-24T00:00:00"/>
    <x v="14"/>
    <x v="0"/>
    <x v="0"/>
    <x v="9"/>
    <x v="0"/>
    <m/>
    <d v="2003-10-23T00:00:00"/>
    <x v="209"/>
    <n v="688060"/>
    <m/>
    <x v="0"/>
    <x v="0"/>
    <n v="688060"/>
    <m/>
    <x v="1"/>
    <n v="0"/>
    <x v="0"/>
    <x v="0"/>
    <d v="2006-03-27T00:00:00"/>
    <m/>
    <x v="0"/>
    <d v="2007-03-30T00:00:00"/>
    <x v="0"/>
    <m/>
    <x v="0"/>
    <x v="4"/>
    <s v="D"/>
    <x v="14"/>
    <x v="0"/>
    <x v="28"/>
    <s v="Luís Galvão Teles"/>
    <x v="36"/>
    <x v="8"/>
    <x v="0"/>
    <x v="0"/>
    <x v="0"/>
    <d v="2006-03-27T00:00:00"/>
    <d v="1899-12-30T00:00:00"/>
  </r>
  <r>
    <n v="698"/>
    <x v="0"/>
    <x v="52"/>
    <x v="571"/>
    <n v="5194"/>
    <x v="374"/>
    <m/>
    <s v="A Meu Favor"/>
    <x v="2"/>
    <d v="2004-12-03T00:00:00"/>
    <x v="5"/>
    <d v="2005-01-24T00:00:00"/>
    <d v="2005-06-01T00:00:00"/>
    <x v="6"/>
    <x v="0"/>
    <x v="0"/>
    <x v="0"/>
    <x v="0"/>
    <d v="2005-06-01T00:00:00"/>
    <d v="2005-08-16T00:00:00"/>
    <x v="23"/>
    <m/>
    <n v="76050"/>
    <x v="3"/>
    <x v="0"/>
    <n v="756050"/>
    <m/>
    <x v="1"/>
    <n v="0"/>
    <x v="0"/>
    <x v="0"/>
    <d v="2005-08-01T00:00:00"/>
    <m/>
    <x v="0"/>
    <d v="2007-01-29T00:00:00"/>
    <x v="0"/>
    <m/>
    <x v="0"/>
    <x v="2"/>
    <s v="D"/>
    <x v="14"/>
    <x v="0"/>
    <x v="82"/>
    <s v="Catarina Ruivo"/>
    <x v="16"/>
    <x v="8"/>
    <x v="0"/>
    <x v="0"/>
    <x v="0"/>
    <d v="2005-08-01T00:00:00"/>
    <d v="1899-12-30T00:00:00"/>
  </r>
  <r>
    <n v="699"/>
    <x v="0"/>
    <x v="2"/>
    <x v="572"/>
    <n v="12057"/>
    <x v="375"/>
    <m/>
    <m/>
    <x v="1"/>
    <d v="2001-11-09T00:00:00"/>
    <x v="16"/>
    <m/>
    <d v="2002-07-15T00:00:00"/>
    <x v="17"/>
    <x v="0"/>
    <x v="0"/>
    <x v="1"/>
    <x v="0"/>
    <m/>
    <m/>
    <x v="210"/>
    <m/>
    <m/>
    <x v="0"/>
    <x v="0"/>
    <n v="149639.37"/>
    <m/>
    <x v="1"/>
    <n v="0"/>
    <x v="0"/>
    <x v="0"/>
    <m/>
    <m/>
    <x v="0"/>
    <d v="2006-06-08T00:00:00"/>
    <x v="0"/>
    <m/>
    <x v="1"/>
    <x v="0"/>
    <s v="T"/>
    <x v="8"/>
    <x v="0"/>
    <x v="288"/>
    <s v="Carlos Fernandes"/>
    <x v="124"/>
    <x v="9"/>
    <x v="1"/>
    <x v="2"/>
    <x v="9"/>
    <d v="1899-12-30T00:00:00"/>
    <d v="1899-12-30T00:00:00"/>
  </r>
  <r>
    <n v="700"/>
    <x v="0"/>
    <x v="158"/>
    <x v="573"/>
    <n v="12049"/>
    <x v="376"/>
    <m/>
    <m/>
    <x v="3"/>
    <m/>
    <x v="8"/>
    <m/>
    <m/>
    <x v="8"/>
    <x v="0"/>
    <x v="0"/>
    <x v="1"/>
    <x v="0"/>
    <m/>
    <m/>
    <x v="211"/>
    <n v="7531.84"/>
    <m/>
    <x v="0"/>
    <x v="0"/>
    <n v="7531.84"/>
    <m/>
    <x v="1"/>
    <n v="0"/>
    <x v="0"/>
    <x v="0"/>
    <m/>
    <m/>
    <x v="0"/>
    <d v="2006-01-17T00:00:00"/>
    <x v="0"/>
    <m/>
    <x v="1"/>
    <x v="7"/>
    <s v="S"/>
    <x v="8"/>
    <x v="0"/>
    <x v="143"/>
    <s v="Zepe"/>
    <x v="210"/>
    <x v="9"/>
    <x v="1"/>
    <x v="1"/>
    <x v="0"/>
    <d v="1899-12-30T00:00:00"/>
    <d v="1899-12-30T00:00:00"/>
  </r>
  <r>
    <n v="701"/>
    <x v="0"/>
    <x v="124"/>
    <x v="574"/>
    <n v="12047"/>
    <x v="377"/>
    <m/>
    <m/>
    <x v="1"/>
    <d v="2005-09-23T00:00:00"/>
    <x v="6"/>
    <m/>
    <d v="2006-04-11T00:00:00"/>
    <x v="4"/>
    <x v="0"/>
    <x v="0"/>
    <x v="1"/>
    <x v="0"/>
    <m/>
    <d v="2006-07-17T00:00:00"/>
    <x v="212"/>
    <m/>
    <n v="2925"/>
    <x v="0"/>
    <x v="0"/>
    <n v="22425"/>
    <m/>
    <x v="1"/>
    <n v="0"/>
    <x v="0"/>
    <x v="0"/>
    <m/>
    <m/>
    <x v="0"/>
    <d v="2006-10-27T00:00:00"/>
    <x v="0"/>
    <m/>
    <x v="1"/>
    <x v="5"/>
    <s v="S"/>
    <x v="8"/>
    <x v="0"/>
    <x v="140"/>
    <s v="Joana Toste"/>
    <x v="138"/>
    <x v="9"/>
    <x v="1"/>
    <x v="1"/>
    <x v="0"/>
    <d v="1899-12-30T00:00:00"/>
    <d v="1899-12-30T00:00:00"/>
  </r>
  <r>
    <n v="702"/>
    <x v="0"/>
    <x v="2"/>
    <x v="575"/>
    <n v="12046"/>
    <x v="378"/>
    <m/>
    <m/>
    <x v="1"/>
    <d v="2003-08-15T00:00:00"/>
    <x v="9"/>
    <m/>
    <d v="2004-04-12T00:00:00"/>
    <x v="5"/>
    <x v="0"/>
    <x v="0"/>
    <x v="1"/>
    <x v="0"/>
    <d v="2004-05-17T00:00:00"/>
    <d v="2004-11-25T00:00:00"/>
    <x v="181"/>
    <m/>
    <n v="8400"/>
    <x v="0"/>
    <x v="0"/>
    <n v="64400"/>
    <m/>
    <x v="1"/>
    <n v="0"/>
    <x v="0"/>
    <x v="0"/>
    <m/>
    <m/>
    <x v="0"/>
    <d v="2006-09-08T00:00:00"/>
    <x v="0"/>
    <m/>
    <x v="1"/>
    <x v="0"/>
    <s v="S"/>
    <x v="8"/>
    <x v="0"/>
    <x v="137"/>
    <s v="Pedro Brito"/>
    <x v="43"/>
    <x v="9"/>
    <x v="1"/>
    <x v="1"/>
    <x v="0"/>
    <d v="1899-12-30T00:00:00"/>
    <d v="1899-12-30T00:00:00"/>
  </r>
  <r>
    <n v="703"/>
    <x v="0"/>
    <x v="1"/>
    <x v="576"/>
    <n v="12045"/>
    <x v="379"/>
    <m/>
    <m/>
    <x v="1"/>
    <d v="2001-11-09T00:00:00"/>
    <x v="16"/>
    <m/>
    <d v="2002-07-15T00:00:00"/>
    <x v="17"/>
    <x v="0"/>
    <x v="0"/>
    <x v="1"/>
    <x v="0"/>
    <m/>
    <m/>
    <x v="213"/>
    <m/>
    <m/>
    <x v="0"/>
    <x v="0"/>
    <n v="47884.6"/>
    <m/>
    <x v="1"/>
    <n v="0"/>
    <x v="0"/>
    <x v="0"/>
    <m/>
    <m/>
    <x v="0"/>
    <d v="2006-02-24T00:00:00"/>
    <x v="0"/>
    <m/>
    <x v="1"/>
    <x v="0"/>
    <s v="S"/>
    <x v="8"/>
    <x v="0"/>
    <x v="136"/>
    <s v="Isabel Aboim Inglez"/>
    <x v="43"/>
    <x v="15"/>
    <x v="1"/>
    <x v="1"/>
    <x v="0"/>
    <d v="1899-12-30T00:00:00"/>
    <d v="1899-12-30T00:00:00"/>
  </r>
  <r>
    <n v="704"/>
    <x v="0"/>
    <x v="159"/>
    <x v="577"/>
    <n v="3705"/>
    <x v="380"/>
    <m/>
    <m/>
    <x v="3"/>
    <m/>
    <x v="8"/>
    <m/>
    <m/>
    <x v="8"/>
    <x v="0"/>
    <x v="0"/>
    <x v="1"/>
    <x v="0"/>
    <m/>
    <m/>
    <x v="24"/>
    <m/>
    <m/>
    <x v="0"/>
    <x v="0"/>
    <n v="100000"/>
    <m/>
    <x v="1"/>
    <n v="0"/>
    <x v="0"/>
    <x v="0"/>
    <m/>
    <m/>
    <x v="0"/>
    <d v="2006-10-19T00:00:00"/>
    <x v="0"/>
    <m/>
    <x v="1"/>
    <x v="0"/>
    <s v="O"/>
    <x v="8"/>
    <x v="0"/>
    <x v="289"/>
    <s v="Ángel de la Cruz, Manolo Gómez"/>
    <x v="26"/>
    <x v="15"/>
    <x v="1"/>
    <x v="0"/>
    <x v="0"/>
    <d v="1899-12-30T00:00:00"/>
    <d v="1899-12-30T00:00:00"/>
  </r>
  <r>
    <n v="705"/>
    <x v="0"/>
    <x v="44"/>
    <x v="578"/>
    <n v="12044"/>
    <x v="381"/>
    <m/>
    <m/>
    <x v="2"/>
    <d v="2000-08-25T00:00:00"/>
    <x v="15"/>
    <m/>
    <d v="2001-01-08T00:00:00"/>
    <x v="18"/>
    <x v="0"/>
    <x v="0"/>
    <x v="1"/>
    <x v="0"/>
    <m/>
    <m/>
    <x v="174"/>
    <m/>
    <m/>
    <x v="0"/>
    <x v="0"/>
    <n v="0"/>
    <m/>
    <x v="1"/>
    <n v="0"/>
    <x v="0"/>
    <x v="0"/>
    <m/>
    <m/>
    <x v="0"/>
    <d v="2006-01-17T00:00:00"/>
    <x v="0"/>
    <m/>
    <x v="1"/>
    <x v="16"/>
    <s v="O"/>
    <x v="8"/>
    <x v="0"/>
    <x v="117"/>
    <s v="Igor Pitta Simões"/>
    <x v="211"/>
    <x v="9"/>
    <x v="1"/>
    <x v="1"/>
    <x v="0"/>
    <d v="1899-12-30T00:00:00"/>
    <d v="1899-12-30T00:00:00"/>
  </r>
  <r>
    <n v="706"/>
    <x v="0"/>
    <x v="67"/>
    <x v="579"/>
    <n v="7334"/>
    <x v="382"/>
    <m/>
    <s v="João Sete Sete"/>
    <x v="0"/>
    <d v="1999-07-16T00:00:00"/>
    <x v="12"/>
    <m/>
    <d v="1999-11-17T00:00:00"/>
    <x v="12"/>
    <x v="0"/>
    <x v="0"/>
    <x v="1"/>
    <x v="0"/>
    <m/>
    <m/>
    <x v="180"/>
    <m/>
    <m/>
    <x v="0"/>
    <x v="0"/>
    <n v="648437.27"/>
    <m/>
    <x v="1"/>
    <n v="0"/>
    <x v="0"/>
    <x v="0"/>
    <m/>
    <m/>
    <x v="0"/>
    <d v="2006-09-29T00:00:00"/>
    <x v="0"/>
    <m/>
    <x v="1"/>
    <x v="2"/>
    <s v="A"/>
    <x v="8"/>
    <x v="0"/>
    <x v="290"/>
    <s v="António Costa Valente, Carlos Silva, Vítor Lopes"/>
    <x v="126"/>
    <x v="14"/>
    <x v="1"/>
    <x v="0"/>
    <x v="0"/>
    <d v="1899-12-30T00:00:00"/>
    <d v="1899-12-30T00:00:00"/>
  </r>
  <r>
    <n v="707"/>
    <x v="0"/>
    <x v="1"/>
    <x v="580"/>
    <n v="12043"/>
    <x v="383"/>
    <m/>
    <m/>
    <x v="2"/>
    <d v="1997-09-23T00:00:00"/>
    <x v="17"/>
    <m/>
    <d v="1997-12-18T00:00:00"/>
    <x v="19"/>
    <x v="0"/>
    <x v="0"/>
    <x v="1"/>
    <x v="0"/>
    <m/>
    <m/>
    <x v="214"/>
    <m/>
    <m/>
    <x v="0"/>
    <x v="0"/>
    <n v="41899.019999999997"/>
    <m/>
    <x v="1"/>
    <n v="0"/>
    <x v="0"/>
    <x v="0"/>
    <m/>
    <m/>
    <x v="0"/>
    <d v="2006-09-29T00:00:00"/>
    <x v="0"/>
    <m/>
    <x v="1"/>
    <x v="0"/>
    <s v="J"/>
    <x v="8"/>
    <x v="0"/>
    <x v="5"/>
    <s v="André Carrilho"/>
    <x v="212"/>
    <x v="8"/>
    <x v="1"/>
    <x v="1"/>
    <x v="0"/>
    <d v="1899-12-30T00:00:00"/>
    <d v="1899-12-30T00:00:00"/>
  </r>
  <r>
    <n v="708"/>
    <x v="0"/>
    <x v="2"/>
    <x v="581"/>
    <n v="12055"/>
    <x v="384"/>
    <m/>
    <m/>
    <x v="1"/>
    <d v="2001-11-09T00:00:00"/>
    <x v="16"/>
    <m/>
    <d v="2002-07-15T00:00:00"/>
    <x v="17"/>
    <x v="0"/>
    <x v="0"/>
    <x v="1"/>
    <x v="0"/>
    <m/>
    <m/>
    <x v="210"/>
    <m/>
    <m/>
    <x v="0"/>
    <x v="0"/>
    <n v="149639.37"/>
    <m/>
    <x v="1"/>
    <n v="0"/>
    <x v="0"/>
    <x v="0"/>
    <m/>
    <m/>
    <x v="0"/>
    <d v="2006-07-03T00:00:00"/>
    <x v="0"/>
    <m/>
    <x v="1"/>
    <x v="0"/>
    <s v="H"/>
    <x v="8"/>
    <x v="0"/>
    <x v="291"/>
    <s v="Afonso Cruz"/>
    <x v="114"/>
    <x v="9"/>
    <x v="1"/>
    <x v="2"/>
    <x v="8"/>
    <d v="1899-12-30T00:00:00"/>
    <d v="1899-12-30T00:00:00"/>
  </r>
  <r>
    <n v="709"/>
    <x v="0"/>
    <x v="3"/>
    <x v="582"/>
    <n v="12053"/>
    <x v="385"/>
    <m/>
    <m/>
    <x v="1"/>
    <d v="2001-11-09T00:00:00"/>
    <x v="16"/>
    <m/>
    <d v="2002-07-15T00:00:00"/>
    <x v="17"/>
    <x v="0"/>
    <x v="0"/>
    <x v="1"/>
    <x v="0"/>
    <m/>
    <m/>
    <x v="210"/>
    <m/>
    <m/>
    <x v="0"/>
    <x v="0"/>
    <n v="149639.37"/>
    <m/>
    <x v="1"/>
    <n v="0"/>
    <x v="0"/>
    <x v="0"/>
    <m/>
    <m/>
    <x v="0"/>
    <d v="2006-09-21T00:00:00"/>
    <x v="0"/>
    <m/>
    <x v="1"/>
    <x v="0"/>
    <s v="H"/>
    <x v="8"/>
    <x v="0"/>
    <x v="103"/>
    <s v="Artur Correia"/>
    <x v="13"/>
    <x v="9"/>
    <x v="1"/>
    <x v="2"/>
    <x v="10"/>
    <d v="1899-12-30T00:00:00"/>
    <d v="1899-12-30T00:00:00"/>
  </r>
  <r>
    <n v="710"/>
    <x v="0"/>
    <x v="2"/>
    <x v="583"/>
    <n v="12051"/>
    <x v="386"/>
    <m/>
    <m/>
    <x v="0"/>
    <d v="1999-07-16T00:00:00"/>
    <x v="12"/>
    <m/>
    <d v="1999-11-17T00:00:00"/>
    <x v="12"/>
    <x v="0"/>
    <x v="0"/>
    <x v="1"/>
    <x v="0"/>
    <m/>
    <d v="2004-08-23T00:00:00"/>
    <x v="215"/>
    <m/>
    <n v="14964"/>
    <x v="0"/>
    <x v="0"/>
    <n v="44268.380000000005"/>
    <m/>
    <x v="1"/>
    <n v="0"/>
    <x v="0"/>
    <x v="0"/>
    <m/>
    <m/>
    <x v="0"/>
    <d v="2006-11-15T00:00:00"/>
    <x v="0"/>
    <m/>
    <x v="1"/>
    <x v="0"/>
    <s v="A"/>
    <x v="8"/>
    <x v="0"/>
    <x v="73"/>
    <s v="Rui Cardoso"/>
    <x v="213"/>
    <x v="9"/>
    <x v="1"/>
    <x v="2"/>
    <x v="11"/>
    <d v="1899-12-30T00:00:00"/>
    <d v="1899-12-30T00:00:00"/>
  </r>
  <r>
    <n v="711"/>
    <x v="0"/>
    <x v="1"/>
    <x v="584"/>
    <n v="12042"/>
    <x v="387"/>
    <m/>
    <m/>
    <x v="2"/>
    <d v="1999-10-06T00:00:00"/>
    <x v="12"/>
    <m/>
    <d v="2000-02-16T00:00:00"/>
    <x v="15"/>
    <x v="0"/>
    <x v="0"/>
    <x v="1"/>
    <x v="0"/>
    <m/>
    <m/>
    <x v="174"/>
    <m/>
    <m/>
    <x v="0"/>
    <x v="0"/>
    <n v="0"/>
    <m/>
    <x v="1"/>
    <n v="0"/>
    <x v="0"/>
    <x v="0"/>
    <m/>
    <m/>
    <x v="0"/>
    <d v="2006-06-09T00:00:00"/>
    <x v="0"/>
    <m/>
    <x v="1"/>
    <x v="0"/>
    <s v="A"/>
    <x v="8"/>
    <x v="0"/>
    <x v="3"/>
    <s v="Nuno Amorim"/>
    <x v="43"/>
    <x v="8"/>
    <x v="1"/>
    <x v="1"/>
    <x v="0"/>
    <d v="1899-12-30T00:00:00"/>
    <d v="1899-12-30T00:00:00"/>
  </r>
  <r>
    <n v="712"/>
    <x v="0"/>
    <x v="2"/>
    <x v="585"/>
    <n v="12041"/>
    <x v="388"/>
    <m/>
    <m/>
    <x v="0"/>
    <d v="2002-08-02T00:00:00"/>
    <x v="14"/>
    <m/>
    <d v="2003-04-22T00:00:00"/>
    <x v="14"/>
    <x v="0"/>
    <x v="0"/>
    <x v="1"/>
    <x v="0"/>
    <m/>
    <m/>
    <x v="174"/>
    <m/>
    <m/>
    <x v="0"/>
    <x v="0"/>
    <n v="0"/>
    <m/>
    <x v="1"/>
    <n v="0"/>
    <x v="0"/>
    <x v="0"/>
    <m/>
    <m/>
    <x v="0"/>
    <d v="2006-08-07T00:00:00"/>
    <x v="0"/>
    <m/>
    <x v="1"/>
    <x v="0"/>
    <s v="A"/>
    <x v="8"/>
    <x v="0"/>
    <x v="292"/>
    <s v="Irina Calado, Carlos Fernandes"/>
    <x v="214"/>
    <x v="8"/>
    <x v="1"/>
    <x v="1"/>
    <x v="0"/>
    <d v="1899-12-30T00:00:00"/>
    <d v="1899-12-30T00:00:00"/>
  </r>
  <r>
    <n v="713"/>
    <x v="0"/>
    <x v="160"/>
    <x v="586"/>
    <n v="10578"/>
    <x v="389"/>
    <m/>
    <s v="O Carro Eléctrico"/>
    <x v="3"/>
    <m/>
    <x v="8"/>
    <m/>
    <m/>
    <x v="8"/>
    <x v="0"/>
    <x v="0"/>
    <x v="1"/>
    <x v="0"/>
    <m/>
    <m/>
    <x v="174"/>
    <m/>
    <m/>
    <x v="0"/>
    <x v="0"/>
    <n v="0"/>
    <m/>
    <x v="1"/>
    <n v="0"/>
    <x v="0"/>
    <x v="0"/>
    <m/>
    <m/>
    <x v="0"/>
    <d v="2006-11-30T00:00:00"/>
    <x v="0"/>
    <m/>
    <x v="1"/>
    <x v="9"/>
    <s v="2"/>
    <x v="8"/>
    <x v="0"/>
    <x v="293"/>
    <s v="José Xavier"/>
    <x v="138"/>
    <x v="9"/>
    <x v="1"/>
    <x v="1"/>
    <x v="0"/>
    <d v="1899-12-30T00:00:00"/>
    <d v="1899-12-30T00:00:00"/>
  </r>
  <r>
    <n v="714"/>
    <x v="0"/>
    <x v="132"/>
    <x v="587"/>
    <n v="6509"/>
    <x v="390"/>
    <m/>
    <m/>
    <x v="3"/>
    <m/>
    <x v="8"/>
    <m/>
    <m/>
    <x v="8"/>
    <x v="0"/>
    <x v="0"/>
    <x v="4"/>
    <x v="0"/>
    <m/>
    <m/>
    <x v="174"/>
    <m/>
    <m/>
    <x v="0"/>
    <x v="0"/>
    <n v="0"/>
    <m/>
    <x v="1"/>
    <n v="0"/>
    <x v="0"/>
    <x v="0"/>
    <m/>
    <m/>
    <x v="0"/>
    <d v="2006-06-09T00:00:00"/>
    <x v="0"/>
    <m/>
    <x v="3"/>
    <x v="7"/>
    <s v="U"/>
    <x v="8"/>
    <x v="0"/>
    <x v="132"/>
    <s v="Daniel Blaufuks"/>
    <x v="65"/>
    <x v="9"/>
    <x v="2"/>
    <x v="0"/>
    <x v="0"/>
    <d v="1899-12-30T00:00:00"/>
    <d v="1899-12-30T00:00:00"/>
  </r>
  <r>
    <n v="715"/>
    <x v="0"/>
    <x v="24"/>
    <x v="588"/>
    <n v="6681"/>
    <x v="391"/>
    <m/>
    <m/>
    <x v="3"/>
    <m/>
    <x v="8"/>
    <m/>
    <m/>
    <x v="8"/>
    <x v="0"/>
    <x v="0"/>
    <x v="4"/>
    <x v="0"/>
    <m/>
    <m/>
    <x v="174"/>
    <m/>
    <m/>
    <x v="0"/>
    <x v="0"/>
    <n v="0"/>
    <m/>
    <x v="1"/>
    <n v="0"/>
    <x v="0"/>
    <x v="0"/>
    <m/>
    <m/>
    <x v="0"/>
    <d v="2006-12-07T00:00:00"/>
    <x v="0"/>
    <m/>
    <x v="3"/>
    <x v="10"/>
    <s v="S"/>
    <x v="8"/>
    <x v="0"/>
    <x v="220"/>
    <s v="João Trabulo"/>
    <x v="26"/>
    <x v="8"/>
    <x v="2"/>
    <x v="0"/>
    <x v="0"/>
    <d v="1899-12-30T00:00:00"/>
    <d v="1899-12-30T00:00:00"/>
  </r>
  <r>
    <n v="716"/>
    <x v="0"/>
    <x v="13"/>
    <x v="589"/>
    <n v="12040"/>
    <x v="392"/>
    <m/>
    <m/>
    <x v="3"/>
    <m/>
    <x v="8"/>
    <m/>
    <m/>
    <x v="8"/>
    <x v="0"/>
    <x v="0"/>
    <x v="4"/>
    <x v="0"/>
    <m/>
    <m/>
    <x v="174"/>
    <m/>
    <m/>
    <x v="0"/>
    <x v="0"/>
    <n v="0"/>
    <m/>
    <x v="1"/>
    <n v="0"/>
    <x v="0"/>
    <x v="0"/>
    <m/>
    <m/>
    <x v="0"/>
    <d v="2006-11-07T00:00:00"/>
    <x v="0"/>
    <m/>
    <x v="3"/>
    <x v="4"/>
    <s v="P"/>
    <x v="8"/>
    <x v="0"/>
    <x v="294"/>
    <s v="Inês Gonçalves, Vasco Pimentel"/>
    <x v="79"/>
    <x v="9"/>
    <x v="2"/>
    <x v="1"/>
    <x v="0"/>
    <d v="1899-12-30T00:00:00"/>
    <d v="1899-12-30T00:00:00"/>
  </r>
  <r>
    <n v="717"/>
    <x v="0"/>
    <x v="44"/>
    <x v="590"/>
    <n v="10972"/>
    <x v="393"/>
    <m/>
    <m/>
    <x v="3"/>
    <m/>
    <x v="8"/>
    <m/>
    <m/>
    <x v="8"/>
    <x v="0"/>
    <x v="0"/>
    <x v="4"/>
    <x v="0"/>
    <m/>
    <m/>
    <x v="174"/>
    <m/>
    <m/>
    <x v="0"/>
    <x v="0"/>
    <n v="0"/>
    <m/>
    <x v="1"/>
    <n v="0"/>
    <x v="0"/>
    <x v="0"/>
    <m/>
    <m/>
    <x v="0"/>
    <d v="2006-12-18T00:00:00"/>
    <x v="0"/>
    <m/>
    <x v="3"/>
    <x v="16"/>
    <s v="P"/>
    <x v="8"/>
    <x v="0"/>
    <x v="295"/>
    <s v="Mónica Ferreira, João Luz"/>
    <x v="195"/>
    <x v="5"/>
    <x v="2"/>
    <x v="1"/>
    <x v="0"/>
    <d v="1899-12-30T00:00:00"/>
    <d v="1899-12-30T00:00:00"/>
  </r>
  <r>
    <n v="718"/>
    <x v="0"/>
    <x v="134"/>
    <x v="591"/>
    <n v="5704"/>
    <x v="394"/>
    <m/>
    <m/>
    <x v="1"/>
    <d v="2004-11-26T00:00:00"/>
    <x v="5"/>
    <m/>
    <d v="2005-08-03T00:00:00"/>
    <x v="6"/>
    <x v="0"/>
    <x v="0"/>
    <x v="4"/>
    <x v="0"/>
    <m/>
    <d v="2006-01-18T00:00:00"/>
    <x v="80"/>
    <m/>
    <m/>
    <x v="0"/>
    <x v="0"/>
    <n v="50000"/>
    <m/>
    <x v="1"/>
    <n v="0"/>
    <x v="0"/>
    <x v="0"/>
    <m/>
    <m/>
    <x v="0"/>
    <d v="2006-08-17T00:00:00"/>
    <x v="0"/>
    <m/>
    <x v="3"/>
    <x v="10"/>
    <s v="O"/>
    <x v="8"/>
    <x v="0"/>
    <x v="63"/>
    <s v="Manuel Mozos"/>
    <x v="41"/>
    <x v="9"/>
    <x v="2"/>
    <x v="1"/>
    <x v="0"/>
    <d v="1899-12-30T00:00:00"/>
    <d v="1899-12-30T00:00:00"/>
  </r>
  <r>
    <n v="719"/>
    <x v="0"/>
    <x v="161"/>
    <x v="592"/>
    <n v="4019"/>
    <x v="395"/>
    <m/>
    <m/>
    <x v="1"/>
    <d v="2004-11-26T00:00:00"/>
    <x v="5"/>
    <m/>
    <d v="2005-08-03T00:00:00"/>
    <x v="6"/>
    <x v="0"/>
    <x v="0"/>
    <x v="4"/>
    <x v="0"/>
    <m/>
    <m/>
    <x v="174"/>
    <m/>
    <m/>
    <x v="0"/>
    <x v="0"/>
    <n v="0"/>
    <m/>
    <x v="1"/>
    <n v="0"/>
    <x v="0"/>
    <x v="0"/>
    <m/>
    <m/>
    <x v="0"/>
    <d v="2006-06-12T00:00:00"/>
    <x v="0"/>
    <m/>
    <x v="3"/>
    <x v="2"/>
    <s v="M"/>
    <x v="8"/>
    <x v="0"/>
    <x v="176"/>
    <s v="Edgar Pêra"/>
    <x v="215"/>
    <x v="9"/>
    <x v="2"/>
    <x v="0"/>
    <x v="0"/>
    <d v="1899-12-30T00:00:00"/>
    <d v="1899-12-30T00:00:00"/>
  </r>
  <r>
    <n v="720"/>
    <x v="0"/>
    <x v="28"/>
    <x v="593"/>
    <n v="12039"/>
    <x v="396"/>
    <m/>
    <m/>
    <x v="1"/>
    <d v="2003-09-26T00:00:00"/>
    <x v="9"/>
    <m/>
    <d v="2004-06-01T00:00:00"/>
    <x v="5"/>
    <x v="0"/>
    <x v="0"/>
    <x v="4"/>
    <x v="0"/>
    <m/>
    <m/>
    <x v="39"/>
    <m/>
    <m/>
    <x v="0"/>
    <x v="0"/>
    <n v="35000"/>
    <m/>
    <x v="1"/>
    <n v="0"/>
    <x v="0"/>
    <x v="0"/>
    <m/>
    <m/>
    <x v="0"/>
    <d v="2006-10-13T00:00:00"/>
    <x v="0"/>
    <m/>
    <x v="3"/>
    <x v="11"/>
    <s v="M"/>
    <x v="8"/>
    <x v="0"/>
    <x v="127"/>
    <s v="Ariel de Bigault"/>
    <x v="216"/>
    <x v="9"/>
    <x v="2"/>
    <x v="1"/>
    <x v="0"/>
    <d v="1899-12-30T00:00:00"/>
    <d v="1899-12-30T00:00:00"/>
  </r>
  <r>
    <n v="721"/>
    <x v="0"/>
    <x v="10"/>
    <x v="594"/>
    <n v="5519"/>
    <x v="397"/>
    <m/>
    <m/>
    <x v="1"/>
    <d v="2004-11-26T00:00:00"/>
    <x v="5"/>
    <m/>
    <d v="2005-08-03T00:00:00"/>
    <x v="6"/>
    <x v="0"/>
    <x v="0"/>
    <x v="4"/>
    <x v="0"/>
    <m/>
    <d v="2005-11-04T00:00:00"/>
    <x v="80"/>
    <m/>
    <n v="5850"/>
    <x v="0"/>
    <x v="0"/>
    <n v="55850"/>
    <m/>
    <x v="1"/>
    <n v="0"/>
    <x v="0"/>
    <x v="0"/>
    <m/>
    <m/>
    <x v="0"/>
    <d v="2006-11-17T00:00:00"/>
    <x v="0"/>
    <m/>
    <x v="3"/>
    <x v="4"/>
    <s v="L"/>
    <x v="8"/>
    <x v="0"/>
    <x v="296"/>
    <s v="Graça Castanheira"/>
    <x v="79"/>
    <x v="9"/>
    <x v="2"/>
    <x v="1"/>
    <x v="0"/>
    <d v="1899-12-30T00:00:00"/>
    <d v="1899-12-30T00:00:00"/>
  </r>
  <r>
    <n v="722"/>
    <x v="0"/>
    <x v="41"/>
    <x v="595"/>
    <n v="12038"/>
    <x v="398"/>
    <m/>
    <m/>
    <x v="1"/>
    <d v="2003-09-19T00:00:00"/>
    <x v="9"/>
    <m/>
    <d v="2004-03-30T00:00:00"/>
    <x v="5"/>
    <x v="0"/>
    <x v="0"/>
    <x v="26"/>
    <x v="0"/>
    <m/>
    <m/>
    <x v="95"/>
    <m/>
    <m/>
    <x v="0"/>
    <x v="0"/>
    <n v="25000"/>
    <m/>
    <x v="1"/>
    <n v="0"/>
    <x v="0"/>
    <x v="0"/>
    <m/>
    <m/>
    <x v="0"/>
    <d v="2006-12-29T00:00:00"/>
    <x v="0"/>
    <m/>
    <x v="3"/>
    <x v="13"/>
    <s v="G"/>
    <x v="8"/>
    <x v="0"/>
    <x v="31"/>
    <s v="Fernando Matos Silva"/>
    <x v="217"/>
    <x v="9"/>
    <x v="2"/>
    <x v="1"/>
    <x v="0"/>
    <d v="1899-12-30T00:00:00"/>
    <d v="1899-12-30T00:00:00"/>
  </r>
  <r>
    <n v="723"/>
    <x v="0"/>
    <x v="28"/>
    <x v="596"/>
    <n v="7335"/>
    <x v="399"/>
    <m/>
    <m/>
    <x v="3"/>
    <m/>
    <x v="8"/>
    <m/>
    <m/>
    <x v="8"/>
    <x v="0"/>
    <x v="0"/>
    <x v="4"/>
    <x v="0"/>
    <m/>
    <m/>
    <x v="174"/>
    <m/>
    <m/>
    <x v="0"/>
    <x v="0"/>
    <n v="0"/>
    <m/>
    <x v="1"/>
    <n v="0"/>
    <x v="0"/>
    <x v="0"/>
    <m/>
    <m/>
    <x v="0"/>
    <d v="2006-09-07T00:00:00"/>
    <x v="0"/>
    <m/>
    <x v="3"/>
    <x v="11"/>
    <s v="E"/>
    <x v="8"/>
    <x v="0"/>
    <x v="61"/>
    <s v="Rui Simões"/>
    <x v="46"/>
    <x v="9"/>
    <x v="2"/>
    <x v="0"/>
    <x v="0"/>
    <d v="1899-12-30T00:00:00"/>
    <d v="1899-12-30T00:00:00"/>
  </r>
  <r>
    <n v="724"/>
    <x v="0"/>
    <x v="127"/>
    <x v="597"/>
    <n v="12033"/>
    <x v="400"/>
    <m/>
    <m/>
    <x v="3"/>
    <m/>
    <x v="8"/>
    <m/>
    <m/>
    <x v="8"/>
    <x v="0"/>
    <x v="0"/>
    <x v="4"/>
    <x v="0"/>
    <m/>
    <m/>
    <x v="174"/>
    <m/>
    <m/>
    <x v="0"/>
    <x v="0"/>
    <n v="0"/>
    <m/>
    <x v="1"/>
    <n v="0"/>
    <x v="0"/>
    <x v="0"/>
    <m/>
    <m/>
    <x v="0"/>
    <d v="2006-05-22T00:00:00"/>
    <x v="0"/>
    <m/>
    <x v="3"/>
    <x v="2"/>
    <s v="E"/>
    <x v="8"/>
    <x v="0"/>
    <x v="254"/>
    <s v="Pierre-Marie Goulet"/>
    <x v="29"/>
    <x v="9"/>
    <x v="2"/>
    <x v="0"/>
    <x v="0"/>
    <d v="1899-12-30T00:00:00"/>
    <d v="1899-12-30T00:00:00"/>
  </r>
  <r>
    <n v="725"/>
    <x v="0"/>
    <x v="34"/>
    <x v="598"/>
    <n v="12032"/>
    <x v="401"/>
    <m/>
    <s v="5ª Punkada"/>
    <x v="1"/>
    <d v="2002-12-27T00:00:00"/>
    <x v="14"/>
    <m/>
    <d v="2003-06-30T00:00:00"/>
    <x v="14"/>
    <x v="0"/>
    <x v="0"/>
    <x v="4"/>
    <x v="0"/>
    <m/>
    <d v="2003-07-18T00:00:00"/>
    <x v="3"/>
    <m/>
    <m/>
    <x v="0"/>
    <x v="0"/>
    <n v="20000"/>
    <m/>
    <x v="1"/>
    <n v="0"/>
    <x v="0"/>
    <x v="0"/>
    <m/>
    <m/>
    <x v="0"/>
    <d v="2006-03-01T00:00:00"/>
    <x v="0"/>
    <m/>
    <x v="3"/>
    <x v="0"/>
    <s v="D"/>
    <x v="8"/>
    <x v="0"/>
    <x v="75"/>
    <s v="Miguel Seabra Lopes"/>
    <x v="48"/>
    <x v="9"/>
    <x v="2"/>
    <x v="0"/>
    <x v="0"/>
    <d v="1899-12-30T00:00:00"/>
    <d v="1899-12-30T00:00:00"/>
  </r>
  <r>
    <n v="726"/>
    <x v="0"/>
    <x v="41"/>
    <x v="599"/>
    <n v="12037"/>
    <x v="402"/>
    <m/>
    <m/>
    <x v="1"/>
    <d v="2003-09-19T00:00:00"/>
    <x v="9"/>
    <m/>
    <d v="2004-03-30T00:00:00"/>
    <x v="5"/>
    <x v="0"/>
    <x v="0"/>
    <x v="26"/>
    <x v="0"/>
    <m/>
    <m/>
    <x v="95"/>
    <m/>
    <m/>
    <x v="0"/>
    <x v="0"/>
    <n v="25000"/>
    <m/>
    <x v="1"/>
    <n v="0"/>
    <x v="0"/>
    <x v="0"/>
    <m/>
    <m/>
    <x v="0"/>
    <d v="2006-10-31T00:00:00"/>
    <x v="0"/>
    <m/>
    <x v="3"/>
    <x v="13"/>
    <s v="D"/>
    <x v="8"/>
    <x v="0"/>
    <x v="31"/>
    <s v="Fernando Matos Silva"/>
    <x v="41"/>
    <x v="9"/>
    <x v="2"/>
    <x v="1"/>
    <x v="0"/>
    <d v="1899-12-30T00:00:00"/>
    <d v="1899-12-30T00:00:00"/>
  </r>
  <r>
    <n v="727"/>
    <x v="0"/>
    <x v="41"/>
    <x v="600"/>
    <n v="12036"/>
    <x v="403"/>
    <m/>
    <m/>
    <x v="1"/>
    <d v="2003-09-19T00:00:00"/>
    <x v="9"/>
    <m/>
    <d v="2004-03-30T00:00:00"/>
    <x v="5"/>
    <x v="0"/>
    <x v="0"/>
    <x v="26"/>
    <x v="0"/>
    <m/>
    <m/>
    <x v="95"/>
    <m/>
    <m/>
    <x v="0"/>
    <x v="0"/>
    <n v="25000"/>
    <m/>
    <x v="1"/>
    <n v="0"/>
    <x v="0"/>
    <x v="0"/>
    <m/>
    <m/>
    <x v="0"/>
    <d v="2006-10-31T00:00:00"/>
    <x v="0"/>
    <m/>
    <x v="3"/>
    <x v="13"/>
    <s v="D"/>
    <x v="8"/>
    <x v="0"/>
    <x v="31"/>
    <s v="Fernando Matos Silva"/>
    <x v="193"/>
    <x v="9"/>
    <x v="2"/>
    <x v="1"/>
    <x v="0"/>
    <d v="1899-12-30T00:00:00"/>
    <d v="1899-12-30T00:00:00"/>
  </r>
  <r>
    <n v="728"/>
    <x v="0"/>
    <x v="10"/>
    <x v="601"/>
    <n v="12035"/>
    <x v="404"/>
    <m/>
    <m/>
    <x v="1"/>
    <d v="2004-09-26T00:00:00"/>
    <x v="5"/>
    <m/>
    <d v="2005-07-15T00:00:00"/>
    <x v="6"/>
    <x v="0"/>
    <x v="0"/>
    <x v="26"/>
    <x v="0"/>
    <m/>
    <d v="2005-10-26T00:00:00"/>
    <x v="75"/>
    <m/>
    <n v="4680"/>
    <x v="0"/>
    <x v="0"/>
    <n v="44680"/>
    <m/>
    <x v="1"/>
    <n v="0"/>
    <x v="0"/>
    <x v="0"/>
    <m/>
    <m/>
    <x v="0"/>
    <d v="2006-02-15T00:00:00"/>
    <x v="0"/>
    <m/>
    <x v="3"/>
    <x v="4"/>
    <s v="C"/>
    <x v="8"/>
    <x v="0"/>
    <x v="297"/>
    <s v="Andreia Barbosa"/>
    <x v="218"/>
    <x v="9"/>
    <x v="2"/>
    <x v="1"/>
    <x v="0"/>
    <d v="1899-12-30T00:00:00"/>
    <d v="1899-12-30T00:00:00"/>
  </r>
  <r>
    <n v="729"/>
    <x v="0"/>
    <x v="11"/>
    <x v="602"/>
    <n v="6080"/>
    <x v="405"/>
    <m/>
    <m/>
    <x v="3"/>
    <m/>
    <x v="8"/>
    <m/>
    <m/>
    <x v="8"/>
    <x v="0"/>
    <x v="0"/>
    <x v="4"/>
    <x v="0"/>
    <m/>
    <m/>
    <x v="174"/>
    <m/>
    <m/>
    <x v="0"/>
    <x v="0"/>
    <n v="0"/>
    <m/>
    <x v="1"/>
    <n v="0"/>
    <x v="0"/>
    <x v="0"/>
    <m/>
    <m/>
    <x v="0"/>
    <d v="2006-11-03T00:00:00"/>
    <x v="0"/>
    <m/>
    <x v="3"/>
    <x v="4"/>
    <s v="C"/>
    <x v="8"/>
    <x v="0"/>
    <x v="298"/>
    <s v="Inês de Medeiros"/>
    <x v="106"/>
    <x v="9"/>
    <x v="2"/>
    <x v="0"/>
    <x v="0"/>
    <d v="1899-12-30T00:00:00"/>
    <d v="1899-12-30T00:00:00"/>
  </r>
  <r>
    <n v="730"/>
    <x v="0"/>
    <x v="17"/>
    <x v="603"/>
    <n v="12031"/>
    <x v="406"/>
    <m/>
    <m/>
    <x v="1"/>
    <d v="2003-09-19T00:00:00"/>
    <x v="9"/>
    <m/>
    <d v="2004-03-30T00:00:00"/>
    <x v="5"/>
    <x v="0"/>
    <x v="0"/>
    <x v="26"/>
    <x v="0"/>
    <m/>
    <m/>
    <x v="95"/>
    <m/>
    <m/>
    <x v="0"/>
    <x v="0"/>
    <n v="25000"/>
    <m/>
    <x v="1"/>
    <n v="0"/>
    <x v="0"/>
    <x v="0"/>
    <m/>
    <m/>
    <x v="0"/>
    <d v="2006-01-05T00:00:00"/>
    <x v="0"/>
    <m/>
    <x v="3"/>
    <x v="7"/>
    <s v="B"/>
    <x v="8"/>
    <x v="0"/>
    <x v="299"/>
    <s v="Paulo Lopes, Helena Lopes"/>
    <x v="219"/>
    <x v="15"/>
    <x v="2"/>
    <x v="0"/>
    <x v="0"/>
    <d v="1899-12-30T00:00:00"/>
    <d v="1899-12-30T00:00:00"/>
  </r>
  <r>
    <n v="731"/>
    <x v="0"/>
    <x v="13"/>
    <x v="604"/>
    <n v="4522"/>
    <x v="407"/>
    <m/>
    <m/>
    <x v="1"/>
    <d v="2003-09-26T00:00:00"/>
    <x v="9"/>
    <m/>
    <d v="2004-06-01T00:00:00"/>
    <x v="5"/>
    <x v="0"/>
    <x v="0"/>
    <x v="4"/>
    <x v="0"/>
    <m/>
    <m/>
    <x v="80"/>
    <m/>
    <m/>
    <x v="0"/>
    <x v="0"/>
    <n v="50000"/>
    <m/>
    <x v="1"/>
    <n v="0"/>
    <x v="0"/>
    <x v="0"/>
    <m/>
    <m/>
    <x v="0"/>
    <d v="2006-10-09T00:00:00"/>
    <x v="0"/>
    <m/>
    <x v="3"/>
    <x v="4"/>
    <s v="B"/>
    <x v="8"/>
    <x v="0"/>
    <x v="300"/>
    <s v="Jorge Pereirinha Pires, José Francisco Pinheiro Câmara"/>
    <x v="220"/>
    <x v="8"/>
    <x v="2"/>
    <x v="0"/>
    <x v="0"/>
    <d v="1899-12-30T00:00:00"/>
    <d v="1899-12-30T00:00:00"/>
  </r>
  <r>
    <n v="732"/>
    <x v="0"/>
    <x v="162"/>
    <x v="605"/>
    <n v="12030"/>
    <x v="408"/>
    <m/>
    <m/>
    <x v="1"/>
    <d v="2004-11-26T00:00:00"/>
    <x v="5"/>
    <m/>
    <d v="2005-08-03T00:00:00"/>
    <x v="6"/>
    <x v="0"/>
    <x v="0"/>
    <x v="4"/>
    <x v="0"/>
    <m/>
    <d v="2005-11-21T00:00:00"/>
    <x v="3"/>
    <m/>
    <n v="2340"/>
    <x v="0"/>
    <x v="0"/>
    <n v="22340"/>
    <m/>
    <x v="1"/>
    <n v="0"/>
    <x v="0"/>
    <x v="0"/>
    <m/>
    <m/>
    <x v="0"/>
    <d v="2006-11-20T00:00:00"/>
    <x v="0"/>
    <m/>
    <x v="3"/>
    <x v="0"/>
    <s v="A"/>
    <x v="8"/>
    <x v="0"/>
    <x v="301"/>
    <s v="Pedro Neves"/>
    <x v="21"/>
    <x v="9"/>
    <x v="2"/>
    <x v="0"/>
    <x v="0"/>
    <d v="1899-12-30T00:00:00"/>
    <d v="1899-12-30T00:00:00"/>
  </r>
  <r>
    <n v="733"/>
    <x v="0"/>
    <x v="132"/>
    <x v="606"/>
    <n v="12029"/>
    <x v="409"/>
    <m/>
    <m/>
    <x v="3"/>
    <m/>
    <x v="8"/>
    <m/>
    <m/>
    <x v="8"/>
    <x v="0"/>
    <x v="0"/>
    <x v="4"/>
    <x v="0"/>
    <m/>
    <m/>
    <x v="174"/>
    <m/>
    <m/>
    <x v="0"/>
    <x v="0"/>
    <n v="0"/>
    <m/>
    <x v="1"/>
    <n v="0"/>
    <x v="0"/>
    <x v="0"/>
    <m/>
    <m/>
    <x v="0"/>
    <d v="2006-12-13T00:00:00"/>
    <x v="0"/>
    <m/>
    <x v="3"/>
    <x v="7"/>
    <s v="À"/>
    <x v="8"/>
    <x v="0"/>
    <x v="203"/>
    <s v="Catarina Mourão"/>
    <x v="92"/>
    <x v="9"/>
    <x v="2"/>
    <x v="0"/>
    <x v="0"/>
    <d v="1899-12-30T00:00:00"/>
    <d v="1899-12-30T00:00:00"/>
  </r>
  <r>
    <n v="734"/>
    <x v="0"/>
    <x v="13"/>
    <x v="607"/>
    <n v="12034"/>
    <x v="410"/>
    <m/>
    <m/>
    <x v="3"/>
    <m/>
    <x v="8"/>
    <m/>
    <m/>
    <x v="8"/>
    <x v="0"/>
    <x v="0"/>
    <x v="4"/>
    <x v="0"/>
    <m/>
    <m/>
    <x v="174"/>
    <m/>
    <m/>
    <x v="0"/>
    <x v="0"/>
    <n v="0"/>
    <m/>
    <x v="1"/>
    <n v="0"/>
    <x v="0"/>
    <x v="0"/>
    <m/>
    <m/>
    <x v="0"/>
    <d v="2006-07-24T00:00:00"/>
    <x v="0"/>
    <m/>
    <x v="3"/>
    <x v="4"/>
    <s v="A"/>
    <x v="8"/>
    <x v="0"/>
    <x v="302"/>
    <s v="Joana Ferreira"/>
    <x v="26"/>
    <x v="8"/>
    <x v="2"/>
    <x v="0"/>
    <x v="0"/>
    <d v="1899-12-30T00:00:00"/>
    <d v="1899-12-30T00:00:00"/>
  </r>
  <r>
    <n v="735"/>
    <x v="0"/>
    <x v="6"/>
    <x v="608"/>
    <n v="7158"/>
    <x v="411"/>
    <m/>
    <m/>
    <x v="1"/>
    <d v="2004-11-26T00:00:00"/>
    <x v="5"/>
    <m/>
    <d v="2005-08-03T00:00:00"/>
    <x v="6"/>
    <x v="0"/>
    <x v="0"/>
    <x v="4"/>
    <x v="0"/>
    <m/>
    <m/>
    <x v="174"/>
    <m/>
    <m/>
    <x v="0"/>
    <x v="0"/>
    <n v="0"/>
    <m/>
    <x v="1"/>
    <n v="0"/>
    <x v="0"/>
    <x v="0"/>
    <m/>
    <m/>
    <x v="0"/>
    <d v="2006-12-07T00:00:00"/>
    <x v="0"/>
    <m/>
    <x v="3"/>
    <x v="2"/>
    <s v="À"/>
    <x v="8"/>
    <x v="0"/>
    <x v="215"/>
    <s v="Christine Reeh"/>
    <x v="97"/>
    <x v="9"/>
    <x v="2"/>
    <x v="1"/>
    <x v="0"/>
    <d v="1899-12-30T00:00:00"/>
    <d v="1899-12-30T00:00:00"/>
  </r>
  <r>
    <n v="736"/>
    <x v="0"/>
    <x v="163"/>
    <x v="609"/>
    <n v="12028"/>
    <x v="412"/>
    <m/>
    <m/>
    <x v="3"/>
    <m/>
    <x v="8"/>
    <m/>
    <m/>
    <x v="8"/>
    <x v="0"/>
    <x v="0"/>
    <x v="3"/>
    <x v="0"/>
    <m/>
    <m/>
    <x v="174"/>
    <m/>
    <m/>
    <x v="0"/>
    <x v="0"/>
    <n v="0"/>
    <m/>
    <x v="1"/>
    <n v="0"/>
    <x v="0"/>
    <x v="0"/>
    <m/>
    <m/>
    <x v="0"/>
    <d v="2006-09-18T00:00:00"/>
    <x v="0"/>
    <m/>
    <x v="2"/>
    <x v="4"/>
    <s v="S"/>
    <x v="8"/>
    <x v="0"/>
    <x v="303"/>
    <s v="Pedro Baptista"/>
    <x v="128"/>
    <x v="9"/>
    <x v="0"/>
    <x v="1"/>
    <x v="0"/>
    <d v="1899-12-30T00:00:00"/>
    <d v="1899-12-30T00:00:00"/>
  </r>
  <r>
    <n v="737"/>
    <x v="0"/>
    <x v="23"/>
    <x v="610"/>
    <n v="12027"/>
    <x v="413"/>
    <m/>
    <m/>
    <x v="1"/>
    <d v="2002-09-27T00:00:00"/>
    <x v="14"/>
    <m/>
    <d v="2003-01-08T00:00:00"/>
    <x v="14"/>
    <x v="0"/>
    <x v="0"/>
    <x v="3"/>
    <x v="0"/>
    <d v="2003-09-11T00:00:00"/>
    <d v="2004-05-10T00:00:00"/>
    <x v="9"/>
    <m/>
    <m/>
    <x v="0"/>
    <x v="0"/>
    <n v="45000"/>
    <m/>
    <x v="1"/>
    <n v="0"/>
    <x v="0"/>
    <x v="0"/>
    <d v="2005-05-29T00:00:00"/>
    <m/>
    <x v="0"/>
    <d v="2006-09-29T00:00:00"/>
    <x v="0"/>
    <m/>
    <x v="2"/>
    <x v="9"/>
    <s v="R"/>
    <x v="8"/>
    <x v="0"/>
    <x v="304"/>
    <s v="João Carrilho"/>
    <x v="128"/>
    <x v="9"/>
    <x v="0"/>
    <x v="1"/>
    <x v="0"/>
    <d v="2005-05-29T00:00:00"/>
    <d v="1899-12-30T00:00:00"/>
  </r>
  <r>
    <n v="738"/>
    <x v="0"/>
    <x v="23"/>
    <x v="611"/>
    <n v="4199"/>
    <x v="414"/>
    <m/>
    <m/>
    <x v="1"/>
    <d v="2004-09-17T00:00:00"/>
    <x v="5"/>
    <m/>
    <d v="2005-05-20T00:00:00"/>
    <x v="6"/>
    <x v="0"/>
    <x v="0"/>
    <x v="3"/>
    <x v="0"/>
    <m/>
    <d v="2005-10-25T00:00:00"/>
    <x v="9"/>
    <m/>
    <n v="5265"/>
    <x v="0"/>
    <x v="0"/>
    <n v="50265"/>
    <m/>
    <x v="1"/>
    <n v="0"/>
    <x v="0"/>
    <x v="0"/>
    <m/>
    <m/>
    <x v="0"/>
    <d v="2006-07-20T00:00:00"/>
    <x v="0"/>
    <m/>
    <x v="2"/>
    <x v="9"/>
    <s v="R"/>
    <x v="8"/>
    <x v="0"/>
    <x v="50"/>
    <s v="João Nicolau"/>
    <x v="163"/>
    <x v="9"/>
    <x v="0"/>
    <x v="1"/>
    <x v="0"/>
    <d v="1899-12-30T00:00:00"/>
    <d v="1899-12-30T00:00:00"/>
  </r>
  <r>
    <n v="739"/>
    <x v="0"/>
    <x v="23"/>
    <x v="612"/>
    <n v="12064"/>
    <x v="415"/>
    <m/>
    <m/>
    <x v="3"/>
    <m/>
    <x v="8"/>
    <m/>
    <m/>
    <x v="8"/>
    <x v="0"/>
    <x v="0"/>
    <x v="3"/>
    <x v="0"/>
    <m/>
    <m/>
    <x v="174"/>
    <m/>
    <m/>
    <x v="0"/>
    <x v="0"/>
    <n v="0"/>
    <m/>
    <x v="1"/>
    <n v="0"/>
    <x v="0"/>
    <x v="0"/>
    <m/>
    <m/>
    <x v="0"/>
    <d v="2006-10-23T00:00:00"/>
    <x v="0"/>
    <m/>
    <x v="2"/>
    <x v="9"/>
    <s v="P"/>
    <x v="8"/>
    <x v="0"/>
    <x v="305"/>
    <s v="Nuno Bernardo"/>
    <x v="76"/>
    <x v="8"/>
    <x v="0"/>
    <x v="1"/>
    <x v="0"/>
    <d v="1899-12-30T00:00:00"/>
    <d v="1899-12-30T00:00:00"/>
  </r>
  <r>
    <n v="740"/>
    <x v="0"/>
    <x v="34"/>
    <x v="613"/>
    <n v="5986"/>
    <x v="416"/>
    <m/>
    <m/>
    <x v="3"/>
    <m/>
    <x v="8"/>
    <m/>
    <m/>
    <x v="8"/>
    <x v="0"/>
    <x v="0"/>
    <x v="3"/>
    <x v="0"/>
    <m/>
    <m/>
    <x v="174"/>
    <m/>
    <m/>
    <x v="0"/>
    <x v="0"/>
    <n v="0"/>
    <m/>
    <x v="1"/>
    <n v="0"/>
    <x v="0"/>
    <x v="0"/>
    <m/>
    <m/>
    <x v="0"/>
    <d v="2006-06-19T00:00:00"/>
    <x v="0"/>
    <m/>
    <x v="2"/>
    <x v="0"/>
    <s v="P"/>
    <x v="8"/>
    <x v="0"/>
    <x v="75"/>
    <s v="Miguel Seabra Lopes"/>
    <x v="85"/>
    <x v="9"/>
    <x v="0"/>
    <x v="1"/>
    <x v="0"/>
    <d v="1899-12-30T00:00:00"/>
    <d v="1899-12-30T00:00:00"/>
  </r>
  <r>
    <n v="741"/>
    <x v="0"/>
    <x v="17"/>
    <x v="614"/>
    <n v="5987"/>
    <x v="417"/>
    <m/>
    <m/>
    <x v="3"/>
    <m/>
    <x v="8"/>
    <m/>
    <m/>
    <x v="8"/>
    <x v="0"/>
    <x v="0"/>
    <x v="3"/>
    <x v="0"/>
    <m/>
    <m/>
    <x v="174"/>
    <m/>
    <m/>
    <x v="0"/>
    <x v="0"/>
    <n v="0"/>
    <m/>
    <x v="1"/>
    <n v="0"/>
    <x v="0"/>
    <x v="0"/>
    <m/>
    <m/>
    <x v="0"/>
    <d v="2006-07-28T00:00:00"/>
    <x v="0"/>
    <m/>
    <x v="2"/>
    <x v="7"/>
    <s v="O"/>
    <x v="8"/>
    <x v="0"/>
    <x v="84"/>
    <s v="Teresa Garcia"/>
    <x v="85"/>
    <x v="15"/>
    <x v="0"/>
    <x v="1"/>
    <x v="0"/>
    <d v="1899-12-30T00:00:00"/>
    <d v="1899-12-30T00:00:00"/>
  </r>
  <r>
    <n v="742"/>
    <x v="0"/>
    <x v="123"/>
    <x v="615"/>
    <n v="12026"/>
    <x v="418"/>
    <m/>
    <m/>
    <x v="2"/>
    <d v="2004-01-02T00:00:00"/>
    <x v="5"/>
    <m/>
    <d v="2004-10-01T00:00:00"/>
    <x v="5"/>
    <x v="0"/>
    <x v="0"/>
    <x v="3"/>
    <x v="0"/>
    <m/>
    <m/>
    <x v="9"/>
    <m/>
    <m/>
    <x v="0"/>
    <x v="0"/>
    <n v="45000"/>
    <m/>
    <x v="1"/>
    <n v="0"/>
    <x v="0"/>
    <x v="0"/>
    <m/>
    <m/>
    <x v="0"/>
    <d v="2006-01-24T00:00:00"/>
    <x v="0"/>
    <m/>
    <x v="2"/>
    <x v="0"/>
    <s v="O"/>
    <x v="8"/>
    <x v="0"/>
    <x v="24"/>
    <s v="Solveig Nordlund"/>
    <x v="43"/>
    <x v="15"/>
    <x v="0"/>
    <x v="1"/>
    <x v="0"/>
    <d v="1899-12-30T00:00:00"/>
    <d v="1899-12-30T00:00:00"/>
  </r>
  <r>
    <n v="743"/>
    <x v="0"/>
    <x v="40"/>
    <x v="106"/>
    <m/>
    <x v="4"/>
    <s v="IndieLisboa"/>
    <m/>
    <x v="1"/>
    <d v="2013-01-31T00:00:00"/>
    <x v="11"/>
    <d v="2013-12-31T00:00:00"/>
    <d v="2013-05-28T00:00:00"/>
    <x v="11"/>
    <x v="3"/>
    <x v="4"/>
    <x v="21"/>
    <x v="0"/>
    <m/>
    <m/>
    <x v="102"/>
    <m/>
    <m/>
    <x v="0"/>
    <x v="0"/>
    <n v="750"/>
    <m/>
    <x v="1"/>
    <n v="0"/>
    <x v="0"/>
    <x v="0"/>
    <m/>
    <m/>
    <x v="0"/>
    <m/>
    <x v="0"/>
    <d v="2013-12-05T00:00:00"/>
    <x v="5"/>
    <x v="10"/>
    <s v="A"/>
    <x v="3"/>
    <x v="0"/>
    <x v="108"/>
    <s v=""/>
    <x v="4"/>
    <x v="2"/>
    <x v="4"/>
    <x v="3"/>
    <x v="0"/>
    <d v="1899-12-30T00:00:00"/>
    <d v="1899-12-30T00:00:00"/>
  </r>
  <r>
    <n v="744"/>
    <x v="0"/>
    <x v="9"/>
    <x v="616"/>
    <n v="12025"/>
    <x v="419"/>
    <m/>
    <m/>
    <x v="0"/>
    <d v="2003-10-31T00:00:00"/>
    <x v="9"/>
    <m/>
    <d v="2004-08-13T00:00:00"/>
    <x v="5"/>
    <x v="0"/>
    <x v="0"/>
    <x v="3"/>
    <x v="0"/>
    <m/>
    <m/>
    <x v="9"/>
    <m/>
    <m/>
    <x v="0"/>
    <x v="0"/>
    <n v="45000"/>
    <m/>
    <x v="1"/>
    <n v="0"/>
    <x v="0"/>
    <x v="0"/>
    <m/>
    <m/>
    <x v="0"/>
    <d v="2006-05-25T00:00:00"/>
    <x v="0"/>
    <m/>
    <x v="2"/>
    <x v="3"/>
    <s v="J"/>
    <x v="8"/>
    <x v="0"/>
    <x v="306"/>
    <s v="João Guerra"/>
    <x v="132"/>
    <x v="9"/>
    <x v="0"/>
    <x v="1"/>
    <x v="0"/>
    <d v="1899-12-30T00:00:00"/>
    <d v="1899-12-30T00:00:00"/>
  </r>
  <r>
    <n v="745"/>
    <x v="0"/>
    <x v="156"/>
    <x v="617"/>
    <n v="12024"/>
    <x v="420"/>
    <m/>
    <m/>
    <x v="1"/>
    <d v="2004-09-17T00:00:00"/>
    <x v="5"/>
    <m/>
    <d v="2005-05-20T00:00:00"/>
    <x v="6"/>
    <x v="0"/>
    <x v="0"/>
    <x v="3"/>
    <x v="0"/>
    <d v="2005-07-05T00:00:00"/>
    <d v="2006-02-13T00:00:00"/>
    <x v="9"/>
    <m/>
    <n v="5265"/>
    <x v="0"/>
    <x v="0"/>
    <n v="50265"/>
    <m/>
    <x v="1"/>
    <n v="0"/>
    <x v="0"/>
    <x v="0"/>
    <m/>
    <m/>
    <x v="0"/>
    <d v="2006-11-21T00:00:00"/>
    <x v="0"/>
    <m/>
    <x v="2"/>
    <x v="2"/>
    <s v="H"/>
    <x v="8"/>
    <x v="0"/>
    <x v="125"/>
    <s v="Elsa Bruxelas"/>
    <x v="39"/>
    <x v="8"/>
    <x v="0"/>
    <x v="1"/>
    <x v="0"/>
    <d v="1899-12-30T00:00:00"/>
    <d v="1899-12-30T00:00:00"/>
  </r>
  <r>
    <n v="746"/>
    <x v="0"/>
    <x v="32"/>
    <x v="618"/>
    <n v="12023"/>
    <x v="421"/>
    <m/>
    <m/>
    <x v="3"/>
    <m/>
    <x v="8"/>
    <m/>
    <m/>
    <x v="8"/>
    <x v="0"/>
    <x v="0"/>
    <x v="3"/>
    <x v="0"/>
    <m/>
    <m/>
    <x v="174"/>
    <m/>
    <m/>
    <x v="0"/>
    <x v="0"/>
    <n v="0"/>
    <m/>
    <x v="1"/>
    <n v="0"/>
    <x v="0"/>
    <x v="0"/>
    <m/>
    <m/>
    <x v="0"/>
    <d v="2006-02-03T00:00:00"/>
    <x v="0"/>
    <m/>
    <x v="2"/>
    <x v="13"/>
    <s v="E"/>
    <x v="8"/>
    <x v="0"/>
    <x v="198"/>
    <s v="Susana Nobre"/>
    <x v="109"/>
    <x v="9"/>
    <x v="0"/>
    <x v="1"/>
    <x v="0"/>
    <d v="1899-12-30T00:00:00"/>
    <d v="1899-12-30T00:00:00"/>
  </r>
  <r>
    <n v="747"/>
    <x v="0"/>
    <x v="156"/>
    <x v="619"/>
    <n v="12022"/>
    <x v="422"/>
    <m/>
    <m/>
    <x v="3"/>
    <m/>
    <x v="8"/>
    <m/>
    <m/>
    <x v="8"/>
    <x v="0"/>
    <x v="0"/>
    <x v="3"/>
    <x v="0"/>
    <m/>
    <m/>
    <x v="174"/>
    <m/>
    <m/>
    <x v="0"/>
    <x v="0"/>
    <n v="0"/>
    <m/>
    <x v="1"/>
    <n v="0"/>
    <x v="0"/>
    <x v="0"/>
    <m/>
    <m/>
    <x v="0"/>
    <d v="2006-01-30T00:00:00"/>
    <x v="0"/>
    <m/>
    <x v="2"/>
    <x v="2"/>
    <s v="C"/>
    <x v="8"/>
    <x v="0"/>
    <x v="167"/>
    <s v="João Pinto Nogueira (Pinconé)"/>
    <x v="109"/>
    <x v="16"/>
    <x v="0"/>
    <x v="1"/>
    <x v="0"/>
    <d v="1899-12-30T00:00:00"/>
    <d v="1899-12-30T00:00:00"/>
  </r>
  <r>
    <n v="748"/>
    <x v="0"/>
    <x v="23"/>
    <x v="620"/>
    <n v="12021"/>
    <x v="423"/>
    <m/>
    <m/>
    <x v="1"/>
    <d v="2004-09-17T00:00:00"/>
    <x v="5"/>
    <m/>
    <d v="2005-05-20T00:00:00"/>
    <x v="6"/>
    <x v="0"/>
    <x v="0"/>
    <x v="3"/>
    <x v="0"/>
    <m/>
    <d v="2006-01-18T00:00:00"/>
    <x v="9"/>
    <m/>
    <n v="5265"/>
    <x v="0"/>
    <x v="0"/>
    <n v="50265"/>
    <m/>
    <x v="1"/>
    <n v="0"/>
    <x v="0"/>
    <x v="0"/>
    <m/>
    <m/>
    <x v="0"/>
    <d v="2006-09-27T00:00:00"/>
    <x v="0"/>
    <m/>
    <x v="2"/>
    <x v="9"/>
    <s v="O"/>
    <x v="8"/>
    <x v="0"/>
    <x v="47"/>
    <s v="Miguel Gomes"/>
    <x v="20"/>
    <x v="9"/>
    <x v="0"/>
    <x v="1"/>
    <x v="0"/>
    <d v="1899-12-30T00:00:00"/>
    <d v="1899-12-30T00:00:00"/>
  </r>
  <r>
    <n v="749"/>
    <x v="0"/>
    <x v="34"/>
    <x v="621"/>
    <n v="12020"/>
    <x v="424"/>
    <m/>
    <m/>
    <x v="3"/>
    <m/>
    <x v="8"/>
    <m/>
    <m/>
    <x v="8"/>
    <x v="0"/>
    <x v="0"/>
    <x v="3"/>
    <x v="0"/>
    <m/>
    <m/>
    <x v="174"/>
    <m/>
    <m/>
    <x v="0"/>
    <x v="0"/>
    <n v="0"/>
    <m/>
    <x v="1"/>
    <n v="0"/>
    <x v="0"/>
    <x v="0"/>
    <m/>
    <m/>
    <x v="0"/>
    <d v="2006-02-27T00:00:00"/>
    <x v="0"/>
    <m/>
    <x v="2"/>
    <x v="0"/>
    <s v="A"/>
    <x v="8"/>
    <x v="0"/>
    <x v="307"/>
    <s v="João Pupo"/>
    <x v="88"/>
    <x v="9"/>
    <x v="0"/>
    <x v="1"/>
    <x v="0"/>
    <d v="1899-12-30T00:00:00"/>
    <d v="1899-12-30T00:00:00"/>
  </r>
  <r>
    <n v="750"/>
    <x v="0"/>
    <x v="9"/>
    <x v="622"/>
    <n v="10579"/>
    <x v="425"/>
    <m/>
    <s v="Caminheiros"/>
    <x v="2"/>
    <d v="2004-01-02T00:00:00"/>
    <x v="5"/>
    <m/>
    <d v="2004-10-01T00:00:00"/>
    <x v="5"/>
    <x v="0"/>
    <x v="0"/>
    <x v="3"/>
    <x v="0"/>
    <d v="2005-03-09T00:00:00"/>
    <d v="2005-09-14T00:00:00"/>
    <x v="9"/>
    <m/>
    <n v="6750"/>
    <x v="0"/>
    <x v="0"/>
    <n v="51750"/>
    <m/>
    <x v="1"/>
    <n v="0"/>
    <x v="0"/>
    <x v="0"/>
    <d v="2005-09-03T00:00:00"/>
    <m/>
    <x v="0"/>
    <d v="2006-05-25T00:00:00"/>
    <x v="0"/>
    <m/>
    <x v="2"/>
    <x v="3"/>
    <s v="3"/>
    <x v="8"/>
    <x v="0"/>
    <x v="308"/>
    <s v="João Guerra"/>
    <x v="109"/>
    <x v="8"/>
    <x v="0"/>
    <x v="1"/>
    <x v="0"/>
    <d v="2005-09-03T00:00:00"/>
    <d v="1899-12-30T00:00:00"/>
  </r>
  <r>
    <n v="751"/>
    <x v="0"/>
    <x v="19"/>
    <x v="623"/>
    <n v="4267"/>
    <x v="426"/>
    <m/>
    <m/>
    <x v="3"/>
    <m/>
    <x v="8"/>
    <m/>
    <m/>
    <x v="8"/>
    <x v="0"/>
    <x v="0"/>
    <x v="0"/>
    <x v="0"/>
    <m/>
    <m/>
    <x v="174"/>
    <m/>
    <m/>
    <x v="0"/>
    <x v="0"/>
    <n v="0"/>
    <m/>
    <x v="1"/>
    <n v="0"/>
    <x v="0"/>
    <x v="0"/>
    <m/>
    <m/>
    <x v="0"/>
    <d v="2007-01-30T00:00:00"/>
    <x v="0"/>
    <m/>
    <x v="0"/>
    <x v="8"/>
    <s v="2"/>
    <x v="14"/>
    <x v="0"/>
    <x v="42"/>
    <s v="Joaquim Leitão"/>
    <x v="121"/>
    <x v="9"/>
    <x v="0"/>
    <x v="0"/>
    <x v="0"/>
    <d v="1899-12-30T00:00:00"/>
    <d v="1899-12-30T00:00:00"/>
  </r>
  <r>
    <n v="752"/>
    <x v="0"/>
    <x v="52"/>
    <x v="624"/>
    <n v="4221"/>
    <x v="427"/>
    <m/>
    <m/>
    <x v="3"/>
    <m/>
    <x v="8"/>
    <m/>
    <m/>
    <x v="8"/>
    <x v="0"/>
    <x v="0"/>
    <x v="0"/>
    <x v="0"/>
    <m/>
    <m/>
    <x v="174"/>
    <m/>
    <m/>
    <x v="0"/>
    <x v="0"/>
    <n v="0"/>
    <m/>
    <x v="1"/>
    <n v="0"/>
    <x v="0"/>
    <x v="0"/>
    <m/>
    <m/>
    <x v="0"/>
    <d v="2006-10-03T00:00:00"/>
    <x v="0"/>
    <m/>
    <x v="0"/>
    <x v="2"/>
    <s v="V"/>
    <x v="8"/>
    <x v="0"/>
    <x v="309"/>
    <s v="José Fonseca e Costa"/>
    <x v="221"/>
    <x v="9"/>
    <x v="0"/>
    <x v="0"/>
    <x v="0"/>
    <d v="1899-12-30T00:00:00"/>
    <d v="1899-12-30T00:00:00"/>
  </r>
  <r>
    <n v="753"/>
    <x v="0"/>
    <x v="19"/>
    <x v="625"/>
    <n v="4007"/>
    <x v="428"/>
    <m/>
    <m/>
    <x v="3"/>
    <m/>
    <x v="8"/>
    <m/>
    <m/>
    <x v="8"/>
    <x v="0"/>
    <x v="0"/>
    <x v="0"/>
    <x v="0"/>
    <m/>
    <m/>
    <x v="174"/>
    <m/>
    <m/>
    <x v="0"/>
    <x v="0"/>
    <n v="0"/>
    <m/>
    <x v="1"/>
    <n v="0"/>
    <x v="0"/>
    <x v="0"/>
    <m/>
    <m/>
    <x v="0"/>
    <d v="2006-01-17T00:00:00"/>
    <x v="0"/>
    <m/>
    <x v="0"/>
    <x v="8"/>
    <s v="V"/>
    <x v="8"/>
    <x v="0"/>
    <x v="25"/>
    <s v="Ruy Guerra"/>
    <x v="117"/>
    <x v="9"/>
    <x v="0"/>
    <x v="0"/>
    <x v="0"/>
    <d v="1899-12-30T00:00:00"/>
    <d v="1899-12-30T00:00:00"/>
  </r>
  <r>
    <n v="754"/>
    <x v="0"/>
    <x v="52"/>
    <x v="626"/>
    <n v="4192"/>
    <x v="429"/>
    <m/>
    <m/>
    <x v="0"/>
    <d v="2002-12-27T00:00:00"/>
    <x v="14"/>
    <m/>
    <d v="2003-07-14T00:00:00"/>
    <x v="14"/>
    <x v="0"/>
    <x v="0"/>
    <x v="0"/>
    <x v="0"/>
    <d v="2003-07-22T00:00:00"/>
    <d v="2006-03-06T00:00:00"/>
    <x v="209"/>
    <m/>
    <m/>
    <x v="0"/>
    <x v="0"/>
    <n v="648500"/>
    <m/>
    <x v="1"/>
    <n v="0"/>
    <x v="0"/>
    <x v="0"/>
    <d v="2005-03-07T00:00:00"/>
    <m/>
    <x v="0"/>
    <d v="2006-05-25T00:00:00"/>
    <x v="0"/>
    <m/>
    <x v="0"/>
    <x v="2"/>
    <s v="T"/>
    <x v="8"/>
    <x v="0"/>
    <x v="153"/>
    <s v="Teresa Villaverde"/>
    <x v="222"/>
    <x v="9"/>
    <x v="0"/>
    <x v="0"/>
    <x v="0"/>
    <d v="2005-03-07T00:00:00"/>
    <d v="1899-12-30T00:00:00"/>
  </r>
  <r>
    <n v="755"/>
    <x v="0"/>
    <x v="130"/>
    <x v="627"/>
    <n v="5732"/>
    <x v="430"/>
    <m/>
    <m/>
    <x v="3"/>
    <m/>
    <x v="8"/>
    <m/>
    <m/>
    <x v="8"/>
    <x v="0"/>
    <x v="0"/>
    <x v="11"/>
    <x v="0"/>
    <m/>
    <m/>
    <x v="174"/>
    <m/>
    <m/>
    <x v="0"/>
    <x v="0"/>
    <n v="0"/>
    <m/>
    <x v="1"/>
    <n v="0"/>
    <x v="0"/>
    <x v="0"/>
    <m/>
    <m/>
    <x v="0"/>
    <d v="2006-10-20T00:00:00"/>
    <x v="0"/>
    <m/>
    <x v="0"/>
    <x v="4"/>
    <s v="T"/>
    <x v="8"/>
    <x v="0"/>
    <x v="310"/>
    <s v="Teresa Prata"/>
    <x v="16"/>
    <x v="8"/>
    <x v="0"/>
    <x v="0"/>
    <x v="0"/>
    <d v="1899-12-30T00:00:00"/>
    <d v="1899-12-30T00:00:00"/>
  </r>
  <r>
    <n v="756"/>
    <x v="0"/>
    <x v="10"/>
    <x v="628"/>
    <n v="12060"/>
    <x v="431"/>
    <m/>
    <m/>
    <x v="1"/>
    <d v="2004-05-03T00:00:00"/>
    <x v="5"/>
    <m/>
    <d v="2004-12-14T00:00:00"/>
    <x v="5"/>
    <x v="0"/>
    <x v="0"/>
    <x v="8"/>
    <x v="0"/>
    <m/>
    <d v="2005-04-19T00:00:00"/>
    <x v="21"/>
    <m/>
    <m/>
    <x v="0"/>
    <x v="0"/>
    <n v="450000"/>
    <m/>
    <x v="1"/>
    <n v="0"/>
    <x v="0"/>
    <x v="0"/>
    <m/>
    <m/>
    <x v="0"/>
    <d v="2006-12-13T00:00:00"/>
    <x v="0"/>
    <m/>
    <x v="0"/>
    <x v="4"/>
    <s v="O"/>
    <x v="8"/>
    <x v="0"/>
    <x v="147"/>
    <s v="Sol de Carvalho"/>
    <x v="23"/>
    <x v="8"/>
    <x v="0"/>
    <x v="0"/>
    <x v="0"/>
    <d v="1899-12-30T00:00:00"/>
    <d v="1899-12-30T00:00:00"/>
  </r>
  <r>
    <n v="757"/>
    <x v="0"/>
    <x v="52"/>
    <x v="629"/>
    <n v="12061"/>
    <x v="432"/>
    <m/>
    <m/>
    <x v="3"/>
    <m/>
    <x v="8"/>
    <m/>
    <m/>
    <x v="8"/>
    <x v="0"/>
    <x v="0"/>
    <x v="10"/>
    <x v="0"/>
    <m/>
    <m/>
    <x v="174"/>
    <m/>
    <m/>
    <x v="0"/>
    <x v="0"/>
    <n v="0"/>
    <m/>
    <x v="1"/>
    <n v="0"/>
    <x v="0"/>
    <x v="0"/>
    <m/>
    <m/>
    <x v="0"/>
    <d v="2006-05-29T00:00:00"/>
    <x v="0"/>
    <m/>
    <x v="0"/>
    <x v="2"/>
    <s v="L"/>
    <x v="8"/>
    <x v="0"/>
    <x v="311"/>
    <s v="Florence Colombani"/>
    <x v="133"/>
    <x v="9"/>
    <x v="0"/>
    <x v="0"/>
    <x v="0"/>
    <d v="1899-12-30T00:00:00"/>
    <d v="1899-12-30T00:00:00"/>
  </r>
  <r>
    <n v="758"/>
    <x v="0"/>
    <x v="52"/>
    <x v="630"/>
    <n v="12062"/>
    <x v="433"/>
    <m/>
    <m/>
    <x v="1"/>
    <d v="2004-05-03T00:00:00"/>
    <x v="5"/>
    <m/>
    <d v="2004-10-27T00:00:00"/>
    <x v="5"/>
    <x v="0"/>
    <x v="0"/>
    <x v="10"/>
    <x v="0"/>
    <m/>
    <d v="2006-09-22T00:00:00"/>
    <x v="156"/>
    <m/>
    <m/>
    <x v="0"/>
    <x v="0"/>
    <n v="200000"/>
    <m/>
    <x v="1"/>
    <n v="0"/>
    <x v="0"/>
    <x v="0"/>
    <m/>
    <m/>
    <x v="0"/>
    <d v="2006-12-19T00:00:00"/>
    <x v="0"/>
    <m/>
    <x v="0"/>
    <x v="2"/>
    <s v="L"/>
    <x v="8"/>
    <x v="0"/>
    <x v="312"/>
    <s v="Zina Modiano"/>
    <x v="77"/>
    <x v="9"/>
    <x v="0"/>
    <x v="0"/>
    <x v="0"/>
    <d v="1899-12-30T00:00:00"/>
    <d v="1899-12-30T00:00:00"/>
  </r>
  <r>
    <n v="759"/>
    <x v="0"/>
    <x v="41"/>
    <x v="631"/>
    <n v="7207"/>
    <x v="434"/>
    <m/>
    <s v="Deixaram-nos o Morto"/>
    <x v="1"/>
    <d v="2003-08-22T00:00:00"/>
    <x v="9"/>
    <m/>
    <d v="2004-03-08T00:00:00"/>
    <x v="5"/>
    <x v="0"/>
    <x v="0"/>
    <x v="10"/>
    <x v="0"/>
    <m/>
    <m/>
    <x v="156"/>
    <m/>
    <m/>
    <x v="0"/>
    <x v="0"/>
    <n v="200000"/>
    <m/>
    <x v="1"/>
    <n v="0"/>
    <x v="0"/>
    <x v="0"/>
    <m/>
    <m/>
    <x v="0"/>
    <d v="2006-11-29T00:00:00"/>
    <x v="0"/>
    <m/>
    <x v="0"/>
    <x v="13"/>
    <s v="L"/>
    <x v="8"/>
    <x v="0"/>
    <x v="313"/>
    <s v="JC Falcon"/>
    <x v="48"/>
    <x v="9"/>
    <x v="0"/>
    <x v="0"/>
    <x v="0"/>
    <d v="1899-12-30T00:00:00"/>
    <d v="1899-12-30T00:00:00"/>
  </r>
  <r>
    <n v="760"/>
    <x v="0"/>
    <x v="137"/>
    <x v="632"/>
    <n v="4231"/>
    <x v="435"/>
    <m/>
    <m/>
    <x v="0"/>
    <d v="2003-08-29T00:00:00"/>
    <x v="9"/>
    <m/>
    <d v="2004-01-15T00:00:00"/>
    <x v="5"/>
    <x v="0"/>
    <x v="0"/>
    <x v="9"/>
    <x v="0"/>
    <m/>
    <m/>
    <x v="23"/>
    <m/>
    <m/>
    <x v="0"/>
    <x v="0"/>
    <n v="650000"/>
    <m/>
    <x v="1"/>
    <n v="0"/>
    <x v="0"/>
    <x v="0"/>
    <m/>
    <m/>
    <x v="0"/>
    <d v="2006-09-01T00:00:00"/>
    <x v="0"/>
    <m/>
    <x v="0"/>
    <x v="2"/>
    <s v="J"/>
    <x v="8"/>
    <x v="0"/>
    <x v="46"/>
    <s v="Pedro Costa"/>
    <x v="223"/>
    <x v="9"/>
    <x v="0"/>
    <x v="0"/>
    <x v="0"/>
    <d v="1899-12-30T00:00:00"/>
    <d v="1899-12-30T00:00:00"/>
  </r>
  <r>
    <n v="761"/>
    <x v="0"/>
    <x v="52"/>
    <x v="633"/>
    <n v="4280"/>
    <x v="436"/>
    <m/>
    <s v="O Céu Que Nos Impede"/>
    <x v="1"/>
    <d v="2003-10-31T00:00:00"/>
    <x v="9"/>
    <m/>
    <d v="2004-06-21T00:00:00"/>
    <x v="5"/>
    <x v="0"/>
    <x v="0"/>
    <x v="11"/>
    <x v="0"/>
    <m/>
    <m/>
    <x v="21"/>
    <m/>
    <m/>
    <x v="0"/>
    <x v="0"/>
    <n v="450000"/>
    <m/>
    <x v="1"/>
    <n v="0"/>
    <x v="0"/>
    <x v="0"/>
    <m/>
    <m/>
    <x v="0"/>
    <d v="2006-08-04T00:00:00"/>
    <x v="0"/>
    <m/>
    <x v="0"/>
    <x v="2"/>
    <s v="B"/>
    <x v="8"/>
    <x v="0"/>
    <x v="314"/>
    <s v="Hugo Vieira da Silva"/>
    <x v="53"/>
    <x v="9"/>
    <x v="0"/>
    <x v="0"/>
    <x v="0"/>
    <d v="1899-12-30T00:00:00"/>
    <d v="1899-12-30T00:00:00"/>
  </r>
  <r>
    <n v="762"/>
    <x v="0"/>
    <x v="164"/>
    <x v="634"/>
    <n v="4765"/>
    <x v="437"/>
    <m/>
    <m/>
    <x v="3"/>
    <m/>
    <x v="8"/>
    <m/>
    <m/>
    <x v="8"/>
    <x v="0"/>
    <x v="0"/>
    <x v="0"/>
    <x v="0"/>
    <m/>
    <m/>
    <x v="174"/>
    <m/>
    <m/>
    <x v="0"/>
    <x v="0"/>
    <n v="0"/>
    <m/>
    <x v="1"/>
    <n v="0"/>
    <x v="0"/>
    <x v="0"/>
    <m/>
    <m/>
    <x v="0"/>
    <d v="2006-07-03T00:00:00"/>
    <x v="0"/>
    <m/>
    <x v="0"/>
    <x v="4"/>
    <s v="B"/>
    <x v="8"/>
    <x v="0"/>
    <x v="52"/>
    <s v="Manoel de Oliveira"/>
    <x v="215"/>
    <x v="9"/>
    <x v="0"/>
    <x v="0"/>
    <x v="0"/>
    <d v="1899-12-30T00:00:00"/>
    <d v="1899-12-30T00:00:00"/>
  </r>
  <r>
    <n v="763"/>
    <x v="0"/>
    <x v="13"/>
    <x v="635"/>
    <n v="4558"/>
    <x v="438"/>
    <m/>
    <s v="O Velho Carro de Vitor Losa"/>
    <x v="1"/>
    <d v="2003-10-31T00:00:00"/>
    <x v="9"/>
    <m/>
    <d v="2004-06-21T00:00:00"/>
    <x v="5"/>
    <x v="0"/>
    <x v="0"/>
    <x v="11"/>
    <x v="0"/>
    <m/>
    <m/>
    <x v="21"/>
    <m/>
    <m/>
    <x v="0"/>
    <x v="0"/>
    <n v="450000"/>
    <m/>
    <x v="1"/>
    <n v="0"/>
    <x v="0"/>
    <x v="0"/>
    <m/>
    <m/>
    <x v="0"/>
    <d v="2006-09-27T00:00:00"/>
    <x v="0"/>
    <m/>
    <x v="0"/>
    <x v="4"/>
    <s v="A"/>
    <x v="8"/>
    <x v="0"/>
    <x v="315"/>
    <s v="Jorge Queiroga"/>
    <x v="208"/>
    <x v="9"/>
    <x v="0"/>
    <x v="0"/>
    <x v="0"/>
    <d v="1899-12-30T00:00:00"/>
    <d v="1899-12-30T00:00:00"/>
  </r>
  <r>
    <n v="764"/>
    <x v="0"/>
    <x v="10"/>
    <x v="636"/>
    <n v="12063"/>
    <x v="439"/>
    <m/>
    <s v="Angosto"/>
    <x v="3"/>
    <m/>
    <x v="8"/>
    <m/>
    <m/>
    <x v="8"/>
    <x v="0"/>
    <x v="0"/>
    <x v="10"/>
    <x v="0"/>
    <m/>
    <m/>
    <x v="174"/>
    <m/>
    <m/>
    <x v="0"/>
    <x v="0"/>
    <n v="0"/>
    <m/>
    <x v="1"/>
    <n v="0"/>
    <x v="0"/>
    <x v="0"/>
    <m/>
    <m/>
    <x v="0"/>
    <d v="2006-10-19T00:00:00"/>
    <x v="0"/>
    <m/>
    <x v="0"/>
    <x v="4"/>
    <s v="A"/>
    <x v="8"/>
    <x v="0"/>
    <x v="316"/>
    <s v="Jorge Sanchez-Cabezudo"/>
    <x v="224"/>
    <x v="9"/>
    <x v="0"/>
    <x v="0"/>
    <x v="0"/>
    <d v="1899-12-30T00:00:00"/>
    <d v="1899-12-30T00:00:00"/>
  </r>
  <r>
    <n v="765"/>
    <x v="0"/>
    <x v="52"/>
    <x v="637"/>
    <n v="4178"/>
    <x v="440"/>
    <m/>
    <m/>
    <x v="2"/>
    <d v="2004-01-02T00:00:00"/>
    <x v="5"/>
    <m/>
    <d v="2004-04-22T00:00:00"/>
    <x v="5"/>
    <x v="0"/>
    <x v="0"/>
    <x v="9"/>
    <x v="0"/>
    <m/>
    <m/>
    <x v="23"/>
    <m/>
    <m/>
    <x v="0"/>
    <x v="0"/>
    <n v="650000"/>
    <m/>
    <x v="1"/>
    <n v="0"/>
    <x v="0"/>
    <x v="0"/>
    <m/>
    <m/>
    <x v="0"/>
    <d v="2006-04-06T00:00:00"/>
    <x v="0"/>
    <m/>
    <x v="0"/>
    <x v="2"/>
    <s v="9"/>
    <x v="8"/>
    <x v="0"/>
    <x v="72"/>
    <s v="Fernando Lopes"/>
    <x v="111"/>
    <x v="9"/>
    <x v="0"/>
    <x v="0"/>
    <x v="0"/>
    <d v="1899-12-30T00:00:00"/>
    <d v="1899-12-30T00:00:00"/>
  </r>
  <r>
    <n v="766"/>
    <x v="0"/>
    <x v="52"/>
    <x v="638"/>
    <n v="6728"/>
    <x v="218"/>
    <m/>
    <m/>
    <x v="3"/>
    <m/>
    <x v="8"/>
    <m/>
    <m/>
    <x v="8"/>
    <x v="0"/>
    <x v="0"/>
    <x v="10"/>
    <x v="0"/>
    <m/>
    <m/>
    <x v="174"/>
    <m/>
    <m/>
    <x v="0"/>
    <x v="0"/>
    <n v="0"/>
    <m/>
    <x v="1"/>
    <n v="0"/>
    <x v="0"/>
    <x v="0"/>
    <m/>
    <m/>
    <x v="0"/>
    <m/>
    <x v="0"/>
    <m/>
    <x v="5"/>
    <x v="2"/>
    <s v="E"/>
    <x v="3"/>
    <x v="0"/>
    <x v="214"/>
    <s v="Werner Schroeter"/>
    <x v="53"/>
    <x v="14"/>
    <x v="4"/>
    <x v="3"/>
    <x v="0"/>
    <d v="1899-12-30T00:00:00"/>
    <d v="1899-12-30T00:00:00"/>
  </r>
  <r>
    <n v="767"/>
    <x v="0"/>
    <x v="52"/>
    <x v="639"/>
    <n v="3770"/>
    <x v="441"/>
    <m/>
    <s v="À Espera de Alice"/>
    <x v="1"/>
    <d v="2002-08-30T00:00:00"/>
    <x v="14"/>
    <m/>
    <d v="2003-04-14T00:00:00"/>
    <x v="14"/>
    <x v="0"/>
    <x v="0"/>
    <x v="11"/>
    <x v="0"/>
    <d v="2003-05-02T00:00:00"/>
    <d v="2003-10-31T00:00:00"/>
    <x v="216"/>
    <m/>
    <m/>
    <x v="0"/>
    <x v="0"/>
    <n v="449000"/>
    <m/>
    <x v="1"/>
    <n v="0"/>
    <x v="0"/>
    <x v="0"/>
    <d v="2003-11-07T00:00:00"/>
    <m/>
    <x v="0"/>
    <d v="2005-01-12T00:00:00"/>
    <x v="0"/>
    <m/>
    <x v="0"/>
    <x v="2"/>
    <s v="A"/>
    <x v="15"/>
    <x v="0"/>
    <x v="212"/>
    <s v="Marco Martins"/>
    <x v="21"/>
    <x v="15"/>
    <x v="0"/>
    <x v="0"/>
    <x v="0"/>
    <d v="2003-11-07T00:00:00"/>
    <d v="1899-12-30T00:00:00"/>
  </r>
  <r>
    <n v="768"/>
    <x v="0"/>
    <x v="52"/>
    <x v="640"/>
    <n v="3941"/>
    <x v="442"/>
    <m/>
    <m/>
    <x v="0"/>
    <d v="2003-08-15T00:00:00"/>
    <x v="9"/>
    <m/>
    <d v="2004-02-12T00:00:00"/>
    <x v="5"/>
    <x v="0"/>
    <x v="0"/>
    <x v="0"/>
    <x v="0"/>
    <d v="2004-02-18T00:00:00"/>
    <d v="2006-03-06T00:00:00"/>
    <x v="23"/>
    <m/>
    <n v="97500"/>
    <x v="4"/>
    <x v="0"/>
    <n v="772500"/>
    <m/>
    <x v="1"/>
    <n v="0"/>
    <x v="0"/>
    <x v="0"/>
    <d v="2004-05-31T00:00:00"/>
    <m/>
    <x v="0"/>
    <d v="2005-08-10T00:00:00"/>
    <x v="0"/>
    <m/>
    <x v="0"/>
    <x v="2"/>
    <s v="C"/>
    <x v="15"/>
    <x v="0"/>
    <x v="317"/>
    <s v="Tiago Guedes, Frederico Serra"/>
    <x v="16"/>
    <x v="15"/>
    <x v="0"/>
    <x v="0"/>
    <x v="0"/>
    <d v="2004-05-31T00:00:00"/>
    <d v="1899-12-30T00:00:00"/>
  </r>
  <r>
    <n v="769"/>
    <x v="0"/>
    <x v="127"/>
    <x v="641"/>
    <n v="3908"/>
    <x v="443"/>
    <m/>
    <s v="Um Quatro de Légua em Quadro"/>
    <x v="1"/>
    <d v="2002-08-23T00:00:00"/>
    <x v="14"/>
    <m/>
    <d v="2003-03-31T00:00:00"/>
    <x v="14"/>
    <x v="0"/>
    <x v="0"/>
    <x v="10"/>
    <x v="0"/>
    <m/>
    <d v="2004-03-08T00:00:00"/>
    <x v="99"/>
    <m/>
    <m/>
    <x v="0"/>
    <x v="0"/>
    <n v="150000"/>
    <m/>
    <x v="1"/>
    <n v="0"/>
    <x v="0"/>
    <x v="0"/>
    <d v="2004-02-16T00:00:00"/>
    <m/>
    <x v="0"/>
    <d v="2005-09-23T00:00:00"/>
    <x v="0"/>
    <m/>
    <x v="0"/>
    <x v="2"/>
    <s v="D"/>
    <x v="15"/>
    <x v="0"/>
    <x v="318"/>
    <s v="Paulo Nascimento"/>
    <x v="111"/>
    <x v="15"/>
    <x v="0"/>
    <x v="0"/>
    <x v="0"/>
    <d v="2004-02-16T00:00:00"/>
    <d v="1899-12-30T00:00:00"/>
  </r>
  <r>
    <n v="770"/>
    <x v="0"/>
    <x v="164"/>
    <x v="642"/>
    <n v="3956"/>
    <x v="444"/>
    <m/>
    <m/>
    <x v="1"/>
    <d v="2004-09-17T00:00:00"/>
    <x v="5"/>
    <m/>
    <d v="2004-12-27T00:00:00"/>
    <x v="5"/>
    <x v="0"/>
    <x v="0"/>
    <x v="9"/>
    <x v="0"/>
    <m/>
    <d v="2005-03-28T00:00:00"/>
    <x v="23"/>
    <m/>
    <n v="76050"/>
    <x v="0"/>
    <x v="0"/>
    <n v="726050"/>
    <m/>
    <x v="1"/>
    <n v="0"/>
    <x v="0"/>
    <x v="0"/>
    <d v="2005-03-28T00:00:00"/>
    <m/>
    <x v="0"/>
    <d v="2005-09-08T00:00:00"/>
    <x v="0"/>
    <m/>
    <x v="0"/>
    <x v="4"/>
    <s v="E"/>
    <x v="15"/>
    <x v="0"/>
    <x v="52"/>
    <s v="Manoel de Oliveira"/>
    <x v="225"/>
    <x v="15"/>
    <x v="0"/>
    <x v="0"/>
    <x v="0"/>
    <d v="2005-03-28T00:00:00"/>
    <d v="1899-12-30T00:00:00"/>
  </r>
  <r>
    <n v="771"/>
    <x v="0"/>
    <x v="52"/>
    <x v="643"/>
    <n v="3907"/>
    <x v="445"/>
    <m/>
    <s v="O Comprador de Pombas"/>
    <x v="1"/>
    <d v="2002-08-30T00:00:00"/>
    <x v="14"/>
    <m/>
    <d v="2003-04-11T00:00:00"/>
    <x v="14"/>
    <x v="0"/>
    <x v="0"/>
    <x v="11"/>
    <x v="0"/>
    <d v="2003-05-09T00:00:00"/>
    <d v="2004-01-09T00:00:00"/>
    <x v="216"/>
    <m/>
    <m/>
    <x v="0"/>
    <x v="0"/>
    <n v="449000"/>
    <m/>
    <x v="1"/>
    <n v="0"/>
    <x v="0"/>
    <x v="0"/>
    <d v="2004-01-05T00:00:00"/>
    <m/>
    <x v="0"/>
    <d v="2005-04-27T00:00:00"/>
    <x v="0"/>
    <m/>
    <x v="0"/>
    <x v="2"/>
    <s v="L"/>
    <x v="15"/>
    <x v="0"/>
    <x v="319"/>
    <s v="Rosa Coutinho Cabral"/>
    <x v="226"/>
    <x v="15"/>
    <x v="0"/>
    <x v="0"/>
    <x v="0"/>
    <d v="2004-01-05T00:00:00"/>
    <d v="1899-12-30T00:00:00"/>
  </r>
  <r>
    <n v="772"/>
    <x v="0"/>
    <x v="127"/>
    <x v="644"/>
    <n v="3830"/>
    <x v="446"/>
    <m/>
    <s v="Manu"/>
    <x v="0"/>
    <d v="2000-05-12T00:00:00"/>
    <x v="15"/>
    <m/>
    <d v="2000-09-18T00:00:00"/>
    <x v="15"/>
    <x v="0"/>
    <x v="0"/>
    <x v="11"/>
    <x v="0"/>
    <m/>
    <m/>
    <x v="217"/>
    <m/>
    <m/>
    <x v="0"/>
    <x v="0"/>
    <n v="448918.11"/>
    <m/>
    <x v="1"/>
    <n v="0"/>
    <x v="0"/>
    <x v="0"/>
    <d v="2001-09-03T00:00:00"/>
    <m/>
    <x v="0"/>
    <d v="2005-11-28T00:00:00"/>
    <x v="0"/>
    <m/>
    <x v="0"/>
    <x v="2"/>
    <s v="M"/>
    <x v="15"/>
    <x v="0"/>
    <x v="38"/>
    <s v="George Felner"/>
    <x v="21"/>
    <x v="15"/>
    <x v="0"/>
    <x v="0"/>
    <x v="0"/>
    <d v="2001-09-03T00:00:00"/>
    <d v="1899-12-30T00:00:00"/>
  </r>
  <r>
    <n v="773"/>
    <x v="0"/>
    <x v="41"/>
    <x v="645"/>
    <n v="12017"/>
    <x v="447"/>
    <m/>
    <m/>
    <x v="1"/>
    <d v="2002-08-23T00:00:00"/>
    <x v="14"/>
    <m/>
    <d v="2003-03-31T00:00:00"/>
    <x v="14"/>
    <x v="0"/>
    <x v="0"/>
    <x v="10"/>
    <x v="0"/>
    <m/>
    <d v="2003-05-15T00:00:00"/>
    <x v="99"/>
    <m/>
    <m/>
    <x v="0"/>
    <x v="0"/>
    <n v="150000"/>
    <m/>
    <x v="1"/>
    <n v="0"/>
    <x v="0"/>
    <x v="0"/>
    <m/>
    <m/>
    <x v="0"/>
    <d v="2005-04-12T00:00:00"/>
    <x v="0"/>
    <m/>
    <x v="0"/>
    <x v="13"/>
    <s v="O"/>
    <x v="15"/>
    <x v="0"/>
    <x v="320"/>
    <s v="Ramón Barea"/>
    <x v="0"/>
    <x v="17"/>
    <x v="0"/>
    <x v="0"/>
    <x v="0"/>
    <d v="1899-12-30T00:00:00"/>
    <d v="1899-12-30T00:00:00"/>
  </r>
  <r>
    <n v="774"/>
    <x v="0"/>
    <x v="156"/>
    <x v="646"/>
    <n v="12018"/>
    <x v="448"/>
    <m/>
    <m/>
    <x v="1"/>
    <d v="2002-09-27T00:00:00"/>
    <x v="14"/>
    <m/>
    <d v="2003-03-31T00:00:00"/>
    <x v="14"/>
    <x v="0"/>
    <x v="0"/>
    <x v="8"/>
    <x v="0"/>
    <m/>
    <d v="2003-05-08T00:00:00"/>
    <x v="216"/>
    <m/>
    <m/>
    <x v="5"/>
    <x v="0"/>
    <n v="478879.79"/>
    <m/>
    <x v="1"/>
    <n v="0"/>
    <x v="0"/>
    <x v="0"/>
    <d v="2002-10-21T00:00:00"/>
    <m/>
    <x v="0"/>
    <d v="2005-02-21T00:00:00"/>
    <x v="0"/>
    <m/>
    <x v="0"/>
    <x v="2"/>
    <s v="C"/>
    <x v="15"/>
    <x v="0"/>
    <x v="321"/>
    <s v="Orlando Fortunato"/>
    <x v="46"/>
    <x v="18"/>
    <x v="0"/>
    <x v="0"/>
    <x v="0"/>
    <d v="2002-10-21T00:00:00"/>
    <d v="1899-12-30T00:00:00"/>
  </r>
  <r>
    <n v="775"/>
    <x v="0"/>
    <x v="118"/>
    <x v="647"/>
    <n v="3851"/>
    <x v="449"/>
    <m/>
    <m/>
    <x v="1"/>
    <d v="2004-09-17T00:00:00"/>
    <x v="5"/>
    <m/>
    <d v="2004-12-27T00:00:00"/>
    <x v="5"/>
    <x v="0"/>
    <x v="0"/>
    <x v="9"/>
    <x v="0"/>
    <m/>
    <d v="2004-12-28T00:00:00"/>
    <x v="23"/>
    <m/>
    <n v="76050"/>
    <x v="0"/>
    <x v="0"/>
    <n v="726050"/>
    <m/>
    <x v="1"/>
    <n v="0"/>
    <x v="0"/>
    <x v="0"/>
    <m/>
    <m/>
    <x v="0"/>
    <d v="2005-08-18T00:00:00"/>
    <x v="12"/>
    <m/>
    <x v="0"/>
    <x v="8"/>
    <s v="O"/>
    <x v="15"/>
    <x v="0"/>
    <x v="35"/>
    <s v="João Botelho"/>
    <x v="49"/>
    <x v="15"/>
    <x v="0"/>
    <x v="0"/>
    <x v="0"/>
    <d v="1899-12-30T00:00:00"/>
    <d v="1899-12-30T00:00:00"/>
  </r>
  <r>
    <n v="776"/>
    <x v="0"/>
    <x v="137"/>
    <x v="648"/>
    <n v="12019"/>
    <x v="450"/>
    <m/>
    <m/>
    <x v="1"/>
    <d v="2002-08-23T00:00:00"/>
    <x v="14"/>
    <m/>
    <d v="2003-03-31T00:00:00"/>
    <x v="14"/>
    <x v="0"/>
    <x v="0"/>
    <x v="10"/>
    <x v="0"/>
    <m/>
    <m/>
    <x v="174"/>
    <m/>
    <m/>
    <x v="0"/>
    <x v="0"/>
    <n v="0"/>
    <m/>
    <x v="1"/>
    <n v="0"/>
    <x v="0"/>
    <x v="0"/>
    <m/>
    <m/>
    <x v="0"/>
    <d v="2005-07-11T00:00:00"/>
    <x v="0"/>
    <m/>
    <x v="0"/>
    <x v="2"/>
    <s v="O"/>
    <x v="15"/>
    <x v="0"/>
    <x v="322"/>
    <s v="Markus Heltschl"/>
    <x v="227"/>
    <x v="13"/>
    <x v="0"/>
    <x v="0"/>
    <x v="0"/>
    <d v="1899-12-30T00:00:00"/>
    <d v="1899-12-30T00:00:00"/>
  </r>
  <r>
    <n v="777"/>
    <x v="0"/>
    <x v="29"/>
    <x v="649"/>
    <n v="3877"/>
    <x v="451"/>
    <m/>
    <m/>
    <x v="2"/>
    <d v="2001-09-28T00:00:00"/>
    <x v="16"/>
    <m/>
    <d v="2002-04-02T00:00:00"/>
    <x v="17"/>
    <x v="0"/>
    <x v="0"/>
    <x v="0"/>
    <x v="0"/>
    <m/>
    <m/>
    <x v="180"/>
    <m/>
    <m/>
    <x v="6"/>
    <x v="0"/>
    <n v="718268.98"/>
    <m/>
    <x v="1"/>
    <n v="0"/>
    <x v="0"/>
    <x v="0"/>
    <d v="2003-05-26T00:00:00"/>
    <m/>
    <x v="1"/>
    <d v="2005-03-17T00:00:00"/>
    <x v="0"/>
    <m/>
    <x v="0"/>
    <x v="11"/>
    <s v="O"/>
    <x v="15"/>
    <x v="0"/>
    <x v="13"/>
    <s v="João Pedro Rodrigues"/>
    <x v="82"/>
    <x v="15"/>
    <x v="0"/>
    <x v="0"/>
    <x v="0"/>
    <d v="2003-05-26T00:00:00"/>
    <d v="1899-12-30T00:00:00"/>
  </r>
  <r>
    <n v="778"/>
    <x v="0"/>
    <x v="9"/>
    <x v="650"/>
    <n v="3991"/>
    <x v="452"/>
    <m/>
    <m/>
    <x v="0"/>
    <d v="2002-03-11T00:00:00"/>
    <x v="14"/>
    <m/>
    <d v="2002-10-10T00:00:00"/>
    <x v="17"/>
    <x v="0"/>
    <x v="0"/>
    <x v="0"/>
    <x v="0"/>
    <d v="2003-05-08T00:00:00"/>
    <d v="2004-07-20T00:00:00"/>
    <x v="209"/>
    <m/>
    <m/>
    <x v="7"/>
    <x v="0"/>
    <n v="698500"/>
    <m/>
    <x v="1"/>
    <n v="0"/>
    <x v="0"/>
    <x v="0"/>
    <d v="2004-09-13T00:00:00"/>
    <m/>
    <x v="1"/>
    <d v="2005-08-22T00:00:00"/>
    <x v="0"/>
    <m/>
    <x v="0"/>
    <x v="3"/>
    <s v="P"/>
    <x v="15"/>
    <x v="0"/>
    <x v="323"/>
    <s v="Fernando Vendrell"/>
    <x v="21"/>
    <x v="9"/>
    <x v="0"/>
    <x v="0"/>
    <x v="0"/>
    <d v="2004-09-13T00:00:00"/>
    <d v="1899-12-30T00:00:00"/>
  </r>
  <r>
    <n v="779"/>
    <x v="0"/>
    <x v="43"/>
    <x v="651"/>
    <n v="545"/>
    <x v="453"/>
    <m/>
    <s v="Amargosa"/>
    <x v="1"/>
    <d v="2002-03-22T00:00:00"/>
    <x v="14"/>
    <m/>
    <d v="2002-04-22T00:00:00"/>
    <x v="17"/>
    <x v="0"/>
    <x v="0"/>
    <x v="14"/>
    <x v="0"/>
    <m/>
    <d v="2003-05-31T00:00:00"/>
    <x v="218"/>
    <m/>
    <m/>
    <x v="0"/>
    <x v="0"/>
    <n v="356972.22"/>
    <m/>
    <x v="1"/>
    <n v="0"/>
    <x v="0"/>
    <x v="0"/>
    <m/>
    <m/>
    <x v="0"/>
    <d v="2005-02-01T00:00:00"/>
    <x v="0"/>
    <m/>
    <x v="0"/>
    <x v="15"/>
    <s v="S"/>
    <x v="15"/>
    <x v="0"/>
    <x v="100"/>
    <s v="Fernando Fragata"/>
    <x v="26"/>
    <x v="16"/>
    <x v="0"/>
    <x v="0"/>
    <x v="0"/>
    <d v="1899-12-30T00:00:00"/>
    <d v="1899-12-30T00:00:00"/>
  </r>
  <r>
    <n v="780"/>
    <x v="0"/>
    <x v="128"/>
    <x v="652"/>
    <n v="3748"/>
    <x v="454"/>
    <m/>
    <s v="Um Rio Chamado Tempo, Uma Casa Chamada Terra"/>
    <x v="1"/>
    <d v="2003-08-22T00:00:00"/>
    <x v="9"/>
    <m/>
    <d v="2004-03-05T00:00:00"/>
    <x v="5"/>
    <x v="0"/>
    <x v="0"/>
    <x v="8"/>
    <x v="0"/>
    <d v="2004-03-16T00:00:00"/>
    <d v="2004-05-26T00:00:00"/>
    <x v="21"/>
    <m/>
    <m/>
    <x v="7"/>
    <x v="0"/>
    <n v="500000"/>
    <m/>
    <x v="1"/>
    <n v="0"/>
    <x v="0"/>
    <x v="0"/>
    <m/>
    <m/>
    <x v="7"/>
    <d v="2005-10-19T00:00:00"/>
    <x v="0"/>
    <m/>
    <x v="0"/>
    <x v="6"/>
    <s v="U"/>
    <x v="15"/>
    <x v="0"/>
    <x v="179"/>
    <s v="José Carlos de Oliveira"/>
    <x v="228"/>
    <x v="15"/>
    <x v="0"/>
    <x v="0"/>
    <x v="0"/>
    <d v="1899-12-30T00:00:00"/>
    <d v="1899-12-30T00:00:00"/>
  </r>
  <r>
    <n v="781"/>
    <x v="0"/>
    <x v="19"/>
    <x v="653"/>
    <n v="665"/>
    <x v="455"/>
    <m/>
    <s v="Tiro no Escuro"/>
    <x v="0"/>
    <d v="2002-07-05T00:00:00"/>
    <x v="14"/>
    <m/>
    <d v="2002-11-04T00:00:00"/>
    <x v="17"/>
    <x v="0"/>
    <x v="0"/>
    <x v="9"/>
    <x v="0"/>
    <m/>
    <d v="2003-01-28T00:00:00"/>
    <x v="209"/>
    <m/>
    <m/>
    <x v="0"/>
    <x v="0"/>
    <n v="648500"/>
    <m/>
    <x v="1"/>
    <n v="0"/>
    <x v="0"/>
    <x v="0"/>
    <d v="2003-02-01T00:00:00"/>
    <m/>
    <x v="0"/>
    <d v="2005-03-22T00:00:00"/>
    <x v="0"/>
    <m/>
    <x v="0"/>
    <x v="8"/>
    <s v="U"/>
    <x v="15"/>
    <x v="0"/>
    <x v="66"/>
    <s v="Leonel Vieira"/>
    <x v="29"/>
    <x v="15"/>
    <x v="0"/>
    <x v="0"/>
    <x v="0"/>
    <d v="2003-02-01T00:00:00"/>
    <d v="1899-12-30T00:00:00"/>
  </r>
  <r>
    <n v="782"/>
    <x v="0"/>
    <x v="34"/>
    <x v="654"/>
    <n v="12065"/>
    <x v="456"/>
    <m/>
    <m/>
    <x v="0"/>
    <d v="2003-10-31T00:00:00"/>
    <x v="9"/>
    <m/>
    <d v="2004-08-13T00:00:00"/>
    <x v="5"/>
    <x v="0"/>
    <x v="0"/>
    <x v="3"/>
    <x v="0"/>
    <d v="2004-09-17T00:00:00"/>
    <d v="2004-09-27T00:00:00"/>
    <x v="9"/>
    <m/>
    <n v="6750"/>
    <x v="0"/>
    <x v="0"/>
    <n v="51750"/>
    <m/>
    <x v="1"/>
    <n v="0"/>
    <x v="0"/>
    <x v="0"/>
    <d v="2004-09-27T00:00:00"/>
    <m/>
    <x v="0"/>
    <d v="2005-05-25T00:00:00"/>
    <x v="0"/>
    <m/>
    <x v="2"/>
    <x v="0"/>
    <s v="A"/>
    <x v="15"/>
    <x v="0"/>
    <x v="267"/>
    <s v="António Duarte"/>
    <x v="229"/>
    <x v="15"/>
    <x v="0"/>
    <x v="1"/>
    <x v="0"/>
    <d v="2004-09-27T00:00:00"/>
    <d v="1899-12-30T00:00:00"/>
  </r>
  <r>
    <n v="783"/>
    <x v="0"/>
    <x v="23"/>
    <x v="655"/>
    <n v="4020"/>
    <x v="457"/>
    <m/>
    <m/>
    <x v="0"/>
    <d v="2003-10-31T00:00:00"/>
    <x v="9"/>
    <m/>
    <d v="2004-08-13T00:00:00"/>
    <x v="5"/>
    <x v="0"/>
    <x v="0"/>
    <x v="3"/>
    <x v="0"/>
    <d v="2004-12-24T00:00:00"/>
    <d v="2005-02-23T00:00:00"/>
    <x v="9"/>
    <m/>
    <n v="6750"/>
    <x v="0"/>
    <x v="0"/>
    <n v="51750"/>
    <m/>
    <x v="1"/>
    <n v="0"/>
    <x v="0"/>
    <x v="0"/>
    <d v="2005-02-10T00:00:00"/>
    <m/>
    <x v="0"/>
    <d v="2005-12-20T00:00:00"/>
    <x v="0"/>
    <m/>
    <x v="2"/>
    <x v="9"/>
    <s v="A"/>
    <x v="15"/>
    <x v="0"/>
    <x v="172"/>
    <s v="Alberto Seixas Santos"/>
    <x v="139"/>
    <x v="15"/>
    <x v="0"/>
    <x v="1"/>
    <x v="0"/>
    <d v="2005-02-10T00:00:00"/>
    <d v="1899-12-30T00:00:00"/>
  </r>
  <r>
    <n v="784"/>
    <x v="0"/>
    <x v="156"/>
    <x v="656"/>
    <n v="12066"/>
    <x v="458"/>
    <m/>
    <m/>
    <x v="0"/>
    <d v="2003-10-31T00:00:00"/>
    <x v="9"/>
    <m/>
    <d v="2004-08-13T00:00:00"/>
    <x v="5"/>
    <x v="0"/>
    <x v="0"/>
    <x v="3"/>
    <x v="0"/>
    <d v="2004-09-13T00:00:00"/>
    <d v="2004-10-14T00:00:00"/>
    <x v="9"/>
    <m/>
    <n v="6750"/>
    <x v="0"/>
    <x v="0"/>
    <n v="51750"/>
    <m/>
    <x v="1"/>
    <n v="0"/>
    <x v="0"/>
    <x v="0"/>
    <d v="2004-10-23T00:00:00"/>
    <m/>
    <x v="1"/>
    <d v="2005-04-29T00:00:00"/>
    <x v="0"/>
    <m/>
    <x v="2"/>
    <x v="2"/>
    <s v="A"/>
    <x v="15"/>
    <x v="0"/>
    <x v="133"/>
    <s v="Marta Pessoa"/>
    <x v="109"/>
    <x v="15"/>
    <x v="0"/>
    <x v="1"/>
    <x v="0"/>
    <d v="2004-10-23T00:00:00"/>
    <d v="1899-12-30T00:00:00"/>
  </r>
  <r>
    <n v="785"/>
    <x v="0"/>
    <x v="139"/>
    <x v="657"/>
    <n v="12067"/>
    <x v="459"/>
    <m/>
    <m/>
    <x v="1"/>
    <d v="2002-09-27T00:00:00"/>
    <x v="14"/>
    <m/>
    <d v="2003-08-01T00:00:00"/>
    <x v="14"/>
    <x v="0"/>
    <x v="0"/>
    <x v="3"/>
    <x v="0"/>
    <d v="2003-09-11T00:00:00"/>
    <d v="2004-04-05T00:00:00"/>
    <x v="9"/>
    <m/>
    <m/>
    <x v="0"/>
    <x v="0"/>
    <n v="45000"/>
    <m/>
    <x v="1"/>
    <n v="0"/>
    <x v="0"/>
    <x v="0"/>
    <d v="2004-10-10T00:00:00"/>
    <m/>
    <x v="0"/>
    <d v="2005-11-04T00:00:00"/>
    <x v="0"/>
    <m/>
    <x v="2"/>
    <x v="7"/>
    <s v="C"/>
    <x v="15"/>
    <x v="0"/>
    <x v="324"/>
    <s v="Carmen Castello-Branco"/>
    <x v="128"/>
    <x v="15"/>
    <x v="0"/>
    <x v="1"/>
    <x v="0"/>
    <d v="2004-10-10T00:00:00"/>
    <d v="1899-12-30T00:00:00"/>
  </r>
  <r>
    <n v="786"/>
    <x v="0"/>
    <x v="165"/>
    <x v="658"/>
    <n v="12068"/>
    <x v="460"/>
    <m/>
    <m/>
    <x v="3"/>
    <m/>
    <x v="8"/>
    <m/>
    <m/>
    <x v="8"/>
    <x v="0"/>
    <x v="0"/>
    <x v="3"/>
    <x v="0"/>
    <m/>
    <m/>
    <x v="174"/>
    <m/>
    <m/>
    <x v="0"/>
    <x v="0"/>
    <n v="0"/>
    <m/>
    <x v="1"/>
    <n v="0"/>
    <x v="0"/>
    <x v="0"/>
    <m/>
    <m/>
    <x v="0"/>
    <d v="2005-08-02T00:00:00"/>
    <x v="0"/>
    <m/>
    <x v="2"/>
    <x v="7"/>
    <s v="C"/>
    <x v="15"/>
    <x v="0"/>
    <x v="325"/>
    <s v="Gonçalo C. Luz"/>
    <x v="230"/>
    <x v="17"/>
    <x v="0"/>
    <x v="1"/>
    <x v="0"/>
    <d v="1899-12-30T00:00:00"/>
    <d v="1899-12-30T00:00:00"/>
  </r>
  <r>
    <n v="787"/>
    <x v="0"/>
    <x v="130"/>
    <x v="659"/>
    <n v="12069"/>
    <x v="461"/>
    <m/>
    <m/>
    <x v="3"/>
    <m/>
    <x v="8"/>
    <m/>
    <m/>
    <x v="8"/>
    <x v="0"/>
    <x v="0"/>
    <x v="3"/>
    <x v="0"/>
    <m/>
    <m/>
    <x v="174"/>
    <m/>
    <m/>
    <x v="0"/>
    <x v="0"/>
    <n v="0"/>
    <m/>
    <x v="1"/>
    <n v="0"/>
    <x v="0"/>
    <x v="0"/>
    <m/>
    <m/>
    <x v="0"/>
    <d v="2005-09-22T00:00:00"/>
    <x v="0"/>
    <m/>
    <x v="2"/>
    <x v="4"/>
    <s v="E"/>
    <x v="15"/>
    <x v="0"/>
    <x v="106"/>
    <s v="Vicente Alves do Ó"/>
    <x v="85"/>
    <x v="15"/>
    <x v="0"/>
    <x v="1"/>
    <x v="0"/>
    <d v="1899-12-30T00:00:00"/>
    <d v="1899-12-30T00:00:00"/>
  </r>
  <r>
    <n v="788"/>
    <x v="0"/>
    <x v="10"/>
    <x v="660"/>
    <n v="12070"/>
    <x v="462"/>
    <m/>
    <m/>
    <x v="0"/>
    <d v="2003-10-31T00:00:00"/>
    <x v="9"/>
    <m/>
    <d v="2004-08-13T00:00:00"/>
    <x v="5"/>
    <x v="0"/>
    <x v="0"/>
    <x v="3"/>
    <x v="0"/>
    <d v="2004-09-17T00:00:00"/>
    <d v="2005-02-15T00:00:00"/>
    <x v="9"/>
    <m/>
    <n v="6750"/>
    <x v="0"/>
    <x v="0"/>
    <n v="51750"/>
    <m/>
    <x v="1"/>
    <n v="0"/>
    <x v="0"/>
    <x v="0"/>
    <d v="2005-02-25T00:00:00"/>
    <m/>
    <x v="0"/>
    <d v="2005-06-16T00:00:00"/>
    <x v="0"/>
    <m/>
    <x v="2"/>
    <x v="4"/>
    <s v="G"/>
    <x v="15"/>
    <x v="0"/>
    <x v="28"/>
    <s v="Luís Galvão Teles"/>
    <x v="109"/>
    <x v="15"/>
    <x v="0"/>
    <x v="1"/>
    <x v="0"/>
    <d v="2005-02-25T00:00:00"/>
    <d v="1899-12-30T00:00:00"/>
  </r>
  <r>
    <n v="789"/>
    <x v="0"/>
    <x v="47"/>
    <x v="661"/>
    <n v="12071"/>
    <x v="463"/>
    <m/>
    <m/>
    <x v="1"/>
    <d v="2002-09-27T00:00:00"/>
    <x v="14"/>
    <m/>
    <d v="2003-08-01T00:00:00"/>
    <x v="14"/>
    <x v="0"/>
    <x v="0"/>
    <x v="3"/>
    <x v="0"/>
    <d v="2003-10-31T00:00:00"/>
    <d v="2003-11-28T00:00:00"/>
    <x v="9"/>
    <m/>
    <m/>
    <x v="0"/>
    <x v="0"/>
    <n v="45000"/>
    <m/>
    <x v="1"/>
    <n v="0"/>
    <x v="0"/>
    <x v="0"/>
    <d v="2003-12-16T00:00:00"/>
    <m/>
    <x v="0"/>
    <d v="2005-03-29T00:00:00"/>
    <x v="0"/>
    <m/>
    <x v="2"/>
    <x v="0"/>
    <s v="N"/>
    <x v="15"/>
    <x v="0"/>
    <x v="201"/>
    <s v="Jorge Cramez"/>
    <x v="136"/>
    <x v="15"/>
    <x v="0"/>
    <x v="1"/>
    <x v="0"/>
    <d v="2003-12-16T00:00:00"/>
    <d v="1899-12-30T00:00:00"/>
  </r>
  <r>
    <n v="790"/>
    <x v="0"/>
    <x v="159"/>
    <x v="662"/>
    <n v="12072"/>
    <x v="464"/>
    <m/>
    <m/>
    <x v="1"/>
    <d v="2001-10-19T00:00:00"/>
    <x v="16"/>
    <m/>
    <d v="2002-04-03T00:00:00"/>
    <x v="17"/>
    <x v="0"/>
    <x v="0"/>
    <x v="3"/>
    <x v="0"/>
    <m/>
    <m/>
    <x v="204"/>
    <m/>
    <m/>
    <x v="0"/>
    <x v="0"/>
    <n v="44891.81"/>
    <m/>
    <x v="1"/>
    <n v="0"/>
    <x v="0"/>
    <x v="0"/>
    <d v="2002-09-07T00:00:00"/>
    <m/>
    <x v="0"/>
    <d v="2005-04-22T00:00:00"/>
    <x v="0"/>
    <m/>
    <x v="2"/>
    <x v="0"/>
    <s v="O"/>
    <x v="15"/>
    <x v="0"/>
    <x v="326"/>
    <s v="João Costa Menezes"/>
    <x v="85"/>
    <x v="16"/>
    <x v="0"/>
    <x v="1"/>
    <x v="0"/>
    <d v="2002-09-07T00:00:00"/>
    <d v="1899-12-30T00:00:00"/>
  </r>
  <r>
    <n v="791"/>
    <x v="0"/>
    <x v="44"/>
    <x v="663"/>
    <n v="12073"/>
    <x v="465"/>
    <m/>
    <m/>
    <x v="1"/>
    <d v="2002-09-27T00:00:00"/>
    <x v="14"/>
    <m/>
    <d v="2003-08-01T00:00:00"/>
    <x v="14"/>
    <x v="0"/>
    <x v="0"/>
    <x v="3"/>
    <x v="0"/>
    <d v="2003-10-13T00:00:00"/>
    <d v="2004-07-06T00:00:00"/>
    <x v="9"/>
    <m/>
    <m/>
    <x v="0"/>
    <x v="0"/>
    <n v="45000"/>
    <m/>
    <x v="1"/>
    <n v="0"/>
    <x v="0"/>
    <x v="0"/>
    <d v="2004-09-15T00:00:00"/>
    <m/>
    <x v="0"/>
    <d v="2005-10-13T00:00:00"/>
    <x v="0"/>
    <m/>
    <x v="2"/>
    <x v="16"/>
    <s v="O"/>
    <x v="15"/>
    <x v="0"/>
    <x v="327"/>
    <s v="Luís Campos Brás"/>
    <x v="88"/>
    <x v="9"/>
    <x v="0"/>
    <x v="1"/>
    <x v="0"/>
    <d v="2004-09-15T00:00:00"/>
    <d v="1899-12-30T00:00:00"/>
  </r>
  <r>
    <n v="792"/>
    <x v="0"/>
    <x v="130"/>
    <x v="664"/>
    <n v="12074"/>
    <x v="466"/>
    <m/>
    <m/>
    <x v="1"/>
    <d v="2002-09-27T00:00:00"/>
    <x v="14"/>
    <m/>
    <d v="2003-08-01T00:00:00"/>
    <x v="14"/>
    <x v="0"/>
    <x v="0"/>
    <x v="3"/>
    <x v="0"/>
    <d v="2003-10-13T00:00:00"/>
    <d v="2005-03-29T00:00:00"/>
    <x v="9"/>
    <m/>
    <m/>
    <x v="0"/>
    <x v="0"/>
    <n v="45000"/>
    <m/>
    <x v="1"/>
    <n v="0"/>
    <x v="0"/>
    <x v="0"/>
    <d v="2005-05-02T00:00:00"/>
    <m/>
    <x v="0"/>
    <d v="2005-11-29T00:00:00"/>
    <x v="0"/>
    <m/>
    <x v="2"/>
    <x v="4"/>
    <s v="P"/>
    <x v="15"/>
    <x v="0"/>
    <x v="150"/>
    <s v="Margarida Leitão"/>
    <x v="109"/>
    <x v="9"/>
    <x v="0"/>
    <x v="1"/>
    <x v="0"/>
    <d v="2005-05-02T00:00:00"/>
    <d v="1899-12-30T00:00:00"/>
  </r>
  <r>
    <n v="793"/>
    <x v="0"/>
    <x v="156"/>
    <x v="665"/>
    <n v="12075"/>
    <x v="467"/>
    <m/>
    <m/>
    <x v="0"/>
    <d v="2003-10-31T00:00:00"/>
    <x v="9"/>
    <m/>
    <d v="2004-08-13T00:00:00"/>
    <x v="5"/>
    <x v="0"/>
    <x v="0"/>
    <x v="3"/>
    <x v="0"/>
    <m/>
    <d v="2004-09-13T00:00:00"/>
    <x v="9"/>
    <m/>
    <n v="6750"/>
    <x v="0"/>
    <x v="0"/>
    <n v="51750"/>
    <m/>
    <x v="1"/>
    <n v="0"/>
    <x v="0"/>
    <x v="0"/>
    <d v="2004-09-21T00:00:00"/>
    <m/>
    <x v="0"/>
    <d v="2005-02-21T00:00:00"/>
    <x v="0"/>
    <m/>
    <x v="2"/>
    <x v="2"/>
    <s v="R"/>
    <x v="15"/>
    <x v="0"/>
    <x v="102"/>
    <s v="Rita Palma"/>
    <x v="231"/>
    <x v="15"/>
    <x v="0"/>
    <x v="1"/>
    <x v="0"/>
    <d v="2004-09-21T00:00:00"/>
    <d v="1899-12-30T00:00:00"/>
  </r>
  <r>
    <n v="794"/>
    <x v="0"/>
    <x v="139"/>
    <x v="666"/>
    <n v="12076"/>
    <x v="468"/>
    <m/>
    <s v="Bolor"/>
    <x v="2"/>
    <d v="2004-01-02T00:00:00"/>
    <x v="5"/>
    <m/>
    <d v="2004-10-01T00:00:00"/>
    <x v="5"/>
    <x v="0"/>
    <x v="0"/>
    <x v="3"/>
    <x v="0"/>
    <d v="2004-10-28T00:00:00"/>
    <d v="2005-02-01T00:00:00"/>
    <x v="9"/>
    <m/>
    <n v="6750"/>
    <x v="0"/>
    <x v="0"/>
    <n v="51750"/>
    <m/>
    <x v="1"/>
    <n v="0"/>
    <x v="0"/>
    <x v="0"/>
    <d v="2005-02-07T00:00:00"/>
    <m/>
    <x v="0"/>
    <d v="2005-05-12T00:00:00"/>
    <x v="0"/>
    <m/>
    <x v="2"/>
    <x v="7"/>
    <s v="S"/>
    <x v="15"/>
    <x v="0"/>
    <x v="16"/>
    <s v="Leonor Noivo"/>
    <x v="76"/>
    <x v="15"/>
    <x v="0"/>
    <x v="1"/>
    <x v="0"/>
    <d v="2005-02-07T00:00:00"/>
    <d v="1899-12-30T00:00:00"/>
  </r>
  <r>
    <n v="795"/>
    <x v="0"/>
    <x v="10"/>
    <x v="667"/>
    <n v="12077"/>
    <x v="469"/>
    <m/>
    <m/>
    <x v="1"/>
    <d v="2002-09-27T00:00:00"/>
    <x v="14"/>
    <m/>
    <d v="2003-08-01T00:00:00"/>
    <x v="14"/>
    <x v="0"/>
    <x v="0"/>
    <x v="3"/>
    <x v="0"/>
    <d v="2003-09-11T00:00:00"/>
    <d v="2004-07-06T00:00:00"/>
    <x v="9"/>
    <m/>
    <m/>
    <x v="0"/>
    <x v="0"/>
    <n v="45000"/>
    <m/>
    <x v="1"/>
    <n v="0"/>
    <x v="0"/>
    <x v="0"/>
    <d v="2004-09-25T00:00:00"/>
    <m/>
    <x v="0"/>
    <d v="2005-06-14T00:00:00"/>
    <x v="0"/>
    <m/>
    <x v="2"/>
    <x v="4"/>
    <s v="T"/>
    <x v="15"/>
    <x v="0"/>
    <x v="178"/>
    <s v="João Ribeiro"/>
    <x v="109"/>
    <x v="15"/>
    <x v="0"/>
    <x v="1"/>
    <x v="0"/>
    <d v="2004-09-25T00:00:00"/>
    <d v="1899-12-30T00:00:00"/>
  </r>
  <r>
    <n v="796"/>
    <x v="0"/>
    <x v="157"/>
    <x v="668"/>
    <n v="12078"/>
    <x v="470"/>
    <m/>
    <s v="Uma Noite na Cidade"/>
    <x v="1"/>
    <d v="2001-10-19T00:00:00"/>
    <x v="16"/>
    <m/>
    <d v="2002-04-03T00:00:00"/>
    <x v="17"/>
    <x v="0"/>
    <x v="0"/>
    <x v="3"/>
    <x v="0"/>
    <m/>
    <m/>
    <x v="204"/>
    <m/>
    <m/>
    <x v="0"/>
    <x v="0"/>
    <n v="44891.81"/>
    <m/>
    <x v="1"/>
    <n v="0"/>
    <x v="0"/>
    <x v="0"/>
    <d v="2005-03-03T00:00:00"/>
    <m/>
    <x v="0"/>
    <d v="2005-07-19T00:00:00"/>
    <x v="0"/>
    <m/>
    <x v="2"/>
    <x v="8"/>
    <s v="U"/>
    <x v="15"/>
    <x v="0"/>
    <x v="284"/>
    <s v="Vitor Candeias"/>
    <x v="136"/>
    <x v="15"/>
    <x v="0"/>
    <x v="1"/>
    <x v="0"/>
    <d v="2005-03-03T00:00:00"/>
    <d v="1899-12-30T00:00:00"/>
  </r>
  <r>
    <n v="797"/>
    <x v="0"/>
    <x v="166"/>
    <x v="669"/>
    <n v="12079"/>
    <x v="471"/>
    <m/>
    <m/>
    <x v="1"/>
    <d v="2001-10-26T00:00:00"/>
    <x v="16"/>
    <m/>
    <d v="2002-04-03T00:00:00"/>
    <x v="17"/>
    <x v="0"/>
    <x v="0"/>
    <x v="4"/>
    <x v="0"/>
    <m/>
    <m/>
    <x v="219"/>
    <m/>
    <m/>
    <x v="0"/>
    <x v="0"/>
    <n v="19951.919999999998"/>
    <m/>
    <x v="1"/>
    <n v="0"/>
    <x v="0"/>
    <x v="0"/>
    <m/>
    <m/>
    <x v="0"/>
    <d v="2005-04-22T00:00:00"/>
    <x v="0"/>
    <m/>
    <x v="3"/>
    <x v="18"/>
    <s v="Á"/>
    <x v="15"/>
    <x v="0"/>
    <x v="328"/>
    <s v="Nuno Ramos de Almeida"/>
    <x v="63"/>
    <x v="15"/>
    <x v="2"/>
    <x v="0"/>
    <x v="0"/>
    <d v="1899-12-30T00:00:00"/>
    <d v="1899-12-30T00:00:00"/>
  </r>
  <r>
    <n v="798"/>
    <x v="0"/>
    <x v="9"/>
    <x v="670"/>
    <n v="12080"/>
    <x v="472"/>
    <m/>
    <s v="Fajã de Santo Cristo"/>
    <x v="1"/>
    <d v="2002-12-27T00:00:00"/>
    <x v="14"/>
    <m/>
    <d v="2003-06-30T00:00:00"/>
    <x v="14"/>
    <x v="0"/>
    <x v="0"/>
    <x v="4"/>
    <x v="0"/>
    <m/>
    <d v="2003-07-29T00:00:00"/>
    <x v="80"/>
    <m/>
    <m/>
    <x v="0"/>
    <x v="0"/>
    <n v="50000"/>
    <m/>
    <x v="1"/>
    <n v="0"/>
    <x v="0"/>
    <x v="0"/>
    <d v="2003-07-28T00:00:00"/>
    <m/>
    <x v="0"/>
    <d v="2005-06-23T00:00:00"/>
    <x v="0"/>
    <m/>
    <x v="3"/>
    <x v="3"/>
    <s v="C"/>
    <x v="15"/>
    <x v="0"/>
    <x v="329"/>
    <s v="José Neves"/>
    <x v="118"/>
    <x v="15"/>
    <x v="2"/>
    <x v="0"/>
    <x v="0"/>
    <d v="2003-07-28T00:00:00"/>
    <d v="1899-12-30T00:00:00"/>
  </r>
  <r>
    <n v="799"/>
    <x v="0"/>
    <x v="166"/>
    <x v="671"/>
    <n v="12081"/>
    <x v="473"/>
    <m/>
    <m/>
    <x v="3"/>
    <m/>
    <x v="8"/>
    <m/>
    <m/>
    <x v="8"/>
    <x v="0"/>
    <x v="0"/>
    <x v="4"/>
    <x v="0"/>
    <m/>
    <m/>
    <x v="174"/>
    <m/>
    <m/>
    <x v="0"/>
    <x v="0"/>
    <n v="0"/>
    <m/>
    <x v="1"/>
    <n v="0"/>
    <x v="0"/>
    <x v="0"/>
    <m/>
    <m/>
    <x v="0"/>
    <d v="2005-01-18T00:00:00"/>
    <x v="0"/>
    <m/>
    <x v="3"/>
    <x v="18"/>
    <s v="C"/>
    <x v="15"/>
    <x v="0"/>
    <x v="330"/>
    <s v="Cristina Ferreira Gomes"/>
    <x v="91"/>
    <x v="16"/>
    <x v="2"/>
    <x v="0"/>
    <x v="0"/>
    <d v="1899-12-30T00:00:00"/>
    <d v="1899-12-30T00:00:00"/>
  </r>
  <r>
    <n v="800"/>
    <x v="0"/>
    <x v="167"/>
    <x v="672"/>
    <n v="12082"/>
    <x v="474"/>
    <m/>
    <m/>
    <x v="3"/>
    <m/>
    <x v="8"/>
    <m/>
    <m/>
    <x v="8"/>
    <x v="0"/>
    <x v="0"/>
    <x v="4"/>
    <x v="0"/>
    <m/>
    <m/>
    <x v="174"/>
    <m/>
    <m/>
    <x v="0"/>
    <x v="0"/>
    <n v="0"/>
    <m/>
    <x v="1"/>
    <n v="0"/>
    <x v="0"/>
    <x v="0"/>
    <m/>
    <m/>
    <x v="0"/>
    <d v="2005-12-29T00:00:00"/>
    <x v="0"/>
    <m/>
    <x v="3"/>
    <x v="15"/>
    <s v="D"/>
    <x v="15"/>
    <x v="0"/>
    <x v="331"/>
    <s v="Leonor Areal"/>
    <x v="135"/>
    <x v="15"/>
    <x v="2"/>
    <x v="0"/>
    <x v="0"/>
    <d v="1899-12-30T00:00:00"/>
    <d v="1899-12-30T00:00:00"/>
  </r>
  <r>
    <n v="801"/>
    <x v="0"/>
    <x v="10"/>
    <x v="673"/>
    <n v="12083"/>
    <x v="475"/>
    <m/>
    <m/>
    <x v="3"/>
    <m/>
    <x v="8"/>
    <m/>
    <m/>
    <x v="8"/>
    <x v="0"/>
    <x v="0"/>
    <x v="4"/>
    <x v="0"/>
    <m/>
    <m/>
    <x v="174"/>
    <m/>
    <m/>
    <x v="0"/>
    <x v="0"/>
    <n v="0"/>
    <m/>
    <x v="1"/>
    <n v="0"/>
    <x v="0"/>
    <x v="0"/>
    <m/>
    <m/>
    <x v="0"/>
    <d v="2005-01-13T00:00:00"/>
    <x v="0"/>
    <m/>
    <x v="3"/>
    <x v="4"/>
    <s v="E"/>
    <x v="15"/>
    <x v="0"/>
    <x v="188"/>
    <s v="Joana Pontes"/>
    <x v="208"/>
    <x v="16"/>
    <x v="2"/>
    <x v="0"/>
    <x v="0"/>
    <d v="1899-12-30T00:00:00"/>
    <d v="1899-12-30T00:00:00"/>
  </r>
  <r>
    <n v="802"/>
    <x v="0"/>
    <x v="132"/>
    <x v="674"/>
    <n v="12084"/>
    <x v="476"/>
    <m/>
    <m/>
    <x v="1"/>
    <d v="2002-12-27T00:00:00"/>
    <x v="14"/>
    <m/>
    <d v="2003-06-30T00:00:00"/>
    <x v="14"/>
    <x v="0"/>
    <x v="0"/>
    <x v="4"/>
    <x v="0"/>
    <m/>
    <d v="2003-07-29T00:00:00"/>
    <x v="3"/>
    <m/>
    <m/>
    <x v="0"/>
    <x v="0"/>
    <n v="20000"/>
    <m/>
    <x v="1"/>
    <n v="0"/>
    <x v="0"/>
    <x v="0"/>
    <d v="2003-09-04T00:00:00"/>
    <m/>
    <x v="0"/>
    <d v="2005-05-25T00:00:00"/>
    <x v="0"/>
    <m/>
    <x v="3"/>
    <x v="7"/>
    <s v="O"/>
    <x v="15"/>
    <x v="0"/>
    <x v="188"/>
    <s v="Joana Pontes"/>
    <x v="166"/>
    <x v="15"/>
    <x v="2"/>
    <x v="0"/>
    <x v="0"/>
    <d v="2003-09-04T00:00:00"/>
    <d v="1899-12-30T00:00:00"/>
  </r>
  <r>
    <n v="803"/>
    <x v="0"/>
    <x v="127"/>
    <x v="675"/>
    <n v="12085"/>
    <x v="477"/>
    <m/>
    <m/>
    <x v="3"/>
    <m/>
    <x v="8"/>
    <m/>
    <m/>
    <x v="8"/>
    <x v="0"/>
    <x v="0"/>
    <x v="4"/>
    <x v="0"/>
    <m/>
    <m/>
    <x v="174"/>
    <m/>
    <m/>
    <x v="0"/>
    <x v="0"/>
    <n v="0"/>
    <m/>
    <x v="1"/>
    <n v="0"/>
    <x v="0"/>
    <x v="0"/>
    <m/>
    <m/>
    <x v="0"/>
    <d v="2005-07-18T00:00:00"/>
    <x v="0"/>
    <m/>
    <x v="3"/>
    <x v="2"/>
    <s v="R"/>
    <x v="15"/>
    <x v="0"/>
    <x v="332"/>
    <s v="Alexandre Reina"/>
    <x v="91"/>
    <x v="15"/>
    <x v="2"/>
    <x v="0"/>
    <x v="0"/>
    <d v="1899-12-30T00:00:00"/>
    <d v="1899-12-30T00:00:00"/>
  </r>
  <r>
    <n v="804"/>
    <x v="0"/>
    <x v="168"/>
    <x v="676"/>
    <n v="12086"/>
    <x v="478"/>
    <m/>
    <m/>
    <x v="1"/>
    <d v="2003-09-19T00:00:00"/>
    <x v="9"/>
    <m/>
    <d v="2004-03-30T00:00:00"/>
    <x v="5"/>
    <x v="0"/>
    <x v="0"/>
    <x v="26"/>
    <x v="0"/>
    <m/>
    <m/>
    <x v="80"/>
    <m/>
    <m/>
    <x v="0"/>
    <x v="0"/>
    <n v="50000"/>
    <m/>
    <x v="1"/>
    <n v="0"/>
    <x v="0"/>
    <x v="0"/>
    <m/>
    <m/>
    <x v="0"/>
    <d v="2005-11-16T00:00:00"/>
    <x v="0"/>
    <m/>
    <x v="3"/>
    <x v="4"/>
    <s v="S"/>
    <x v="15"/>
    <x v="0"/>
    <x v="333"/>
    <s v="Gabriel Velázquez Martin"/>
    <x v="110"/>
    <x v="15"/>
    <x v="2"/>
    <x v="0"/>
    <x v="0"/>
    <d v="1899-12-30T00:00:00"/>
    <d v="1899-12-30T00:00:00"/>
  </r>
  <r>
    <n v="805"/>
    <x v="0"/>
    <x v="169"/>
    <x v="677"/>
    <n v="12087"/>
    <x v="479"/>
    <m/>
    <m/>
    <x v="3"/>
    <m/>
    <x v="8"/>
    <m/>
    <m/>
    <x v="8"/>
    <x v="0"/>
    <x v="0"/>
    <x v="4"/>
    <x v="0"/>
    <m/>
    <m/>
    <x v="174"/>
    <m/>
    <m/>
    <x v="0"/>
    <x v="0"/>
    <n v="0"/>
    <m/>
    <x v="1"/>
    <n v="0"/>
    <x v="0"/>
    <x v="0"/>
    <m/>
    <m/>
    <x v="0"/>
    <d v="2005-10-17T00:00:00"/>
    <x v="0"/>
    <m/>
    <x v="3"/>
    <x v="23"/>
    <s v="A"/>
    <x v="15"/>
    <x v="0"/>
    <x v="35"/>
    <s v="João Botelho"/>
    <x v="79"/>
    <x v="15"/>
    <x v="2"/>
    <x v="1"/>
    <x v="0"/>
    <d v="1899-12-30T00:00:00"/>
    <d v="1899-12-30T00:00:00"/>
  </r>
  <r>
    <n v="806"/>
    <x v="0"/>
    <x v="157"/>
    <x v="678"/>
    <n v="12088"/>
    <x v="480"/>
    <m/>
    <m/>
    <x v="3"/>
    <m/>
    <x v="8"/>
    <m/>
    <m/>
    <x v="8"/>
    <x v="0"/>
    <x v="0"/>
    <x v="4"/>
    <x v="0"/>
    <m/>
    <m/>
    <x v="174"/>
    <m/>
    <m/>
    <x v="0"/>
    <x v="0"/>
    <n v="0"/>
    <m/>
    <x v="1"/>
    <n v="0"/>
    <x v="0"/>
    <x v="0"/>
    <m/>
    <m/>
    <x v="0"/>
    <d v="2005-12-30T00:00:00"/>
    <x v="0"/>
    <m/>
    <x v="3"/>
    <x v="8"/>
    <s v="E"/>
    <x v="15"/>
    <x v="0"/>
    <x v="284"/>
    <s v="Vitor Candeias"/>
    <x v="193"/>
    <x v="15"/>
    <x v="2"/>
    <x v="1"/>
    <x v="0"/>
    <d v="1899-12-30T00:00:00"/>
    <d v="1899-12-30T00:00:00"/>
  </r>
  <r>
    <n v="807"/>
    <x v="0"/>
    <x v="41"/>
    <x v="679"/>
    <n v="12089"/>
    <x v="481"/>
    <m/>
    <m/>
    <x v="1"/>
    <d v="2002-12-27T00:00:00"/>
    <x v="14"/>
    <m/>
    <d v="2003-06-30T00:00:00"/>
    <x v="14"/>
    <x v="0"/>
    <x v="0"/>
    <x v="4"/>
    <x v="0"/>
    <m/>
    <d v="2003-10-11T00:00:00"/>
    <x v="80"/>
    <m/>
    <m/>
    <x v="0"/>
    <x v="0"/>
    <n v="50000"/>
    <m/>
    <x v="1"/>
    <n v="0"/>
    <x v="0"/>
    <x v="0"/>
    <m/>
    <m/>
    <x v="0"/>
    <d v="2005-08-12T00:00:00"/>
    <x v="0"/>
    <m/>
    <x v="3"/>
    <x v="13"/>
    <s v="I"/>
    <x v="15"/>
    <x v="0"/>
    <x v="31"/>
    <s v="Fernando Matos Silva"/>
    <x v="232"/>
    <x v="15"/>
    <x v="2"/>
    <x v="1"/>
    <x v="0"/>
    <d v="1899-12-30T00:00:00"/>
    <d v="1899-12-30T00:00:00"/>
  </r>
  <r>
    <n v="808"/>
    <x v="0"/>
    <x v="41"/>
    <x v="680"/>
    <n v="12090"/>
    <x v="482"/>
    <m/>
    <m/>
    <x v="3"/>
    <m/>
    <x v="8"/>
    <m/>
    <m/>
    <x v="8"/>
    <x v="0"/>
    <x v="0"/>
    <x v="4"/>
    <x v="0"/>
    <m/>
    <m/>
    <x v="174"/>
    <m/>
    <m/>
    <x v="0"/>
    <x v="0"/>
    <n v="0"/>
    <m/>
    <x v="1"/>
    <n v="0"/>
    <x v="0"/>
    <x v="0"/>
    <m/>
    <m/>
    <x v="0"/>
    <d v="2005-01-14T00:00:00"/>
    <x v="0"/>
    <m/>
    <x v="3"/>
    <x v="13"/>
    <s v="M"/>
    <x v="15"/>
    <x v="0"/>
    <x v="79"/>
    <s v="Pedro Palma"/>
    <x v="130"/>
    <x v="13"/>
    <x v="2"/>
    <x v="1"/>
    <x v="0"/>
    <d v="1899-12-30T00:00:00"/>
    <d v="1899-12-30T00:00:00"/>
  </r>
  <r>
    <n v="809"/>
    <x v="0"/>
    <x v="170"/>
    <x v="681"/>
    <n v="12091"/>
    <x v="483"/>
    <m/>
    <m/>
    <x v="1"/>
    <d v="2002-12-27T00:00:00"/>
    <x v="14"/>
    <m/>
    <d v="2003-06-30T00:00:00"/>
    <x v="14"/>
    <x v="0"/>
    <x v="0"/>
    <x v="4"/>
    <x v="0"/>
    <m/>
    <d v="2003-10-13T00:00:00"/>
    <x v="80"/>
    <m/>
    <m/>
    <x v="0"/>
    <x v="0"/>
    <n v="50000"/>
    <m/>
    <x v="1"/>
    <n v="0"/>
    <x v="0"/>
    <x v="0"/>
    <d v="2004-03-15T00:00:00"/>
    <m/>
    <x v="0"/>
    <d v="2005-07-13T00:00:00"/>
    <x v="0"/>
    <m/>
    <x v="3"/>
    <x v="10"/>
    <s v="T"/>
    <x v="15"/>
    <x v="0"/>
    <x v="72"/>
    <s v="Fernando Lopes"/>
    <x v="79"/>
    <x v="16"/>
    <x v="2"/>
    <x v="1"/>
    <x v="0"/>
    <d v="2004-03-15T00:00:00"/>
    <d v="1899-12-30T00:00:00"/>
  </r>
  <r>
    <n v="810"/>
    <x v="0"/>
    <x v="171"/>
    <x v="682"/>
    <n v="12099"/>
    <x v="484"/>
    <m/>
    <m/>
    <x v="3"/>
    <m/>
    <x v="8"/>
    <m/>
    <m/>
    <x v="8"/>
    <x v="0"/>
    <x v="0"/>
    <x v="1"/>
    <x v="0"/>
    <m/>
    <m/>
    <x v="174"/>
    <m/>
    <m/>
    <x v="0"/>
    <x v="0"/>
    <n v="0"/>
    <m/>
    <x v="1"/>
    <n v="0"/>
    <x v="0"/>
    <x v="0"/>
    <m/>
    <m/>
    <x v="0"/>
    <d v="2005-02-16T00:00:00"/>
    <x v="0"/>
    <m/>
    <x v="1"/>
    <x v="0"/>
    <s v="C"/>
    <x v="15"/>
    <x v="0"/>
    <x v="334"/>
    <s v="Fernando Galrito, João Ramos Almeida"/>
    <x v="76"/>
    <x v="16"/>
    <x v="1"/>
    <x v="1"/>
    <x v="0"/>
    <d v="1899-12-30T00:00:00"/>
    <d v="1899-12-30T00:00:00"/>
  </r>
  <r>
    <n v="811"/>
    <x v="0"/>
    <x v="44"/>
    <x v="683"/>
    <n v="12100"/>
    <x v="485"/>
    <m/>
    <m/>
    <x v="3"/>
    <m/>
    <x v="8"/>
    <m/>
    <m/>
    <x v="8"/>
    <x v="0"/>
    <x v="0"/>
    <x v="1"/>
    <x v="0"/>
    <m/>
    <m/>
    <x v="174"/>
    <m/>
    <m/>
    <x v="0"/>
    <x v="0"/>
    <n v="0"/>
    <m/>
    <x v="1"/>
    <n v="0"/>
    <x v="0"/>
    <x v="0"/>
    <m/>
    <m/>
    <x v="0"/>
    <d v="2005-12-06T00:00:00"/>
    <x v="0"/>
    <m/>
    <x v="1"/>
    <x v="16"/>
    <s v="E"/>
    <x v="15"/>
    <x v="0"/>
    <x v="335"/>
    <s v="João Gorjão Clara"/>
    <x v="2"/>
    <x v="9"/>
    <x v="1"/>
    <x v="1"/>
    <x v="0"/>
    <d v="1899-12-30T00:00:00"/>
    <d v="1899-12-30T00:00:00"/>
  </r>
  <r>
    <n v="812"/>
    <x v="0"/>
    <x v="7"/>
    <x v="684"/>
    <n v="4536"/>
    <x v="486"/>
    <m/>
    <m/>
    <x v="1"/>
    <d v="2001-11-09T00:00:00"/>
    <x v="16"/>
    <m/>
    <d v="2002-07-15T00:00:00"/>
    <x v="17"/>
    <x v="0"/>
    <x v="0"/>
    <x v="1"/>
    <x v="0"/>
    <m/>
    <m/>
    <x v="202"/>
    <m/>
    <m/>
    <x v="0"/>
    <x v="0"/>
    <n v="55865.36"/>
    <m/>
    <x v="1"/>
    <n v="0"/>
    <x v="0"/>
    <x v="0"/>
    <m/>
    <m/>
    <x v="0"/>
    <d v="2005-12-27T00:00:00"/>
    <x v="0"/>
    <m/>
    <x v="1"/>
    <x v="2"/>
    <s v="H"/>
    <x v="15"/>
    <x v="0"/>
    <x v="19"/>
    <s v="Regina Pessoa"/>
    <x v="233"/>
    <x v="9"/>
    <x v="1"/>
    <x v="1"/>
    <x v="0"/>
    <d v="1899-12-30T00:00:00"/>
    <d v="1899-12-30T00:00:00"/>
  </r>
  <r>
    <n v="813"/>
    <x v="0"/>
    <x v="172"/>
    <x v="685"/>
    <n v="12101"/>
    <x v="487"/>
    <m/>
    <m/>
    <x v="3"/>
    <m/>
    <x v="8"/>
    <m/>
    <m/>
    <x v="8"/>
    <x v="0"/>
    <x v="0"/>
    <x v="1"/>
    <x v="0"/>
    <m/>
    <m/>
    <x v="174"/>
    <m/>
    <m/>
    <x v="0"/>
    <x v="0"/>
    <n v="0"/>
    <m/>
    <x v="1"/>
    <n v="0"/>
    <x v="0"/>
    <x v="0"/>
    <m/>
    <m/>
    <x v="0"/>
    <d v="2005-06-30T00:00:00"/>
    <x v="0"/>
    <m/>
    <x v="1"/>
    <x v="0"/>
    <s v="D"/>
    <x v="15"/>
    <x v="0"/>
    <x v="336"/>
    <s v="Silvino Fernandes, Paulo Sousa"/>
    <x v="163"/>
    <x v="15"/>
    <x v="1"/>
    <x v="2"/>
    <x v="0"/>
    <d v="1899-12-30T00:00:00"/>
    <d v="1899-12-30T00:00:00"/>
  </r>
  <r>
    <n v="814"/>
    <x v="0"/>
    <x v="173"/>
    <x v="686"/>
    <n v="12102"/>
    <x v="488"/>
    <m/>
    <m/>
    <x v="3"/>
    <m/>
    <x v="8"/>
    <m/>
    <m/>
    <x v="8"/>
    <x v="0"/>
    <x v="0"/>
    <x v="1"/>
    <x v="0"/>
    <m/>
    <m/>
    <x v="174"/>
    <m/>
    <m/>
    <x v="0"/>
    <x v="0"/>
    <n v="0"/>
    <m/>
    <x v="1"/>
    <n v="0"/>
    <x v="0"/>
    <x v="0"/>
    <m/>
    <m/>
    <x v="0"/>
    <d v="2005-09-13T00:00:00"/>
    <x v="0"/>
    <m/>
    <x v="1"/>
    <x v="8"/>
    <s v="V"/>
    <x v="15"/>
    <x v="0"/>
    <x v="337"/>
    <s v="António Campelo"/>
    <x v="124"/>
    <x v="15"/>
    <x v="1"/>
    <x v="2"/>
    <x v="0"/>
    <d v="1899-12-30T00:00:00"/>
    <d v="1899-12-30T00:00:00"/>
  </r>
  <r>
    <n v="815"/>
    <x v="0"/>
    <x v="23"/>
    <x v="687"/>
    <n v="679"/>
    <x v="489"/>
    <m/>
    <m/>
    <x v="1"/>
    <d v="2001-06-01T00:00:00"/>
    <x v="16"/>
    <m/>
    <d v="2001-11-12T00:00:00"/>
    <x v="18"/>
    <x v="0"/>
    <x v="0"/>
    <x v="11"/>
    <x v="0"/>
    <d v="2001-12-26T00:00:00"/>
    <d v="2003-11-08T00:00:00"/>
    <x v="217"/>
    <m/>
    <m/>
    <x v="0"/>
    <x v="0"/>
    <n v="448918.11"/>
    <m/>
    <x v="1"/>
    <n v="0"/>
    <x v="0"/>
    <x v="0"/>
    <m/>
    <m/>
    <x v="0"/>
    <d v="2004-11-16T00:00:00"/>
    <x v="0"/>
    <m/>
    <x v="0"/>
    <x v="9"/>
    <s v="A"/>
    <x v="12"/>
    <x v="0"/>
    <x v="47"/>
    <s v="Miguel Gomes"/>
    <x v="179"/>
    <x v="16"/>
    <x v="0"/>
    <x v="0"/>
    <x v="0"/>
    <d v="1899-12-30T00:00:00"/>
    <d v="1899-12-30T00:00:00"/>
  </r>
  <r>
    <n v="816"/>
    <x v="0"/>
    <x v="174"/>
    <x v="688"/>
    <n v="458"/>
    <x v="490"/>
    <m/>
    <m/>
    <x v="0"/>
    <d v="1999-06-18T00:00:00"/>
    <x v="12"/>
    <m/>
    <d v="1999-10-29T00:00:00"/>
    <x v="12"/>
    <x v="0"/>
    <x v="0"/>
    <x v="11"/>
    <x v="0"/>
    <m/>
    <m/>
    <x v="217"/>
    <m/>
    <m/>
    <x v="0"/>
    <x v="0"/>
    <n v="448918.11"/>
    <m/>
    <x v="1"/>
    <n v="0"/>
    <x v="0"/>
    <x v="0"/>
    <m/>
    <m/>
    <x v="0"/>
    <d v="2004-08-26T00:00:00"/>
    <x v="0"/>
    <m/>
    <x v="0"/>
    <x v="4"/>
    <s v="A"/>
    <x v="12"/>
    <x v="0"/>
    <x v="32"/>
    <s v="Margarida Cardoso"/>
    <x v="53"/>
    <x v="16"/>
    <x v="0"/>
    <x v="0"/>
    <x v="0"/>
    <d v="1899-12-30T00:00:00"/>
    <d v="1899-12-30T00:00:00"/>
  </r>
  <r>
    <n v="817"/>
    <x v="0"/>
    <x v="41"/>
    <x v="689"/>
    <n v="507"/>
    <x v="491"/>
    <m/>
    <m/>
    <x v="1"/>
    <d v="2001-05-11T00:00:00"/>
    <x v="16"/>
    <m/>
    <d v="2001-10-29T00:00:00"/>
    <x v="18"/>
    <x v="0"/>
    <x v="0"/>
    <x v="10"/>
    <x v="0"/>
    <m/>
    <m/>
    <x v="210"/>
    <m/>
    <m/>
    <x v="0"/>
    <x v="0"/>
    <n v="149639.37"/>
    <m/>
    <x v="1"/>
    <n v="0"/>
    <x v="0"/>
    <x v="0"/>
    <m/>
    <m/>
    <x v="0"/>
    <d v="2004-06-16T00:00:00"/>
    <x v="0"/>
    <m/>
    <x v="0"/>
    <x v="13"/>
    <s v="A"/>
    <x v="12"/>
    <x v="0"/>
    <x v="156"/>
    <s v="Imanol Uribe"/>
    <x v="36"/>
    <x v="17"/>
    <x v="0"/>
    <x v="0"/>
    <x v="0"/>
    <d v="1899-12-30T00:00:00"/>
    <d v="1899-12-30T00:00:00"/>
  </r>
  <r>
    <n v="818"/>
    <x v="0"/>
    <x v="41"/>
    <x v="690"/>
    <n v="786"/>
    <x v="492"/>
    <m/>
    <m/>
    <x v="0"/>
    <d v="2002-03-11T00:00:00"/>
    <x v="14"/>
    <m/>
    <d v="2002-10-10T00:00:00"/>
    <x v="17"/>
    <x v="0"/>
    <x v="0"/>
    <x v="0"/>
    <x v="0"/>
    <m/>
    <m/>
    <x v="209"/>
    <m/>
    <m/>
    <x v="0"/>
    <x v="0"/>
    <n v="648500"/>
    <m/>
    <x v="1"/>
    <n v="0"/>
    <x v="0"/>
    <x v="0"/>
    <m/>
    <m/>
    <x v="0"/>
    <d v="2004-11-16T00:00:00"/>
    <x v="0"/>
    <m/>
    <x v="0"/>
    <x v="13"/>
    <s v="A"/>
    <x v="12"/>
    <x v="0"/>
    <x v="152"/>
    <s v="Margarida Gil"/>
    <x v="29"/>
    <x v="16"/>
    <x v="0"/>
    <x v="0"/>
    <x v="0"/>
    <d v="1899-12-30T00:00:00"/>
    <d v="1899-12-30T00:00:00"/>
  </r>
  <r>
    <n v="819"/>
    <x v="0"/>
    <x v="130"/>
    <x v="691"/>
    <n v="172"/>
    <x v="493"/>
    <m/>
    <s v="Corações em Perigo"/>
    <x v="0"/>
    <d v="2001-03-30T00:00:00"/>
    <x v="16"/>
    <m/>
    <d v="2001-08-27T00:00:00"/>
    <x v="18"/>
    <x v="0"/>
    <x v="0"/>
    <x v="0"/>
    <x v="0"/>
    <m/>
    <m/>
    <x v="180"/>
    <m/>
    <m/>
    <x v="0"/>
    <x v="0"/>
    <n v="648437.27"/>
    <m/>
    <x v="1"/>
    <n v="0"/>
    <x v="0"/>
    <x v="0"/>
    <m/>
    <m/>
    <x v="0"/>
    <d v="2004-12-02T00:00:00"/>
    <x v="0"/>
    <m/>
    <x v="0"/>
    <x v="4"/>
    <s v="K"/>
    <x v="12"/>
    <x v="0"/>
    <x v="184"/>
    <s v="António da Cunha Telles"/>
    <x v="53"/>
    <x v="16"/>
    <x v="0"/>
    <x v="0"/>
    <x v="0"/>
    <d v="1899-12-30T00:00:00"/>
    <d v="1899-12-30T00:00:00"/>
  </r>
  <r>
    <n v="820"/>
    <x v="0"/>
    <x v="118"/>
    <x v="692"/>
    <n v="154"/>
    <x v="494"/>
    <m/>
    <s v="Condomínio Privado"/>
    <x v="2"/>
    <d v="2002-12-20T00:00:00"/>
    <x v="14"/>
    <m/>
    <d v="2003-03-24T00:00:00"/>
    <x v="14"/>
    <x v="0"/>
    <x v="0"/>
    <x v="9"/>
    <x v="0"/>
    <m/>
    <m/>
    <x v="209"/>
    <m/>
    <m/>
    <x v="0"/>
    <x v="0"/>
    <n v="648500"/>
    <m/>
    <x v="1"/>
    <n v="0"/>
    <x v="0"/>
    <x v="0"/>
    <m/>
    <m/>
    <x v="0"/>
    <d v="2004-01-19T00:00:00"/>
    <x v="0"/>
    <m/>
    <x v="0"/>
    <x v="8"/>
    <s v="L"/>
    <x v="12"/>
    <x v="0"/>
    <x v="72"/>
    <s v="Fernando Lopes"/>
    <x v="48"/>
    <x v="16"/>
    <x v="0"/>
    <x v="0"/>
    <x v="0"/>
    <d v="1899-12-30T00:00:00"/>
    <d v="1899-12-30T00:00:00"/>
  </r>
  <r>
    <n v="821"/>
    <x v="0"/>
    <x v="175"/>
    <x v="693"/>
    <n v="261"/>
    <x v="495"/>
    <m/>
    <m/>
    <x v="0"/>
    <d v="2001-03-30T00:00:00"/>
    <x v="16"/>
    <m/>
    <d v="2001-08-27T00:00:00"/>
    <x v="18"/>
    <x v="0"/>
    <x v="0"/>
    <x v="0"/>
    <x v="0"/>
    <m/>
    <m/>
    <x v="180"/>
    <m/>
    <m/>
    <x v="0"/>
    <x v="0"/>
    <n v="648437.27"/>
    <m/>
    <x v="1"/>
    <n v="0"/>
    <x v="0"/>
    <x v="0"/>
    <m/>
    <m/>
    <x v="0"/>
    <d v="2004-03-15T00:00:00"/>
    <x v="0"/>
    <m/>
    <x v="0"/>
    <x v="0"/>
    <s v="M"/>
    <x v="12"/>
    <x v="0"/>
    <x v="338"/>
    <s v="José de Sá Caetano"/>
    <x v="21"/>
    <x v="16"/>
    <x v="0"/>
    <x v="0"/>
    <x v="0"/>
    <d v="1899-12-30T00:00:00"/>
    <d v="1899-12-30T00:00:00"/>
  </r>
  <r>
    <n v="822"/>
    <x v="0"/>
    <x v="13"/>
    <x v="694"/>
    <n v="4054"/>
    <x v="496"/>
    <m/>
    <m/>
    <x v="1"/>
    <d v="2003-07-12T00:00:00"/>
    <x v="9"/>
    <m/>
    <d v="2003-12-03T00:00:00"/>
    <x v="14"/>
    <x v="0"/>
    <x v="0"/>
    <x v="6"/>
    <x v="0"/>
    <m/>
    <m/>
    <x v="174"/>
    <m/>
    <m/>
    <x v="0"/>
    <x v="0"/>
    <n v="0"/>
    <m/>
    <x v="1"/>
    <n v="0"/>
    <x v="0"/>
    <x v="0"/>
    <m/>
    <m/>
    <x v="0"/>
    <d v="2004-12-22T00:00:00"/>
    <x v="0"/>
    <m/>
    <x v="0"/>
    <x v="4"/>
    <s v="O"/>
    <x v="12"/>
    <x v="0"/>
    <x v="339"/>
    <s v="Alice de Andrade"/>
    <x v="179"/>
    <x v="16"/>
    <x v="0"/>
    <x v="0"/>
    <x v="0"/>
    <d v="1899-12-30T00:00:00"/>
    <d v="1899-12-30T00:00:00"/>
  </r>
  <r>
    <n v="823"/>
    <x v="0"/>
    <x v="9"/>
    <x v="695"/>
    <n v="411"/>
    <x v="497"/>
    <m/>
    <m/>
    <x v="1"/>
    <d v="2001-05-11T00:00:00"/>
    <x v="16"/>
    <m/>
    <d v="2001-10-15T00:00:00"/>
    <x v="18"/>
    <x v="0"/>
    <x v="0"/>
    <x v="8"/>
    <x v="0"/>
    <m/>
    <m/>
    <x v="217"/>
    <m/>
    <m/>
    <x v="0"/>
    <x v="0"/>
    <n v="448918.11"/>
    <m/>
    <x v="1"/>
    <n v="0"/>
    <x v="0"/>
    <x v="0"/>
    <m/>
    <m/>
    <x v="0"/>
    <d v="2004-03-18T00:00:00"/>
    <x v="0"/>
    <m/>
    <x v="0"/>
    <x v="3"/>
    <s v="O"/>
    <x v="12"/>
    <x v="0"/>
    <x v="83"/>
    <s v="Zézé Gamboa"/>
    <x v="16"/>
    <x v="16"/>
    <x v="0"/>
    <x v="0"/>
    <x v="0"/>
    <d v="1899-12-30T00:00:00"/>
    <d v="1899-12-30T00:00:00"/>
  </r>
  <r>
    <n v="824"/>
    <x v="0"/>
    <x v="118"/>
    <x v="696"/>
    <n v="136"/>
    <x v="498"/>
    <m/>
    <m/>
    <x v="2"/>
    <d v="2001-09-28T00:00:00"/>
    <x v="16"/>
    <m/>
    <d v="2002-04-02T00:00:00"/>
    <x v="17"/>
    <x v="0"/>
    <x v="0"/>
    <x v="0"/>
    <x v="0"/>
    <m/>
    <m/>
    <x v="180"/>
    <m/>
    <m/>
    <x v="0"/>
    <x v="0"/>
    <n v="648437.27"/>
    <m/>
    <x v="1"/>
    <n v="0"/>
    <x v="0"/>
    <x v="0"/>
    <m/>
    <m/>
    <x v="0"/>
    <d v="2004-02-18T00:00:00"/>
    <x v="0"/>
    <m/>
    <x v="0"/>
    <x v="8"/>
    <s v="O"/>
    <x v="12"/>
    <x v="0"/>
    <x v="245"/>
    <s v="Mário Barroso"/>
    <x v="16"/>
    <x v="16"/>
    <x v="0"/>
    <x v="0"/>
    <x v="0"/>
    <d v="1899-12-30T00:00:00"/>
    <d v="1899-12-30T00:00:00"/>
  </r>
  <r>
    <n v="825"/>
    <x v="0"/>
    <x v="118"/>
    <x v="697"/>
    <n v="612"/>
    <x v="499"/>
    <m/>
    <m/>
    <x v="0"/>
    <d v="2003-08-29T00:00:00"/>
    <x v="9"/>
    <m/>
    <d v="2004-01-15T00:00:00"/>
    <x v="5"/>
    <x v="0"/>
    <x v="0"/>
    <x v="9"/>
    <x v="0"/>
    <m/>
    <m/>
    <x v="174"/>
    <m/>
    <m/>
    <x v="0"/>
    <x v="0"/>
    <n v="0"/>
    <m/>
    <x v="1"/>
    <n v="0"/>
    <x v="0"/>
    <x v="0"/>
    <m/>
    <m/>
    <x v="0"/>
    <d v="2004-08-17T00:00:00"/>
    <x v="0"/>
    <m/>
    <x v="0"/>
    <x v="8"/>
    <s v="O"/>
    <x v="12"/>
    <x v="0"/>
    <x v="52"/>
    <s v="Manoel de Oliveira"/>
    <x v="234"/>
    <x v="16"/>
    <x v="0"/>
    <x v="0"/>
    <x v="0"/>
    <d v="1899-12-30T00:00:00"/>
    <d v="1899-12-30T00:00:00"/>
  </r>
  <r>
    <n v="826"/>
    <x v="0"/>
    <x v="118"/>
    <x v="698"/>
    <n v="578"/>
    <x v="500"/>
    <m/>
    <m/>
    <x v="1"/>
    <d v="2003-08-22T00:00:00"/>
    <x v="9"/>
    <m/>
    <d v="2004-03-08T00:00:00"/>
    <x v="5"/>
    <x v="0"/>
    <x v="0"/>
    <x v="10"/>
    <x v="0"/>
    <m/>
    <m/>
    <x v="174"/>
    <m/>
    <m/>
    <x v="0"/>
    <x v="0"/>
    <n v="0"/>
    <m/>
    <x v="1"/>
    <n v="0"/>
    <x v="0"/>
    <x v="0"/>
    <m/>
    <m/>
    <x v="0"/>
    <d v="2004-08-26T00:00:00"/>
    <x v="0"/>
    <m/>
    <x v="0"/>
    <x v="8"/>
    <s v="O"/>
    <x v="12"/>
    <x v="0"/>
    <x v="340"/>
    <s v="Laurence Ferreira Barbosa"/>
    <x v="235"/>
    <x v="16"/>
    <x v="0"/>
    <x v="0"/>
    <x v="0"/>
    <d v="1899-12-30T00:00:00"/>
    <d v="1899-12-30T00:00:00"/>
  </r>
  <r>
    <n v="827"/>
    <x v="0"/>
    <x v="103"/>
    <x v="699"/>
    <n v="493"/>
    <x v="501"/>
    <m/>
    <m/>
    <x v="2"/>
    <d v="2000-10-20T00:00:00"/>
    <x v="15"/>
    <m/>
    <d v="2001-04-24T00:00:00"/>
    <x v="18"/>
    <x v="0"/>
    <x v="0"/>
    <x v="0"/>
    <x v="0"/>
    <m/>
    <m/>
    <x v="217"/>
    <m/>
    <m/>
    <x v="0"/>
    <x v="0"/>
    <n v="448918.11"/>
    <m/>
    <x v="1"/>
    <n v="0"/>
    <x v="0"/>
    <x v="0"/>
    <m/>
    <m/>
    <x v="0"/>
    <d v="2004-05-28T00:00:00"/>
    <x v="0"/>
    <m/>
    <x v="0"/>
    <x v="12"/>
    <s v="Q"/>
    <x v="12"/>
    <x v="0"/>
    <x v="341"/>
    <s v="Edgar Feldman"/>
    <x v="46"/>
    <x v="16"/>
    <x v="0"/>
    <x v="0"/>
    <x v="0"/>
    <d v="1899-12-30T00:00:00"/>
    <d v="1899-12-30T00:00:00"/>
  </r>
  <r>
    <n v="828"/>
    <x v="0"/>
    <x v="41"/>
    <x v="700"/>
    <n v="5996"/>
    <x v="502"/>
    <m/>
    <m/>
    <x v="1"/>
    <d v="2001-05-11T00:00:00"/>
    <x v="16"/>
    <m/>
    <d v="2001-10-29T00:00:00"/>
    <x v="18"/>
    <x v="0"/>
    <x v="0"/>
    <x v="10"/>
    <x v="0"/>
    <m/>
    <m/>
    <x v="210"/>
    <m/>
    <m/>
    <x v="0"/>
    <x v="0"/>
    <n v="149639.37"/>
    <m/>
    <x v="1"/>
    <n v="0"/>
    <x v="0"/>
    <x v="0"/>
    <m/>
    <m/>
    <x v="0"/>
    <d v="2004-06-29T00:00:00"/>
    <x v="0"/>
    <m/>
    <x v="0"/>
    <x v="13"/>
    <s v="T"/>
    <x v="12"/>
    <x v="0"/>
    <x v="342"/>
    <s v="Xavier Villaverde"/>
    <x v="179"/>
    <x v="17"/>
    <x v="0"/>
    <x v="0"/>
    <x v="0"/>
    <d v="1899-12-30T00:00:00"/>
    <d v="1899-12-30T00:00:00"/>
  </r>
  <r>
    <n v="829"/>
    <x v="0"/>
    <x v="103"/>
    <x v="701"/>
    <n v="3973"/>
    <x v="503"/>
    <m/>
    <m/>
    <x v="0"/>
    <d v="2002-03-11T00:00:00"/>
    <x v="14"/>
    <m/>
    <d v="2002-10-10T00:00:00"/>
    <x v="17"/>
    <x v="0"/>
    <x v="0"/>
    <x v="0"/>
    <x v="0"/>
    <m/>
    <m/>
    <x v="209"/>
    <m/>
    <m/>
    <x v="0"/>
    <x v="0"/>
    <n v="648500"/>
    <m/>
    <x v="1"/>
    <n v="0"/>
    <x v="0"/>
    <x v="0"/>
    <m/>
    <m/>
    <x v="0"/>
    <d v="2004-08-26T00:00:00"/>
    <x v="0"/>
    <m/>
    <x v="0"/>
    <x v="12"/>
    <s v="V"/>
    <x v="12"/>
    <x v="0"/>
    <x v="91"/>
    <s v="Paulo Rocha"/>
    <x v="21"/>
    <x v="16"/>
    <x v="0"/>
    <x v="0"/>
    <x v="0"/>
    <d v="1899-12-30T00:00:00"/>
    <d v="1899-12-30T00:00:00"/>
  </r>
  <r>
    <n v="830"/>
    <x v="0"/>
    <x v="175"/>
    <x v="702"/>
    <n v="11969"/>
    <x v="504"/>
    <m/>
    <m/>
    <x v="0"/>
    <d v="2000-05-29T00:00:00"/>
    <x v="15"/>
    <m/>
    <d v="2000-09-18T00:00:00"/>
    <x v="15"/>
    <x v="0"/>
    <x v="0"/>
    <x v="3"/>
    <x v="0"/>
    <m/>
    <m/>
    <x v="204"/>
    <m/>
    <m/>
    <x v="0"/>
    <x v="0"/>
    <n v="44891.81"/>
    <m/>
    <x v="1"/>
    <n v="0"/>
    <x v="0"/>
    <x v="0"/>
    <m/>
    <m/>
    <x v="1"/>
    <d v="2004-09-30T00:00:00"/>
    <x v="0"/>
    <m/>
    <x v="2"/>
    <x v="0"/>
    <s v="A"/>
    <x v="12"/>
    <x v="0"/>
    <x v="84"/>
    <s v="Teresa Garcia"/>
    <x v="183"/>
    <x v="16"/>
    <x v="0"/>
    <x v="1"/>
    <x v="0"/>
    <d v="1899-12-30T00:00:00"/>
    <d v="1899-12-30T00:00:00"/>
  </r>
  <r>
    <n v="831"/>
    <x v="0"/>
    <x v="23"/>
    <x v="703"/>
    <n v="1020"/>
    <x v="505"/>
    <m/>
    <m/>
    <x v="1"/>
    <d v="2001-10-19T00:00:00"/>
    <x v="16"/>
    <m/>
    <d v="2002-04-03T00:00:00"/>
    <x v="17"/>
    <x v="0"/>
    <x v="0"/>
    <x v="3"/>
    <x v="0"/>
    <m/>
    <m/>
    <x v="204"/>
    <m/>
    <m/>
    <x v="0"/>
    <x v="0"/>
    <n v="44891.81"/>
    <m/>
    <x v="1"/>
    <n v="0"/>
    <x v="0"/>
    <x v="0"/>
    <m/>
    <m/>
    <x v="0"/>
    <d v="2004-02-11T00:00:00"/>
    <x v="0"/>
    <m/>
    <x v="2"/>
    <x v="9"/>
    <s v="A"/>
    <x v="12"/>
    <x v="0"/>
    <x v="12"/>
    <s v="João Figueiras"/>
    <x v="88"/>
    <x v="13"/>
    <x v="0"/>
    <x v="1"/>
    <x v="0"/>
    <d v="1899-12-30T00:00:00"/>
    <d v="1899-12-30T00:00:00"/>
  </r>
  <r>
    <n v="832"/>
    <x v="0"/>
    <x v="9"/>
    <x v="704"/>
    <n v="11970"/>
    <x v="506"/>
    <m/>
    <m/>
    <x v="1"/>
    <d v="2002-09-27T00:00:00"/>
    <x v="14"/>
    <m/>
    <d v="2003-08-01T00:00:00"/>
    <x v="14"/>
    <x v="0"/>
    <x v="0"/>
    <x v="3"/>
    <x v="0"/>
    <m/>
    <m/>
    <x v="9"/>
    <m/>
    <m/>
    <x v="0"/>
    <x v="0"/>
    <n v="45000"/>
    <m/>
    <x v="1"/>
    <n v="0"/>
    <x v="0"/>
    <x v="0"/>
    <m/>
    <m/>
    <x v="0"/>
    <d v="2004-06-10T00:00:00"/>
    <x v="0"/>
    <m/>
    <x v="2"/>
    <x v="3"/>
    <s v="A"/>
    <x v="12"/>
    <x v="0"/>
    <x v="343"/>
    <s v="Raquel Jacinto"/>
    <x v="136"/>
    <x v="15"/>
    <x v="0"/>
    <x v="1"/>
    <x v="0"/>
    <d v="1899-12-30T00:00:00"/>
    <d v="1899-12-30T00:00:00"/>
  </r>
  <r>
    <n v="833"/>
    <x v="0"/>
    <x v="123"/>
    <x v="705"/>
    <n v="11971"/>
    <x v="507"/>
    <m/>
    <s v="Fugiu de Casa"/>
    <x v="1"/>
    <d v="2002-07-12T00:00:00"/>
    <x v="14"/>
    <m/>
    <d v="2003-01-31T00:00:00"/>
    <x v="14"/>
    <x v="0"/>
    <x v="0"/>
    <x v="3"/>
    <x v="0"/>
    <m/>
    <m/>
    <x v="174"/>
    <m/>
    <m/>
    <x v="0"/>
    <x v="0"/>
    <n v="0"/>
    <m/>
    <x v="1"/>
    <n v="0"/>
    <x v="0"/>
    <x v="0"/>
    <m/>
    <m/>
    <x v="1"/>
    <d v="2004-04-23T00:00:00"/>
    <x v="0"/>
    <m/>
    <x v="2"/>
    <x v="0"/>
    <s v="A"/>
    <x v="12"/>
    <x v="0"/>
    <x v="24"/>
    <s v="Solveig Nordlund"/>
    <x v="22"/>
    <x v="13"/>
    <x v="0"/>
    <x v="1"/>
    <x v="0"/>
    <d v="1899-12-30T00:00:00"/>
    <d v="1899-12-30T00:00:00"/>
  </r>
  <r>
    <n v="834"/>
    <x v="0"/>
    <x v="9"/>
    <x v="706"/>
    <n v="11972"/>
    <x v="508"/>
    <m/>
    <m/>
    <x v="1"/>
    <d v="2001-09-07T00:00:00"/>
    <x v="16"/>
    <m/>
    <d v="2002-01-22T00:00:00"/>
    <x v="17"/>
    <x v="0"/>
    <x v="0"/>
    <x v="3"/>
    <x v="0"/>
    <m/>
    <m/>
    <x v="174"/>
    <m/>
    <m/>
    <x v="0"/>
    <x v="0"/>
    <n v="0"/>
    <m/>
    <x v="1"/>
    <n v="0"/>
    <x v="0"/>
    <x v="0"/>
    <m/>
    <m/>
    <x v="0"/>
    <d v="2004-07-30T00:00:00"/>
    <x v="0"/>
    <m/>
    <x v="2"/>
    <x v="3"/>
    <s v="A"/>
    <x v="12"/>
    <x v="0"/>
    <x v="323"/>
    <s v="Fernando Vendrell"/>
    <x v="20"/>
    <x v="13"/>
    <x v="0"/>
    <x v="1"/>
    <x v="0"/>
    <d v="1899-12-30T00:00:00"/>
    <d v="1899-12-30T00:00:00"/>
  </r>
  <r>
    <n v="835"/>
    <x v="0"/>
    <x v="139"/>
    <x v="707"/>
    <n v="11973"/>
    <x v="509"/>
    <m/>
    <s v="Nome Próprio"/>
    <x v="1"/>
    <d v="2002-09-27T00:00:00"/>
    <x v="14"/>
    <m/>
    <d v="2003-08-01T00:00:00"/>
    <x v="14"/>
    <x v="0"/>
    <x v="0"/>
    <x v="3"/>
    <x v="0"/>
    <m/>
    <m/>
    <x v="174"/>
    <m/>
    <m/>
    <x v="0"/>
    <x v="0"/>
    <n v="0"/>
    <m/>
    <x v="1"/>
    <n v="0"/>
    <x v="0"/>
    <x v="0"/>
    <m/>
    <m/>
    <x v="1"/>
    <d v="2004-07-14T00:00:00"/>
    <x v="0"/>
    <m/>
    <x v="2"/>
    <x v="7"/>
    <s v="B"/>
    <x v="12"/>
    <x v="0"/>
    <x v="344"/>
    <s v="Jacinto Lucas Pires"/>
    <x v="72"/>
    <x v="16"/>
    <x v="0"/>
    <x v="1"/>
    <x v="0"/>
    <d v="1899-12-30T00:00:00"/>
    <d v="1899-12-30T00:00:00"/>
  </r>
  <r>
    <n v="836"/>
    <x v="0"/>
    <x v="139"/>
    <x v="708"/>
    <n v="11974"/>
    <x v="510"/>
    <m/>
    <m/>
    <x v="1"/>
    <d v="2002-09-27T00:00:00"/>
    <x v="14"/>
    <m/>
    <d v="2003-08-01T00:00:00"/>
    <x v="14"/>
    <x v="0"/>
    <x v="0"/>
    <x v="3"/>
    <x v="0"/>
    <m/>
    <m/>
    <x v="9"/>
    <m/>
    <m/>
    <x v="0"/>
    <x v="0"/>
    <n v="45000"/>
    <m/>
    <x v="1"/>
    <n v="0"/>
    <x v="0"/>
    <x v="0"/>
    <m/>
    <m/>
    <x v="0"/>
    <d v="2004-05-06T00:00:00"/>
    <x v="0"/>
    <m/>
    <x v="2"/>
    <x v="7"/>
    <s v="D"/>
    <x v="12"/>
    <x v="0"/>
    <x v="78"/>
    <s v="Pedro Caldas"/>
    <x v="76"/>
    <x v="16"/>
    <x v="0"/>
    <x v="1"/>
    <x v="0"/>
    <d v="1899-12-30T00:00:00"/>
    <d v="1899-12-30T00:00:00"/>
  </r>
  <r>
    <n v="837"/>
    <x v="0"/>
    <x v="137"/>
    <x v="709"/>
    <n v="11975"/>
    <x v="511"/>
    <m/>
    <m/>
    <x v="1"/>
    <d v="2001-10-19T00:00:00"/>
    <x v="16"/>
    <m/>
    <d v="2002-04-03T00:00:00"/>
    <x v="17"/>
    <x v="0"/>
    <x v="0"/>
    <x v="3"/>
    <x v="0"/>
    <m/>
    <m/>
    <x v="204"/>
    <m/>
    <m/>
    <x v="0"/>
    <x v="0"/>
    <n v="44891.81"/>
    <m/>
    <x v="1"/>
    <n v="0"/>
    <x v="0"/>
    <x v="0"/>
    <m/>
    <m/>
    <x v="0"/>
    <d v="2004-05-24T00:00:00"/>
    <x v="0"/>
    <m/>
    <x v="2"/>
    <x v="2"/>
    <s v="D"/>
    <x v="12"/>
    <x v="0"/>
    <x v="345"/>
    <s v="Luís Fonseca"/>
    <x v="163"/>
    <x v="13"/>
    <x v="0"/>
    <x v="1"/>
    <x v="0"/>
    <d v="1899-12-30T00:00:00"/>
    <d v="1899-12-30T00:00:00"/>
  </r>
  <r>
    <n v="838"/>
    <x v="0"/>
    <x v="156"/>
    <x v="710"/>
    <n v="11976"/>
    <x v="512"/>
    <m/>
    <m/>
    <x v="1"/>
    <d v="2002-09-27T00:00:00"/>
    <x v="14"/>
    <m/>
    <d v="2003-08-01T00:00:00"/>
    <x v="14"/>
    <x v="0"/>
    <x v="0"/>
    <x v="3"/>
    <x v="0"/>
    <m/>
    <m/>
    <x v="9"/>
    <m/>
    <m/>
    <x v="0"/>
    <x v="0"/>
    <n v="45000"/>
    <m/>
    <x v="1"/>
    <n v="0"/>
    <x v="0"/>
    <x v="0"/>
    <m/>
    <m/>
    <x v="1"/>
    <d v="2004-01-07T00:00:00"/>
    <x v="0"/>
    <m/>
    <x v="2"/>
    <x v="2"/>
    <s v="D"/>
    <x v="12"/>
    <x v="0"/>
    <x v="133"/>
    <s v="Marta Pessoa"/>
    <x v="39"/>
    <x v="16"/>
    <x v="0"/>
    <x v="1"/>
    <x v="0"/>
    <d v="1899-12-30T00:00:00"/>
    <d v="1899-12-30T00:00:00"/>
  </r>
  <r>
    <n v="839"/>
    <x v="0"/>
    <x v="139"/>
    <x v="711"/>
    <n v="11977"/>
    <x v="513"/>
    <m/>
    <m/>
    <x v="1"/>
    <d v="2001-10-19T00:00:00"/>
    <x v="16"/>
    <m/>
    <d v="2002-04-03T00:00:00"/>
    <x v="17"/>
    <x v="0"/>
    <x v="0"/>
    <x v="3"/>
    <x v="0"/>
    <m/>
    <m/>
    <x v="204"/>
    <m/>
    <m/>
    <x v="0"/>
    <x v="0"/>
    <n v="44891.81"/>
    <m/>
    <x v="1"/>
    <n v="0"/>
    <x v="0"/>
    <x v="0"/>
    <m/>
    <m/>
    <x v="0"/>
    <d v="2004-04-29T00:00:00"/>
    <x v="0"/>
    <m/>
    <x v="2"/>
    <x v="7"/>
    <s v="F"/>
    <x v="12"/>
    <x v="0"/>
    <x v="78"/>
    <s v="Pedro Caldas"/>
    <x v="56"/>
    <x v="16"/>
    <x v="0"/>
    <x v="1"/>
    <x v="0"/>
    <d v="1899-12-30T00:00:00"/>
    <d v="1899-12-30T00:00:00"/>
  </r>
  <r>
    <n v="840"/>
    <x v="0"/>
    <x v="176"/>
    <x v="712"/>
    <n v="11978"/>
    <x v="514"/>
    <m/>
    <m/>
    <x v="1"/>
    <d v="2001-10-19T00:00:00"/>
    <x v="16"/>
    <m/>
    <d v="2002-04-03T00:00:00"/>
    <x v="17"/>
    <x v="0"/>
    <x v="0"/>
    <x v="3"/>
    <x v="0"/>
    <m/>
    <m/>
    <x v="204"/>
    <m/>
    <m/>
    <x v="0"/>
    <x v="0"/>
    <n v="44891.81"/>
    <m/>
    <x v="1"/>
    <n v="0"/>
    <x v="0"/>
    <x v="0"/>
    <m/>
    <m/>
    <x v="1"/>
    <d v="2004-06-21T00:00:00"/>
    <x v="0"/>
    <m/>
    <x v="2"/>
    <x v="3"/>
    <s v="L"/>
    <x v="12"/>
    <x v="0"/>
    <x v="346"/>
    <s v="Carlos Braga"/>
    <x v="56"/>
    <x v="15"/>
    <x v="0"/>
    <x v="1"/>
    <x v="0"/>
    <d v="1899-12-30T00:00:00"/>
    <d v="1899-12-30T00:00:00"/>
  </r>
  <r>
    <n v="841"/>
    <x v="0"/>
    <x v="174"/>
    <x v="713"/>
    <n v="11979"/>
    <x v="515"/>
    <m/>
    <m/>
    <x v="1"/>
    <d v="2001-10-19T00:00:00"/>
    <x v="16"/>
    <m/>
    <d v="2002-04-03T00:00:00"/>
    <x v="17"/>
    <x v="0"/>
    <x v="0"/>
    <x v="3"/>
    <x v="0"/>
    <m/>
    <m/>
    <x v="204"/>
    <m/>
    <m/>
    <x v="0"/>
    <x v="0"/>
    <n v="44891.81"/>
    <m/>
    <x v="1"/>
    <n v="0"/>
    <x v="0"/>
    <x v="0"/>
    <m/>
    <m/>
    <x v="0"/>
    <d v="2004-02-25T00:00:00"/>
    <x v="0"/>
    <m/>
    <x v="2"/>
    <x v="4"/>
    <s v="O"/>
    <x v="12"/>
    <x v="0"/>
    <x v="347"/>
    <s v="Ricardo Aibéo"/>
    <x v="57"/>
    <x v="16"/>
    <x v="0"/>
    <x v="1"/>
    <x v="0"/>
    <d v="1899-12-30T00:00:00"/>
    <d v="1899-12-30T00:00:00"/>
  </r>
  <r>
    <n v="842"/>
    <x v="0"/>
    <x v="10"/>
    <x v="714"/>
    <n v="4552"/>
    <x v="516"/>
    <m/>
    <m/>
    <x v="1"/>
    <d v="2001-09-07T00:00:00"/>
    <x v="16"/>
    <m/>
    <d v="2002-01-22T00:00:00"/>
    <x v="17"/>
    <x v="0"/>
    <x v="0"/>
    <x v="3"/>
    <x v="0"/>
    <m/>
    <m/>
    <x v="174"/>
    <m/>
    <m/>
    <x v="0"/>
    <x v="0"/>
    <n v="0"/>
    <m/>
    <x v="1"/>
    <n v="0"/>
    <x v="0"/>
    <x v="0"/>
    <m/>
    <m/>
    <x v="0"/>
    <d v="2004-10-26T00:00:00"/>
    <x v="0"/>
    <m/>
    <x v="2"/>
    <x v="4"/>
    <s v="O"/>
    <x v="12"/>
    <x v="0"/>
    <x v="209"/>
    <s v="Gonçalo Galvão Teles"/>
    <x v="56"/>
    <x v="16"/>
    <x v="0"/>
    <x v="1"/>
    <x v="0"/>
    <d v="1899-12-30T00:00:00"/>
    <d v="1899-12-30T00:00:00"/>
  </r>
  <r>
    <n v="843"/>
    <x v="0"/>
    <x v="28"/>
    <x v="715"/>
    <n v="11980"/>
    <x v="517"/>
    <m/>
    <s v="Espelhos Estilhaçados"/>
    <x v="1"/>
    <d v="2002-07-12T00:00:00"/>
    <x v="14"/>
    <m/>
    <d v="2003-01-31T00:00:00"/>
    <x v="14"/>
    <x v="0"/>
    <x v="0"/>
    <x v="3"/>
    <x v="0"/>
    <m/>
    <m/>
    <x v="174"/>
    <m/>
    <m/>
    <x v="0"/>
    <x v="0"/>
    <n v="0"/>
    <m/>
    <x v="1"/>
    <n v="0"/>
    <x v="0"/>
    <x v="0"/>
    <m/>
    <m/>
    <x v="0"/>
    <d v="2004-09-12T00:00:00"/>
    <x v="0"/>
    <m/>
    <x v="2"/>
    <x v="11"/>
    <s v="O"/>
    <x v="12"/>
    <x v="0"/>
    <x v="61"/>
    <s v="Rui Simões"/>
    <x v="236"/>
    <x v="15"/>
    <x v="0"/>
    <x v="1"/>
    <x v="0"/>
    <d v="1899-12-30T00:00:00"/>
    <d v="1899-12-30T00:00:00"/>
  </r>
  <r>
    <n v="844"/>
    <x v="0"/>
    <x v="137"/>
    <x v="716"/>
    <n v="11981"/>
    <x v="518"/>
    <m/>
    <m/>
    <x v="1"/>
    <d v="2002-09-27T00:00:00"/>
    <x v="14"/>
    <m/>
    <d v="2003-08-01T00:00:00"/>
    <x v="14"/>
    <x v="0"/>
    <x v="0"/>
    <x v="3"/>
    <x v="0"/>
    <m/>
    <m/>
    <x v="174"/>
    <m/>
    <m/>
    <x v="0"/>
    <x v="0"/>
    <n v="0"/>
    <m/>
    <x v="1"/>
    <n v="0"/>
    <x v="0"/>
    <x v="0"/>
    <m/>
    <m/>
    <x v="0"/>
    <d v="2004-05-24T00:00:00"/>
    <x v="0"/>
    <m/>
    <x v="2"/>
    <x v="2"/>
    <s v="P"/>
    <x v="12"/>
    <x v="0"/>
    <x v="202"/>
    <s v="José Barahona"/>
    <x v="88"/>
    <x v="16"/>
    <x v="0"/>
    <x v="1"/>
    <x v="0"/>
    <d v="1899-12-30T00:00:00"/>
    <d v="1899-12-30T00:00:00"/>
  </r>
  <r>
    <n v="845"/>
    <x v="0"/>
    <x v="103"/>
    <x v="717"/>
    <n v="3979"/>
    <x v="519"/>
    <m/>
    <m/>
    <x v="1"/>
    <d v="2002-09-27T00:00:00"/>
    <x v="14"/>
    <m/>
    <d v="2003-08-01T00:00:00"/>
    <x v="14"/>
    <x v="0"/>
    <x v="0"/>
    <x v="3"/>
    <x v="0"/>
    <m/>
    <m/>
    <x v="9"/>
    <m/>
    <m/>
    <x v="0"/>
    <x v="0"/>
    <n v="45000"/>
    <m/>
    <x v="1"/>
    <n v="0"/>
    <x v="0"/>
    <x v="0"/>
    <m/>
    <m/>
    <x v="0"/>
    <d v="2004-08-16T00:00:00"/>
    <x v="0"/>
    <m/>
    <x v="2"/>
    <x v="12"/>
    <s v="A"/>
    <x v="12"/>
    <x v="0"/>
    <x v="348"/>
    <s v="Iana Viana, João Viana"/>
    <x v="139"/>
    <x v="16"/>
    <x v="0"/>
    <x v="1"/>
    <x v="0"/>
    <d v="1899-12-30T00:00:00"/>
    <d v="1899-12-30T00:00:00"/>
  </r>
  <r>
    <n v="846"/>
    <x v="0"/>
    <x v="9"/>
    <x v="718"/>
    <n v="11982"/>
    <x v="520"/>
    <m/>
    <m/>
    <x v="1"/>
    <d v="2002-09-27T00:00:00"/>
    <x v="14"/>
    <m/>
    <d v="2003-08-01T00:00:00"/>
    <x v="14"/>
    <x v="0"/>
    <x v="0"/>
    <x v="3"/>
    <x v="0"/>
    <m/>
    <m/>
    <x v="9"/>
    <m/>
    <m/>
    <x v="0"/>
    <x v="0"/>
    <n v="45000"/>
    <m/>
    <x v="1"/>
    <n v="0"/>
    <x v="0"/>
    <x v="0"/>
    <m/>
    <m/>
    <x v="1"/>
    <d v="2004-12-30T00:00:00"/>
    <x v="0"/>
    <m/>
    <x v="2"/>
    <x v="3"/>
    <s v="P"/>
    <x v="12"/>
    <x v="0"/>
    <x v="280"/>
    <s v="Paulo Guilherme"/>
    <x v="85"/>
    <x v="15"/>
    <x v="0"/>
    <x v="1"/>
    <x v="0"/>
    <d v="1899-12-30T00:00:00"/>
    <d v="1899-12-30T00:00:00"/>
  </r>
  <r>
    <n v="847"/>
    <x v="0"/>
    <x v="177"/>
    <x v="719"/>
    <n v="11983"/>
    <x v="521"/>
    <m/>
    <m/>
    <x v="1"/>
    <d v="2002-09-27T00:00:00"/>
    <x v="14"/>
    <m/>
    <d v="2003-08-01T00:00:00"/>
    <x v="14"/>
    <x v="0"/>
    <x v="0"/>
    <x v="3"/>
    <x v="0"/>
    <m/>
    <m/>
    <x v="9"/>
    <m/>
    <m/>
    <x v="0"/>
    <x v="0"/>
    <n v="45000"/>
    <m/>
    <x v="1"/>
    <n v="0"/>
    <x v="0"/>
    <x v="0"/>
    <m/>
    <m/>
    <x v="0"/>
    <d v="2004-08-20T00:00:00"/>
    <x v="0"/>
    <m/>
    <x v="2"/>
    <x v="2"/>
    <s v="Q"/>
    <x v="12"/>
    <x v="0"/>
    <x v="202"/>
    <s v="José Barahona"/>
    <x v="160"/>
    <x v="16"/>
    <x v="0"/>
    <x v="1"/>
    <x v="0"/>
    <d v="1899-12-30T00:00:00"/>
    <d v="1899-12-30T00:00:00"/>
  </r>
  <r>
    <n v="848"/>
    <x v="0"/>
    <x v="156"/>
    <x v="720"/>
    <n v="11984"/>
    <x v="522"/>
    <m/>
    <m/>
    <x v="1"/>
    <d v="2001-10-19T00:00:00"/>
    <x v="16"/>
    <m/>
    <d v="2002-04-03T00:00:00"/>
    <x v="17"/>
    <x v="0"/>
    <x v="0"/>
    <x v="3"/>
    <x v="0"/>
    <m/>
    <m/>
    <x v="204"/>
    <m/>
    <m/>
    <x v="0"/>
    <x v="0"/>
    <n v="44891.81"/>
    <m/>
    <x v="1"/>
    <n v="0"/>
    <x v="0"/>
    <x v="0"/>
    <m/>
    <m/>
    <x v="0"/>
    <d v="2004-04-01T00:00:00"/>
    <x v="0"/>
    <m/>
    <x v="2"/>
    <x v="2"/>
    <s v="T"/>
    <x v="12"/>
    <x v="0"/>
    <x v="267"/>
    <s v="António Duarte"/>
    <x v="237"/>
    <x v="17"/>
    <x v="0"/>
    <x v="1"/>
    <x v="0"/>
    <d v="1899-12-30T00:00:00"/>
    <d v="1899-12-30T00:00:00"/>
  </r>
  <r>
    <n v="849"/>
    <x v="0"/>
    <x v="17"/>
    <x v="721"/>
    <n v="12006"/>
    <x v="523"/>
    <m/>
    <m/>
    <x v="1"/>
    <d v="2001-09-07T00:00:00"/>
    <x v="16"/>
    <m/>
    <d v="2002-01-22T00:00:00"/>
    <x v="17"/>
    <x v="0"/>
    <x v="0"/>
    <x v="3"/>
    <x v="0"/>
    <m/>
    <m/>
    <x v="174"/>
    <m/>
    <m/>
    <x v="0"/>
    <x v="0"/>
    <n v="0"/>
    <m/>
    <x v="1"/>
    <n v="0"/>
    <x v="0"/>
    <x v="0"/>
    <m/>
    <m/>
    <x v="0"/>
    <d v="2004-05-18T00:00:00"/>
    <x v="0"/>
    <m/>
    <x v="2"/>
    <x v="7"/>
    <s v="U"/>
    <x v="12"/>
    <x v="0"/>
    <x v="97"/>
    <s v="José Filipe Costa"/>
    <x v="238"/>
    <x v="16"/>
    <x v="0"/>
    <x v="1"/>
    <x v="0"/>
    <d v="1899-12-30T00:00:00"/>
    <d v="1899-12-30T00:00:00"/>
  </r>
  <r>
    <n v="850"/>
    <x v="0"/>
    <x v="174"/>
    <x v="722"/>
    <n v="10575"/>
    <x v="524"/>
    <m/>
    <m/>
    <x v="1"/>
    <d v="2001-10-19T00:00:00"/>
    <x v="16"/>
    <m/>
    <d v="2002-04-03T00:00:00"/>
    <x v="17"/>
    <x v="0"/>
    <x v="0"/>
    <x v="3"/>
    <x v="0"/>
    <m/>
    <m/>
    <x v="204"/>
    <m/>
    <m/>
    <x v="0"/>
    <x v="0"/>
    <n v="44891.81"/>
    <m/>
    <x v="1"/>
    <n v="0"/>
    <x v="0"/>
    <x v="0"/>
    <m/>
    <m/>
    <x v="0"/>
    <d v="2004-06-30T00:00:00"/>
    <x v="0"/>
    <m/>
    <x v="2"/>
    <x v="4"/>
    <s v="W"/>
    <x v="12"/>
    <x v="0"/>
    <x v="349"/>
    <s v="Paulo Belém"/>
    <x v="239"/>
    <x v="16"/>
    <x v="0"/>
    <x v="1"/>
    <x v="0"/>
    <d v="1899-12-30T00:00:00"/>
    <d v="1899-12-30T00:00:00"/>
  </r>
  <r>
    <n v="851"/>
    <x v="0"/>
    <x v="17"/>
    <x v="723"/>
    <n v="11985"/>
    <x v="525"/>
    <m/>
    <m/>
    <x v="3"/>
    <m/>
    <x v="8"/>
    <m/>
    <m/>
    <x v="8"/>
    <x v="0"/>
    <x v="0"/>
    <x v="4"/>
    <x v="0"/>
    <m/>
    <m/>
    <x v="174"/>
    <m/>
    <m/>
    <x v="0"/>
    <x v="0"/>
    <n v="0"/>
    <m/>
    <x v="1"/>
    <n v="0"/>
    <x v="0"/>
    <x v="0"/>
    <m/>
    <m/>
    <x v="0"/>
    <d v="2004-06-07T00:00:00"/>
    <x v="0"/>
    <m/>
    <x v="3"/>
    <x v="7"/>
    <s v="B"/>
    <x v="12"/>
    <x v="0"/>
    <x v="202"/>
    <s v="José Barahona"/>
    <x v="240"/>
    <x v="16"/>
    <x v="2"/>
    <x v="0"/>
    <x v="0"/>
    <d v="1899-12-30T00:00:00"/>
    <d v="1899-12-30T00:00:00"/>
  </r>
  <r>
    <n v="852"/>
    <x v="0"/>
    <x v="17"/>
    <x v="724"/>
    <n v="11986"/>
    <x v="526"/>
    <m/>
    <m/>
    <x v="3"/>
    <m/>
    <x v="8"/>
    <m/>
    <m/>
    <x v="8"/>
    <x v="0"/>
    <x v="0"/>
    <x v="4"/>
    <x v="0"/>
    <m/>
    <m/>
    <x v="174"/>
    <m/>
    <m/>
    <x v="0"/>
    <x v="0"/>
    <n v="0"/>
    <m/>
    <x v="1"/>
    <n v="0"/>
    <x v="0"/>
    <x v="0"/>
    <m/>
    <m/>
    <x v="0"/>
    <d v="2004-02-05T00:00:00"/>
    <x v="0"/>
    <m/>
    <x v="3"/>
    <x v="7"/>
    <s v="D"/>
    <x v="12"/>
    <x v="0"/>
    <x v="350"/>
    <s v="Ginette Lavigne"/>
    <x v="77"/>
    <x v="16"/>
    <x v="2"/>
    <x v="0"/>
    <x v="0"/>
    <d v="1899-12-30T00:00:00"/>
    <d v="1899-12-30T00:00:00"/>
  </r>
  <r>
    <n v="853"/>
    <x v="0"/>
    <x v="137"/>
    <x v="725"/>
    <n v="10441"/>
    <x v="527"/>
    <m/>
    <m/>
    <x v="3"/>
    <m/>
    <x v="8"/>
    <m/>
    <m/>
    <x v="8"/>
    <x v="0"/>
    <x v="0"/>
    <x v="4"/>
    <x v="0"/>
    <m/>
    <m/>
    <x v="174"/>
    <m/>
    <m/>
    <x v="0"/>
    <x v="0"/>
    <n v="0"/>
    <m/>
    <x v="1"/>
    <n v="0"/>
    <x v="0"/>
    <x v="0"/>
    <m/>
    <m/>
    <x v="0"/>
    <d v="2004-05-05T00:00:00"/>
    <x v="0"/>
    <m/>
    <x v="3"/>
    <x v="2"/>
    <s v="D"/>
    <x v="12"/>
    <x v="0"/>
    <x v="220"/>
    <s v="João Trabulo"/>
    <x v="241"/>
    <x v="13"/>
    <x v="2"/>
    <x v="0"/>
    <x v="0"/>
    <d v="1899-12-30T00:00:00"/>
    <d v="1899-12-30T00:00:00"/>
  </r>
  <r>
    <n v="854"/>
    <x v="0"/>
    <x v="137"/>
    <x v="726"/>
    <n v="11987"/>
    <x v="528"/>
    <m/>
    <m/>
    <x v="3"/>
    <m/>
    <x v="8"/>
    <m/>
    <m/>
    <x v="8"/>
    <x v="0"/>
    <x v="0"/>
    <x v="4"/>
    <x v="0"/>
    <m/>
    <m/>
    <x v="174"/>
    <m/>
    <m/>
    <x v="0"/>
    <x v="0"/>
    <n v="0"/>
    <m/>
    <x v="1"/>
    <n v="0"/>
    <x v="0"/>
    <x v="0"/>
    <m/>
    <m/>
    <x v="0"/>
    <d v="2004-05-24T00:00:00"/>
    <x v="0"/>
    <m/>
    <x v="3"/>
    <x v="2"/>
    <s v="M"/>
    <x v="12"/>
    <x v="0"/>
    <x v="351"/>
    <s v="karen Boswall"/>
    <x v="106"/>
    <x v="16"/>
    <x v="2"/>
    <x v="0"/>
    <x v="0"/>
    <d v="1899-12-30T00:00:00"/>
    <d v="1899-12-30T00:00:00"/>
  </r>
  <r>
    <n v="855"/>
    <x v="0"/>
    <x v="17"/>
    <x v="727"/>
    <n v="11988"/>
    <x v="529"/>
    <m/>
    <m/>
    <x v="1"/>
    <d v="2002-12-27T00:00:00"/>
    <x v="14"/>
    <m/>
    <d v="2003-06-30T00:00:00"/>
    <x v="14"/>
    <x v="0"/>
    <x v="0"/>
    <x v="4"/>
    <x v="0"/>
    <m/>
    <d v="2003-08-06T00:00:00"/>
    <x v="80"/>
    <m/>
    <m/>
    <x v="0"/>
    <x v="0"/>
    <n v="50000"/>
    <m/>
    <x v="1"/>
    <n v="0"/>
    <x v="0"/>
    <x v="0"/>
    <m/>
    <m/>
    <x v="0"/>
    <d v="2004-01-09T00:00:00"/>
    <x v="0"/>
    <m/>
    <x v="3"/>
    <x v="7"/>
    <s v="N"/>
    <x v="12"/>
    <x v="0"/>
    <x v="352"/>
    <s v="Maya Rosa"/>
    <x v="242"/>
    <x v="16"/>
    <x v="2"/>
    <x v="0"/>
    <x v="0"/>
    <d v="1899-12-30T00:00:00"/>
    <d v="1899-12-30T00:00:00"/>
  </r>
  <r>
    <n v="856"/>
    <x v="0"/>
    <x v="11"/>
    <x v="728"/>
    <n v="3992"/>
    <x v="530"/>
    <m/>
    <s v="Novos Lisboetas"/>
    <x v="3"/>
    <d v="2002-07-12T00:00:00"/>
    <x v="14"/>
    <m/>
    <d v="2003-01-23T00:00:00"/>
    <x v="14"/>
    <x v="0"/>
    <x v="0"/>
    <x v="26"/>
    <x v="0"/>
    <m/>
    <d v="2003-04-24T00:00:00"/>
    <x v="220"/>
    <m/>
    <m/>
    <x v="0"/>
    <x v="0"/>
    <n v="33968"/>
    <m/>
    <x v="1"/>
    <n v="0"/>
    <x v="0"/>
    <x v="0"/>
    <d v="2003-01-15T00:00:00"/>
    <m/>
    <x v="0"/>
    <d v="2004-02-18T00:00:00"/>
    <x v="0"/>
    <m/>
    <x v="3"/>
    <x v="4"/>
    <s v="L"/>
    <x v="12"/>
    <x v="0"/>
    <x v="30"/>
    <s v="Sérgio Tréfaut"/>
    <x v="29"/>
    <x v="16"/>
    <x v="2"/>
    <x v="0"/>
    <x v="0"/>
    <d v="2003-01-15T00:00:00"/>
    <d v="1899-12-30T00:00:00"/>
  </r>
  <r>
    <n v="857"/>
    <x v="0"/>
    <x v="132"/>
    <x v="729"/>
    <n v="11989"/>
    <x v="531"/>
    <m/>
    <m/>
    <x v="3"/>
    <m/>
    <x v="8"/>
    <m/>
    <m/>
    <x v="8"/>
    <x v="0"/>
    <x v="0"/>
    <x v="4"/>
    <x v="0"/>
    <m/>
    <m/>
    <x v="174"/>
    <m/>
    <m/>
    <x v="0"/>
    <x v="0"/>
    <n v="0"/>
    <m/>
    <x v="1"/>
    <n v="0"/>
    <x v="0"/>
    <x v="0"/>
    <m/>
    <m/>
    <x v="0"/>
    <d v="2004-02-02T00:00:00"/>
    <x v="0"/>
    <m/>
    <x v="3"/>
    <x v="7"/>
    <s v="O"/>
    <x v="12"/>
    <x v="0"/>
    <x v="353"/>
    <s v="Catarina Alves Costa"/>
    <x v="87"/>
    <x v="16"/>
    <x v="2"/>
    <x v="0"/>
    <x v="0"/>
    <d v="1899-12-30T00:00:00"/>
    <d v="1899-12-30T00:00:00"/>
  </r>
  <r>
    <n v="858"/>
    <x v="0"/>
    <x v="139"/>
    <x v="730"/>
    <n v="11990"/>
    <x v="532"/>
    <m/>
    <m/>
    <x v="3"/>
    <m/>
    <x v="8"/>
    <m/>
    <m/>
    <x v="8"/>
    <x v="0"/>
    <x v="0"/>
    <x v="4"/>
    <x v="0"/>
    <m/>
    <m/>
    <x v="174"/>
    <m/>
    <m/>
    <x v="0"/>
    <x v="0"/>
    <n v="0"/>
    <m/>
    <x v="1"/>
    <n v="0"/>
    <x v="0"/>
    <x v="0"/>
    <m/>
    <m/>
    <x v="0"/>
    <d v="2004-11-02T00:00:00"/>
    <x v="0"/>
    <m/>
    <x v="3"/>
    <x v="7"/>
    <s v="P"/>
    <x v="12"/>
    <x v="0"/>
    <x v="78"/>
    <s v="Pedro Caldas"/>
    <x v="92"/>
    <x v="17"/>
    <x v="2"/>
    <x v="0"/>
    <x v="0"/>
    <d v="1899-12-30T00:00:00"/>
    <d v="1899-12-30T00:00:00"/>
  </r>
  <r>
    <n v="859"/>
    <x v="0"/>
    <x v="142"/>
    <x v="731"/>
    <n v="11991"/>
    <x v="533"/>
    <m/>
    <m/>
    <x v="3"/>
    <m/>
    <x v="8"/>
    <m/>
    <m/>
    <x v="8"/>
    <x v="0"/>
    <x v="0"/>
    <x v="4"/>
    <x v="0"/>
    <m/>
    <m/>
    <x v="174"/>
    <m/>
    <m/>
    <x v="0"/>
    <x v="0"/>
    <n v="0"/>
    <m/>
    <x v="1"/>
    <n v="0"/>
    <x v="0"/>
    <x v="0"/>
    <m/>
    <m/>
    <x v="0"/>
    <d v="2004-09-30T00:00:00"/>
    <x v="0"/>
    <m/>
    <x v="3"/>
    <x v="0"/>
    <s v="A"/>
    <x v="12"/>
    <x v="0"/>
    <x v="200"/>
    <s v="Luís Alves de Matos"/>
    <x v="79"/>
    <x v="16"/>
    <x v="2"/>
    <x v="1"/>
    <x v="0"/>
    <d v="1899-12-30T00:00:00"/>
    <d v="1899-12-30T00:00:00"/>
  </r>
  <r>
    <n v="860"/>
    <x v="0"/>
    <x v="17"/>
    <x v="732"/>
    <n v="11992"/>
    <x v="534"/>
    <m/>
    <m/>
    <x v="3"/>
    <m/>
    <x v="8"/>
    <m/>
    <m/>
    <x v="8"/>
    <x v="0"/>
    <x v="0"/>
    <x v="4"/>
    <x v="0"/>
    <m/>
    <m/>
    <x v="174"/>
    <m/>
    <m/>
    <x v="0"/>
    <x v="0"/>
    <n v="0"/>
    <m/>
    <x v="1"/>
    <n v="0"/>
    <x v="0"/>
    <x v="0"/>
    <m/>
    <m/>
    <x v="0"/>
    <d v="2004-08-17T00:00:00"/>
    <x v="0"/>
    <m/>
    <x v="3"/>
    <x v="7"/>
    <s v="A"/>
    <x v="12"/>
    <x v="0"/>
    <x v="158"/>
    <s v="Jorge António"/>
    <x v="79"/>
    <x v="16"/>
    <x v="2"/>
    <x v="1"/>
    <x v="0"/>
    <d v="1899-12-30T00:00:00"/>
    <d v="1899-12-30T00:00:00"/>
  </r>
  <r>
    <n v="861"/>
    <x v="0"/>
    <x v="136"/>
    <x v="733"/>
    <n v="11993"/>
    <x v="535"/>
    <m/>
    <s v="Cinco Conversas com Glicínia"/>
    <x v="1"/>
    <d v="2002-12-27T00:00:00"/>
    <x v="14"/>
    <m/>
    <d v="2003-06-30T00:00:00"/>
    <x v="14"/>
    <x v="0"/>
    <x v="0"/>
    <x v="4"/>
    <x v="0"/>
    <m/>
    <d v="2003-10-24T00:00:00"/>
    <x v="39"/>
    <m/>
    <m/>
    <x v="0"/>
    <x v="0"/>
    <n v="35000"/>
    <m/>
    <x v="1"/>
    <n v="0"/>
    <x v="0"/>
    <x v="0"/>
    <m/>
    <m/>
    <x v="0"/>
    <d v="2004-12-21T00:00:00"/>
    <x v="0"/>
    <m/>
    <x v="3"/>
    <x v="0"/>
    <s v="C"/>
    <x v="12"/>
    <x v="0"/>
    <x v="234"/>
    <s v="Jorge Silva Melo"/>
    <x v="195"/>
    <x v="16"/>
    <x v="2"/>
    <x v="1"/>
    <x v="0"/>
    <d v="1899-12-30T00:00:00"/>
    <d v="1899-12-30T00:00:00"/>
  </r>
  <r>
    <n v="862"/>
    <x v="0"/>
    <x v="178"/>
    <x v="734"/>
    <n v="11994"/>
    <x v="536"/>
    <m/>
    <s v="Curiua-Catu - A Grande Expedição de Pedro Teixeira"/>
    <x v="1"/>
    <d v="2002-12-27T00:00:00"/>
    <x v="14"/>
    <m/>
    <d v="2003-06-30T00:00:00"/>
    <x v="14"/>
    <x v="0"/>
    <x v="0"/>
    <x v="4"/>
    <x v="0"/>
    <m/>
    <d v="2003-08-14T00:00:00"/>
    <x v="75"/>
    <m/>
    <m/>
    <x v="0"/>
    <x v="0"/>
    <n v="40000"/>
    <m/>
    <x v="1"/>
    <n v="0"/>
    <x v="0"/>
    <x v="0"/>
    <m/>
    <m/>
    <x v="0"/>
    <d v="2004-02-02T00:00:00"/>
    <x v="0"/>
    <m/>
    <x v="3"/>
    <x v="4"/>
    <s v="C"/>
    <x v="12"/>
    <x v="0"/>
    <x v="354"/>
    <s v="Carlos Barreto"/>
    <x v="128"/>
    <x v="16"/>
    <x v="2"/>
    <x v="1"/>
    <x v="0"/>
    <d v="1899-12-30T00:00:00"/>
    <d v="1899-12-30T00:00:00"/>
  </r>
  <r>
    <n v="863"/>
    <x v="0"/>
    <x v="130"/>
    <x v="735"/>
    <n v="11995"/>
    <x v="537"/>
    <m/>
    <s v="Macau, Fragmentos Escarlates"/>
    <x v="1"/>
    <d v="2003-09-19T00:00:00"/>
    <x v="9"/>
    <m/>
    <d v="2004-03-30T00:00:00"/>
    <x v="5"/>
    <x v="0"/>
    <x v="0"/>
    <x v="26"/>
    <x v="0"/>
    <m/>
    <m/>
    <x v="80"/>
    <m/>
    <m/>
    <x v="0"/>
    <x v="0"/>
    <n v="50000"/>
    <m/>
    <x v="1"/>
    <n v="0"/>
    <x v="0"/>
    <x v="0"/>
    <m/>
    <m/>
    <x v="0"/>
    <d v="2004-12-16T00:00:00"/>
    <x v="0"/>
    <m/>
    <x v="3"/>
    <x v="4"/>
    <s v="M"/>
    <x v="12"/>
    <x v="0"/>
    <x v="355"/>
    <s v="Michaele Boganim"/>
    <x v="193"/>
    <x v="16"/>
    <x v="2"/>
    <x v="1"/>
    <x v="0"/>
    <d v="1899-12-30T00:00:00"/>
    <d v="1899-12-30T00:00:00"/>
  </r>
  <r>
    <n v="864"/>
    <x v="0"/>
    <x v="179"/>
    <x v="736"/>
    <n v="11996"/>
    <x v="538"/>
    <m/>
    <m/>
    <x v="3"/>
    <m/>
    <x v="8"/>
    <m/>
    <m/>
    <x v="8"/>
    <x v="0"/>
    <x v="0"/>
    <x v="4"/>
    <x v="0"/>
    <m/>
    <m/>
    <x v="174"/>
    <m/>
    <m/>
    <x v="0"/>
    <x v="0"/>
    <n v="0"/>
    <m/>
    <x v="1"/>
    <n v="0"/>
    <x v="0"/>
    <x v="0"/>
    <m/>
    <m/>
    <x v="0"/>
    <d v="2004-12-15T00:00:00"/>
    <x v="0"/>
    <m/>
    <x v="3"/>
    <x v="12"/>
    <s v="P"/>
    <x v="12"/>
    <x v="0"/>
    <x v="22"/>
    <s v="João Mário Grilo"/>
    <x v="195"/>
    <x v="13"/>
    <x v="2"/>
    <x v="1"/>
    <x v="0"/>
    <d v="1899-12-30T00:00:00"/>
    <d v="1899-12-30T00:00:00"/>
  </r>
  <r>
    <n v="865"/>
    <x v="0"/>
    <x v="172"/>
    <x v="737"/>
    <n v="11997"/>
    <x v="539"/>
    <m/>
    <m/>
    <x v="0"/>
    <d v="2002-08-02T00:00:00"/>
    <x v="14"/>
    <m/>
    <d v="2003-04-22T00:00:00"/>
    <x v="14"/>
    <x v="0"/>
    <x v="0"/>
    <x v="1"/>
    <x v="0"/>
    <m/>
    <m/>
    <x v="75"/>
    <m/>
    <m/>
    <x v="0"/>
    <x v="0"/>
    <n v="40000"/>
    <m/>
    <x v="1"/>
    <n v="0"/>
    <x v="0"/>
    <x v="0"/>
    <m/>
    <m/>
    <x v="0"/>
    <d v="2004-09-01T00:00:00"/>
    <x v="0"/>
    <m/>
    <x v="1"/>
    <x v="0"/>
    <s v="A"/>
    <x v="12"/>
    <x v="0"/>
    <x v="356"/>
    <s v="Silvino Fernandes"/>
    <x v="243"/>
    <x v="16"/>
    <x v="1"/>
    <x v="1"/>
    <x v="0"/>
    <d v="1899-12-30T00:00:00"/>
    <d v="1899-12-30T00:00:00"/>
  </r>
  <r>
    <n v="866"/>
    <x v="0"/>
    <x v="44"/>
    <x v="738"/>
    <n v="11998"/>
    <x v="540"/>
    <m/>
    <s v="Filme"/>
    <x v="0"/>
    <d v="2002-08-02T00:00:00"/>
    <x v="14"/>
    <m/>
    <d v="2003-04-22T00:00:00"/>
    <x v="14"/>
    <x v="0"/>
    <x v="0"/>
    <x v="1"/>
    <x v="0"/>
    <m/>
    <m/>
    <x v="221"/>
    <m/>
    <m/>
    <x v="0"/>
    <x v="0"/>
    <n v="32000"/>
    <m/>
    <x v="1"/>
    <n v="0"/>
    <x v="0"/>
    <x v="0"/>
    <m/>
    <m/>
    <x v="0"/>
    <d v="2004-09-17T00:00:00"/>
    <x v="0"/>
    <m/>
    <x v="1"/>
    <x v="16"/>
    <s v="A"/>
    <x v="12"/>
    <x v="0"/>
    <x v="140"/>
    <s v="Joana Toste"/>
    <x v="76"/>
    <x v="16"/>
    <x v="1"/>
    <x v="1"/>
    <x v="0"/>
    <d v="1899-12-30T00:00:00"/>
    <d v="1899-12-30T00:00:00"/>
  </r>
  <r>
    <n v="867"/>
    <x v="0"/>
    <x v="2"/>
    <x v="739"/>
    <n v="11999"/>
    <x v="541"/>
    <m/>
    <m/>
    <x v="2"/>
    <d v="2000-08-25T00:00:00"/>
    <x v="15"/>
    <m/>
    <d v="2001-01-08T00:00:00"/>
    <x v="18"/>
    <x v="0"/>
    <x v="0"/>
    <x v="1"/>
    <x v="0"/>
    <m/>
    <m/>
    <x v="222"/>
    <m/>
    <m/>
    <x v="0"/>
    <x v="0"/>
    <n v="47485.56"/>
    <m/>
    <x v="1"/>
    <n v="0"/>
    <x v="0"/>
    <x v="0"/>
    <m/>
    <m/>
    <x v="0"/>
    <d v="2004-04-06T00:00:00"/>
    <x v="0"/>
    <m/>
    <x v="1"/>
    <x v="0"/>
    <s v="S"/>
    <x v="12"/>
    <x v="0"/>
    <x v="137"/>
    <s v="Pedro Brito"/>
    <x v="3"/>
    <x v="16"/>
    <x v="1"/>
    <x v="1"/>
    <x v="0"/>
    <d v="1899-12-30T00:00:00"/>
    <d v="1899-12-30T00:00:00"/>
  </r>
  <r>
    <n v="868"/>
    <x v="0"/>
    <x v="44"/>
    <x v="740"/>
    <n v="12000"/>
    <x v="542"/>
    <m/>
    <m/>
    <x v="2"/>
    <d v="1999-10-06T00:00:00"/>
    <x v="12"/>
    <m/>
    <d v="2000-02-16T00:00:00"/>
    <x v="15"/>
    <x v="0"/>
    <x v="0"/>
    <x v="1"/>
    <x v="0"/>
    <m/>
    <m/>
    <x v="223"/>
    <m/>
    <m/>
    <x v="0"/>
    <x v="0"/>
    <n v="29927.87"/>
    <m/>
    <x v="1"/>
    <n v="0"/>
    <x v="0"/>
    <x v="0"/>
    <m/>
    <m/>
    <x v="0"/>
    <d v="2004-09-17T00:00:00"/>
    <x v="0"/>
    <m/>
    <x v="1"/>
    <x v="16"/>
    <s v="V"/>
    <x v="12"/>
    <x v="0"/>
    <x v="357"/>
    <s v="Frederico Fonseca, Vitor Martins"/>
    <x v="114"/>
    <x v="16"/>
    <x v="1"/>
    <x v="1"/>
    <x v="0"/>
    <d v="1899-12-30T00:00:00"/>
    <d v="1899-12-30T00:00:00"/>
  </r>
  <r>
    <n v="869"/>
    <x v="0"/>
    <x v="44"/>
    <x v="741"/>
    <n v="12001"/>
    <x v="543"/>
    <m/>
    <m/>
    <x v="0"/>
    <d v="1998-05-30T00:00:00"/>
    <x v="13"/>
    <m/>
    <d v="1999-09-04T00:00:00"/>
    <x v="12"/>
    <x v="0"/>
    <x v="0"/>
    <x v="1"/>
    <x v="0"/>
    <m/>
    <m/>
    <x v="214"/>
    <m/>
    <m/>
    <x v="0"/>
    <x v="0"/>
    <n v="41899.019999999997"/>
    <m/>
    <x v="1"/>
    <n v="0"/>
    <x v="0"/>
    <x v="0"/>
    <m/>
    <m/>
    <x v="0"/>
    <d v="2004-06-24T00:00:00"/>
    <x v="0"/>
    <m/>
    <x v="1"/>
    <x v="16"/>
    <s v="D"/>
    <x v="12"/>
    <x v="0"/>
    <x v="358"/>
    <s v="Jorge Mateus"/>
    <x v="3"/>
    <x v="11"/>
    <x v="1"/>
    <x v="1"/>
    <x v="0"/>
    <d v="1899-12-30T00:00:00"/>
    <d v="1899-12-30T00:00:00"/>
  </r>
  <r>
    <n v="870"/>
    <x v="0"/>
    <x v="1"/>
    <x v="742"/>
    <n v="12003"/>
    <x v="544"/>
    <m/>
    <m/>
    <x v="0"/>
    <d v="1999-07-16T00:00:00"/>
    <x v="12"/>
    <m/>
    <d v="1999-11-17T00:00:00"/>
    <x v="12"/>
    <x v="0"/>
    <x v="0"/>
    <x v="1"/>
    <x v="0"/>
    <m/>
    <m/>
    <x v="224"/>
    <m/>
    <m/>
    <x v="0"/>
    <x v="0"/>
    <n v="99759.58"/>
    <m/>
    <x v="1"/>
    <n v="0"/>
    <x v="0"/>
    <x v="0"/>
    <m/>
    <m/>
    <x v="0"/>
    <d v="2004-01-30T00:00:00"/>
    <x v="0"/>
    <m/>
    <x v="1"/>
    <x v="0"/>
    <s v="B"/>
    <x v="12"/>
    <x v="0"/>
    <x v="3"/>
    <s v="Nuno Amorim"/>
    <x v="13"/>
    <x v="15"/>
    <x v="1"/>
    <x v="2"/>
    <x v="12"/>
    <d v="1899-12-30T00:00:00"/>
    <d v="1899-12-30T00:00:00"/>
  </r>
  <r>
    <n v="871"/>
    <x v="0"/>
    <x v="2"/>
    <x v="743"/>
    <n v="12005"/>
    <x v="545"/>
    <m/>
    <m/>
    <x v="0"/>
    <d v="2000-05-19T00:00:00"/>
    <x v="15"/>
    <m/>
    <d v="2000-09-18T00:00:00"/>
    <x v="15"/>
    <x v="0"/>
    <x v="0"/>
    <x v="1"/>
    <x v="0"/>
    <m/>
    <m/>
    <x v="224"/>
    <m/>
    <m/>
    <x v="0"/>
    <x v="0"/>
    <n v="99759.58"/>
    <m/>
    <x v="1"/>
    <n v="0"/>
    <x v="0"/>
    <x v="0"/>
    <m/>
    <m/>
    <x v="0"/>
    <d v="2004-08-24T00:00:00"/>
    <x v="0"/>
    <m/>
    <x v="1"/>
    <x v="0"/>
    <s v="M"/>
    <x v="12"/>
    <x v="0"/>
    <x v="256"/>
    <s v="Ricardo Blanco"/>
    <x v="138"/>
    <x v="16"/>
    <x v="1"/>
    <x v="2"/>
    <x v="13"/>
    <d v="1899-12-30T00:00:00"/>
    <d v="1899-12-30T00:00:00"/>
  </r>
  <r>
    <n v="872"/>
    <x v="1"/>
    <x v="18"/>
    <x v="744"/>
    <m/>
    <x v="4"/>
    <m/>
    <m/>
    <x v="2"/>
    <d v="2011-01-03T00:00:00"/>
    <x v="1"/>
    <d v="2011-11-09T00:00:00"/>
    <d v="2013-03-19T00:00:00"/>
    <x v="11"/>
    <x v="0"/>
    <x v="0"/>
    <x v="0"/>
    <x v="0"/>
    <m/>
    <d v="2013-07-16T00:00:00"/>
    <x v="0"/>
    <m/>
    <n v="120000"/>
    <x v="0"/>
    <x v="0"/>
    <n v="720000"/>
    <n v="230000"/>
    <x v="2"/>
    <n v="350000"/>
    <x v="1"/>
    <x v="0"/>
    <d v="2013-12-16T00:00:00"/>
    <m/>
    <x v="0"/>
    <m/>
    <x v="0"/>
    <d v="2014-02-04T00:00:00"/>
    <x v="0"/>
    <x v="8"/>
    <s v="C"/>
    <x v="3"/>
    <x v="0"/>
    <x v="39"/>
    <s v=""/>
    <x v="4"/>
    <x v="2"/>
    <x v="0"/>
    <x v="0"/>
    <x v="0"/>
    <d v="2013-12-16T00:00:00"/>
    <d v="1899-12-30T00:00:00"/>
  </r>
  <r>
    <n v="873"/>
    <x v="0"/>
    <x v="47"/>
    <x v="745"/>
    <n v="12711"/>
    <x v="546"/>
    <m/>
    <m/>
    <x v="2"/>
    <d v="2011-01-03T00:00:00"/>
    <x v="1"/>
    <d v="2011-11-09T00:00:00"/>
    <d v="2013-03-19T00:00:00"/>
    <x v="11"/>
    <x v="0"/>
    <x v="0"/>
    <x v="0"/>
    <x v="0"/>
    <m/>
    <d v="2013-03-28T00:00:00"/>
    <x v="0"/>
    <m/>
    <n v="120000"/>
    <x v="0"/>
    <x v="0"/>
    <n v="720000"/>
    <n v="30000"/>
    <x v="1"/>
    <n v="30000"/>
    <x v="4"/>
    <x v="0"/>
    <d v="2013-09-03T00:00:00"/>
    <d v="2013-12-31T00:00:00"/>
    <x v="0"/>
    <d v="2013-12-30T00:00:00"/>
    <x v="0"/>
    <d v="2014-02-04T00:00:00"/>
    <x v="0"/>
    <x v="0"/>
    <s v="O"/>
    <x v="1"/>
    <x v="0"/>
    <x v="35"/>
    <s v="João Botelho"/>
    <x v="221"/>
    <x v="3"/>
    <x v="0"/>
    <x v="0"/>
    <x v="0"/>
    <d v="2013-09-03T00:00:00"/>
    <d v="2013-12-31T00:00:00"/>
  </r>
  <r>
    <n v="874"/>
    <x v="0"/>
    <x v="47"/>
    <x v="745"/>
    <m/>
    <x v="4"/>
    <s v="Filme do Desassossego"/>
    <m/>
    <x v="1"/>
    <d v="2013-01-31T00:00:00"/>
    <x v="11"/>
    <d v="2013-02-14T00:00:00"/>
    <d v="2013-03-21T00:00:00"/>
    <x v="11"/>
    <x v="0"/>
    <x v="1"/>
    <x v="15"/>
    <x v="4"/>
    <m/>
    <d v="2013-03-22T00:00:00"/>
    <x v="225"/>
    <m/>
    <m/>
    <x v="0"/>
    <x v="0"/>
    <n v="22259.4"/>
    <m/>
    <x v="1"/>
    <n v="0"/>
    <x v="0"/>
    <x v="0"/>
    <m/>
    <m/>
    <x v="0"/>
    <m/>
    <x v="0"/>
    <d v="2013-03-27T00:00:00"/>
    <x v="0"/>
    <x v="0"/>
    <s v="O"/>
    <x v="3"/>
    <x v="0"/>
    <x v="35"/>
    <s v=""/>
    <x v="4"/>
    <x v="2"/>
    <x v="0"/>
    <x v="0"/>
    <x v="0"/>
    <d v="1899-12-30T00:00:00"/>
    <d v="1899-12-30T00:00:00"/>
  </r>
  <r>
    <n v="875"/>
    <x v="0"/>
    <x v="23"/>
    <x v="746"/>
    <m/>
    <x v="4"/>
    <s v="Tabu"/>
    <m/>
    <x v="1"/>
    <d v="2013-01-31T00:00:00"/>
    <x v="11"/>
    <d v="2013-02-14T00:00:00"/>
    <d v="2013-03-21T00:00:00"/>
    <x v="11"/>
    <x v="0"/>
    <x v="1"/>
    <x v="15"/>
    <x v="4"/>
    <m/>
    <d v="2013-12-30T00:00:00"/>
    <x v="226"/>
    <m/>
    <m/>
    <x v="0"/>
    <x v="0"/>
    <n v="21372.9"/>
    <n v="21372.9"/>
    <x v="1"/>
    <n v="21372.9"/>
    <x v="0"/>
    <x v="0"/>
    <m/>
    <m/>
    <x v="0"/>
    <m/>
    <x v="0"/>
    <d v="2014-02-05T00:00:00"/>
    <x v="0"/>
    <x v="9"/>
    <s v="A"/>
    <x v="3"/>
    <x v="0"/>
    <x v="47"/>
    <s v=""/>
    <x v="4"/>
    <x v="2"/>
    <x v="0"/>
    <x v="0"/>
    <x v="0"/>
    <d v="1899-12-30T00:00:00"/>
    <d v="1899-12-30T00:00:00"/>
  </r>
  <r>
    <n v="876"/>
    <x v="0"/>
    <x v="18"/>
    <x v="747"/>
    <m/>
    <x v="4"/>
    <s v="Sangue do Meu Sangue"/>
    <m/>
    <x v="1"/>
    <d v="2013-01-31T00:00:00"/>
    <x v="11"/>
    <d v="2013-02-14T00:00:00"/>
    <d v="2013-03-21T00:00:00"/>
    <x v="11"/>
    <x v="0"/>
    <x v="1"/>
    <x v="15"/>
    <x v="4"/>
    <m/>
    <d v="2013-03-28T00:00:00"/>
    <x v="227"/>
    <m/>
    <m/>
    <x v="0"/>
    <x v="0"/>
    <n v="19884.57"/>
    <m/>
    <x v="1"/>
    <n v="0"/>
    <x v="0"/>
    <x v="0"/>
    <m/>
    <m/>
    <x v="0"/>
    <m/>
    <x v="0"/>
    <d v="2013-09-03T00:00:00"/>
    <x v="0"/>
    <x v="8"/>
    <s v="É"/>
    <x v="3"/>
    <x v="0"/>
    <x v="39"/>
    <s v=""/>
    <x v="4"/>
    <x v="2"/>
    <x v="0"/>
    <x v="0"/>
    <x v="0"/>
    <d v="1899-12-30T00:00:00"/>
    <d v="1899-12-30T00:00:00"/>
  </r>
  <r>
    <n v="877"/>
    <x v="0"/>
    <x v="0"/>
    <x v="748"/>
    <m/>
    <x v="4"/>
    <s v="Linhas de Wellington"/>
    <m/>
    <x v="1"/>
    <d v="2013-01-31T00:00:00"/>
    <x v="11"/>
    <d v="2013-02-14T00:00:00"/>
    <d v="2013-03-21T00:00:00"/>
    <x v="11"/>
    <x v="0"/>
    <x v="1"/>
    <x v="15"/>
    <x v="4"/>
    <m/>
    <d v="2013-04-30T00:00:00"/>
    <x v="228"/>
    <m/>
    <m/>
    <x v="0"/>
    <x v="0"/>
    <n v="22850"/>
    <m/>
    <x v="1"/>
    <n v="0"/>
    <x v="0"/>
    <x v="0"/>
    <m/>
    <m/>
    <x v="0"/>
    <d v="2013-12-06T00:00:00"/>
    <x v="0"/>
    <d v="2014-01-20T00:00:00"/>
    <x v="0"/>
    <x v="0"/>
    <s v="M"/>
    <x v="1"/>
    <x v="0"/>
    <x v="359"/>
    <s v=""/>
    <x v="4"/>
    <x v="2"/>
    <x v="0"/>
    <x v="0"/>
    <x v="0"/>
    <d v="1899-12-30T00:00:00"/>
    <d v="1899-12-30T00:00:00"/>
  </r>
  <r>
    <n v="878"/>
    <x v="0"/>
    <x v="0"/>
    <x v="749"/>
    <m/>
    <x v="4"/>
    <s v="Linhas de Wellington"/>
    <m/>
    <x v="1"/>
    <d v="2013-01-31T00:00:00"/>
    <x v="11"/>
    <d v="2013-02-14T00:00:00"/>
    <d v="2013-03-21T00:00:00"/>
    <x v="11"/>
    <x v="0"/>
    <x v="1"/>
    <x v="15"/>
    <x v="4"/>
    <m/>
    <d v="2013-04-30T00:00:00"/>
    <x v="228"/>
    <m/>
    <m/>
    <x v="0"/>
    <x v="0"/>
    <n v="22850"/>
    <m/>
    <x v="1"/>
    <n v="0"/>
    <x v="0"/>
    <x v="0"/>
    <m/>
    <m/>
    <x v="0"/>
    <d v="2013-12-06T00:00:00"/>
    <x v="0"/>
    <d v="2014-01-20T00:00:00"/>
    <x v="0"/>
    <x v="0"/>
    <s v="P"/>
    <x v="1"/>
    <x v="0"/>
    <x v="314"/>
    <s v=""/>
    <x v="4"/>
    <x v="2"/>
    <x v="0"/>
    <x v="0"/>
    <x v="0"/>
    <d v="1899-12-30T00:00:00"/>
    <d v="1899-12-30T00:00:00"/>
  </r>
  <r>
    <n v="879"/>
    <x v="0"/>
    <x v="180"/>
    <x v="750"/>
    <m/>
    <x v="4"/>
    <s v="Balas e Bolinhos - O Último Capítulo"/>
    <m/>
    <x v="1"/>
    <d v="2013-01-31T00:00:00"/>
    <x v="11"/>
    <d v="2013-02-14T00:00:00"/>
    <d v="2013-03-21T00:00:00"/>
    <x v="11"/>
    <x v="0"/>
    <x v="1"/>
    <x v="15"/>
    <x v="4"/>
    <m/>
    <d v="2014-03-14T00:00:00"/>
    <x v="96"/>
    <m/>
    <m/>
    <x v="0"/>
    <x v="0"/>
    <n v="105000"/>
    <m/>
    <x v="1"/>
    <n v="0"/>
    <x v="0"/>
    <x v="0"/>
    <m/>
    <m/>
    <x v="0"/>
    <d v="2014-03-22T00:00:00"/>
    <x v="0"/>
    <d v="2014-04-08T00:00:00"/>
    <x v="5"/>
    <x v="7"/>
    <s v="J"/>
    <x v="4"/>
    <x v="0"/>
    <x v="108"/>
    <s v=""/>
    <x v="4"/>
    <x v="2"/>
    <x v="4"/>
    <x v="3"/>
    <x v="0"/>
    <d v="1899-12-30T00:00:00"/>
    <d v="1899-12-30T00:00:00"/>
  </r>
  <r>
    <n v="880"/>
    <x v="1"/>
    <x v="41"/>
    <x v="122"/>
    <m/>
    <x v="4"/>
    <s v="O Cônsul de Bordéus"/>
    <m/>
    <x v="1"/>
    <d v="2013-01-31T00:00:00"/>
    <x v="11"/>
    <d v="2013-02-14T00:00:00"/>
    <d v="2013-03-21T00:00:00"/>
    <x v="11"/>
    <x v="0"/>
    <x v="0"/>
    <x v="14"/>
    <x v="0"/>
    <m/>
    <m/>
    <x v="229"/>
    <m/>
    <m/>
    <x v="0"/>
    <x v="0"/>
    <n v="50836.84"/>
    <n v="50836.84"/>
    <x v="1"/>
    <n v="50836.84"/>
    <x v="12"/>
    <x v="0"/>
    <m/>
    <m/>
    <x v="0"/>
    <m/>
    <x v="0"/>
    <d v="2013-09-03T00:00:00"/>
    <x v="0"/>
    <x v="13"/>
    <s v="A"/>
    <x v="3"/>
    <x v="0"/>
    <x v="108"/>
    <s v=""/>
    <x v="4"/>
    <x v="2"/>
    <x v="0"/>
    <x v="0"/>
    <x v="0"/>
    <d v="1899-12-30T00:00:00"/>
    <d v="1899-12-30T00:00:00"/>
  </r>
  <r>
    <n v="881"/>
    <x v="0"/>
    <x v="29"/>
    <x v="193"/>
    <m/>
    <x v="4"/>
    <m/>
    <m/>
    <x v="1"/>
    <d v="2011-01-03T00:00:00"/>
    <x v="1"/>
    <d v="2011-12-31T00:00:00"/>
    <d v="2013-04-05T00:00:00"/>
    <x v="11"/>
    <x v="1"/>
    <x v="2"/>
    <x v="13"/>
    <x v="0"/>
    <m/>
    <m/>
    <x v="49"/>
    <m/>
    <m/>
    <x v="0"/>
    <x v="0"/>
    <n v="2000"/>
    <m/>
    <x v="1"/>
    <n v="0"/>
    <x v="0"/>
    <x v="0"/>
    <m/>
    <m/>
    <x v="0"/>
    <m/>
    <x v="0"/>
    <d v="2013-06-28T00:00:00"/>
    <x v="5"/>
    <x v="11"/>
    <s v="D"/>
    <x v="3"/>
    <x v="0"/>
    <x v="108"/>
    <s v=""/>
    <x v="4"/>
    <x v="2"/>
    <x v="4"/>
    <x v="3"/>
    <x v="0"/>
    <d v="1899-12-30T00:00:00"/>
    <d v="1899-12-30T00:00:00"/>
  </r>
  <r>
    <n v="882"/>
    <x v="0"/>
    <x v="5"/>
    <x v="84"/>
    <m/>
    <x v="4"/>
    <m/>
    <m/>
    <x v="1"/>
    <d v="2013-01-31T00:00:00"/>
    <x v="11"/>
    <d v="2013-12-31T00:00:00"/>
    <d v="2013-04-05T00:00:00"/>
    <x v="11"/>
    <x v="1"/>
    <x v="2"/>
    <x v="13"/>
    <x v="0"/>
    <m/>
    <m/>
    <x v="122"/>
    <m/>
    <m/>
    <x v="0"/>
    <x v="0"/>
    <n v="5000"/>
    <m/>
    <x v="1"/>
    <n v="0"/>
    <x v="0"/>
    <x v="0"/>
    <m/>
    <m/>
    <x v="0"/>
    <m/>
    <x v="0"/>
    <d v="2014-01-23T00:00:00"/>
    <x v="5"/>
    <x v="1"/>
    <s v="A"/>
    <x v="3"/>
    <x v="0"/>
    <x v="108"/>
    <s v=""/>
    <x v="4"/>
    <x v="2"/>
    <x v="4"/>
    <x v="3"/>
    <x v="0"/>
    <d v="1899-12-30T00:00:00"/>
    <d v="1899-12-30T00:00:00"/>
  </r>
  <r>
    <n v="883"/>
    <x v="0"/>
    <x v="23"/>
    <x v="751"/>
    <m/>
    <x v="4"/>
    <m/>
    <m/>
    <x v="1"/>
    <d v="2013-01-31T00:00:00"/>
    <x v="11"/>
    <d v="2013-12-31T00:00:00"/>
    <d v="2013-04-05T00:00:00"/>
    <x v="11"/>
    <x v="1"/>
    <x v="2"/>
    <x v="13"/>
    <x v="0"/>
    <m/>
    <m/>
    <x v="102"/>
    <m/>
    <m/>
    <x v="0"/>
    <x v="0"/>
    <n v="750"/>
    <m/>
    <x v="1"/>
    <n v="0"/>
    <x v="0"/>
    <x v="0"/>
    <m/>
    <m/>
    <x v="0"/>
    <m/>
    <x v="0"/>
    <d v="2014-01-23T00:00:00"/>
    <x v="5"/>
    <x v="9"/>
    <s v="O"/>
    <x v="3"/>
    <x v="0"/>
    <x v="108"/>
    <s v=""/>
    <x v="4"/>
    <x v="2"/>
    <x v="4"/>
    <x v="3"/>
    <x v="0"/>
    <d v="1899-12-30T00:00:00"/>
    <d v="1899-12-30T00:00:00"/>
  </r>
  <r>
    <n v="884"/>
    <x v="0"/>
    <x v="14"/>
    <x v="752"/>
    <m/>
    <x v="4"/>
    <m/>
    <m/>
    <x v="1"/>
    <d v="2011-01-03T00:00:00"/>
    <x v="1"/>
    <d v="2011-12-31T00:00:00"/>
    <d v="2013-04-05T00:00:00"/>
    <x v="11"/>
    <x v="1"/>
    <x v="2"/>
    <x v="13"/>
    <x v="0"/>
    <m/>
    <m/>
    <x v="49"/>
    <m/>
    <m/>
    <x v="0"/>
    <x v="0"/>
    <n v="2000"/>
    <m/>
    <x v="1"/>
    <n v="0"/>
    <x v="0"/>
    <x v="0"/>
    <m/>
    <m/>
    <x v="0"/>
    <m/>
    <x v="0"/>
    <d v="2014-01-20T00:00:00"/>
    <x v="5"/>
    <x v="4"/>
    <s v="U"/>
    <x v="3"/>
    <x v="0"/>
    <x v="108"/>
    <s v=""/>
    <x v="4"/>
    <x v="2"/>
    <x v="4"/>
    <x v="3"/>
    <x v="0"/>
    <d v="1899-12-30T00:00:00"/>
    <d v="1899-12-30T00:00:00"/>
  </r>
  <r>
    <n v="885"/>
    <x v="0"/>
    <x v="40"/>
    <x v="106"/>
    <m/>
    <x v="4"/>
    <s v="Berlim"/>
    <m/>
    <x v="1"/>
    <d v="2013-01-31T00:00:00"/>
    <x v="11"/>
    <d v="2013-12-31T00:00:00"/>
    <d v="2013-04-05T00:00:00"/>
    <x v="11"/>
    <x v="3"/>
    <x v="4"/>
    <x v="21"/>
    <x v="0"/>
    <m/>
    <m/>
    <x v="103"/>
    <m/>
    <m/>
    <x v="0"/>
    <x v="0"/>
    <n v="300"/>
    <m/>
    <x v="1"/>
    <n v="0"/>
    <x v="0"/>
    <x v="0"/>
    <m/>
    <m/>
    <x v="0"/>
    <m/>
    <x v="0"/>
    <d v="2013-12-05T00:00:00"/>
    <x v="5"/>
    <x v="10"/>
    <s v="A"/>
    <x v="3"/>
    <x v="0"/>
    <x v="108"/>
    <s v=""/>
    <x v="4"/>
    <x v="2"/>
    <x v="4"/>
    <x v="3"/>
    <x v="0"/>
    <d v="1899-12-30T00:00:00"/>
    <d v="1899-12-30T00:00:00"/>
  </r>
  <r>
    <n v="886"/>
    <x v="0"/>
    <x v="107"/>
    <x v="753"/>
    <m/>
    <x v="4"/>
    <s v="INDIELISBOA"/>
    <m/>
    <x v="1"/>
    <d v="2013-01-31T00:00:00"/>
    <x v="11"/>
    <d v="2013-12-31T00:00:00"/>
    <d v="2013-04-05T00:00:00"/>
    <x v="11"/>
    <x v="3"/>
    <x v="4"/>
    <x v="21"/>
    <x v="0"/>
    <m/>
    <m/>
    <x v="103"/>
    <m/>
    <m/>
    <x v="0"/>
    <x v="0"/>
    <n v="300"/>
    <m/>
    <x v="1"/>
    <n v="0"/>
    <x v="0"/>
    <x v="0"/>
    <m/>
    <m/>
    <x v="0"/>
    <m/>
    <x v="0"/>
    <d v="2013-11-25T00:00:00"/>
    <x v="5"/>
    <x v="15"/>
    <s v="F"/>
    <x v="3"/>
    <x v="0"/>
    <x v="108"/>
    <s v=""/>
    <x v="4"/>
    <x v="2"/>
    <x v="4"/>
    <x v="3"/>
    <x v="0"/>
    <d v="1899-12-30T00:00:00"/>
    <d v="1899-12-30T00:00:00"/>
  </r>
  <r>
    <n v="887"/>
    <x v="0"/>
    <x v="40"/>
    <x v="106"/>
    <m/>
    <x v="4"/>
    <s v="Berlim"/>
    <m/>
    <x v="1"/>
    <d v="2013-01-31T00:00:00"/>
    <x v="11"/>
    <d v="2013-12-31T00:00:00"/>
    <d v="2013-04-05T00:00:00"/>
    <x v="11"/>
    <x v="3"/>
    <x v="4"/>
    <x v="21"/>
    <x v="0"/>
    <m/>
    <m/>
    <x v="45"/>
    <m/>
    <m/>
    <x v="0"/>
    <x v="0"/>
    <n v="10000"/>
    <m/>
    <x v="1"/>
    <n v="0"/>
    <x v="0"/>
    <x v="0"/>
    <m/>
    <m/>
    <x v="0"/>
    <m/>
    <x v="0"/>
    <d v="2013-11-25T00:00:00"/>
    <x v="5"/>
    <x v="10"/>
    <s v="A"/>
    <x v="3"/>
    <x v="0"/>
    <x v="108"/>
    <s v=""/>
    <x v="4"/>
    <x v="2"/>
    <x v="4"/>
    <x v="3"/>
    <x v="0"/>
    <d v="1899-12-30T00:00:00"/>
    <d v="1899-12-30T00:00:00"/>
  </r>
  <r>
    <n v="888"/>
    <x v="0"/>
    <x v="6"/>
    <x v="754"/>
    <m/>
    <x v="4"/>
    <s v="International Film Festival Rotterdam"/>
    <m/>
    <x v="1"/>
    <d v="2011-01-03T00:00:00"/>
    <x v="1"/>
    <d v="2011-12-31T00:00:00"/>
    <d v="2013-04-05T00:00:00"/>
    <x v="11"/>
    <x v="3"/>
    <x v="4"/>
    <x v="21"/>
    <x v="0"/>
    <m/>
    <m/>
    <x v="49"/>
    <n v="1900"/>
    <m/>
    <x v="0"/>
    <x v="0"/>
    <n v="1900"/>
    <m/>
    <x v="1"/>
    <n v="0"/>
    <x v="0"/>
    <x v="0"/>
    <m/>
    <m/>
    <x v="0"/>
    <m/>
    <x v="0"/>
    <d v="2013-07-23T00:00:00"/>
    <x v="5"/>
    <x v="2"/>
    <s v="A"/>
    <x v="3"/>
    <x v="0"/>
    <x v="108"/>
    <s v=""/>
    <x v="4"/>
    <x v="2"/>
    <x v="4"/>
    <x v="3"/>
    <x v="0"/>
    <d v="1899-12-30T00:00:00"/>
    <d v="1899-12-30T00:00:00"/>
  </r>
  <r>
    <n v="889"/>
    <x v="0"/>
    <x v="6"/>
    <x v="754"/>
    <m/>
    <x v="4"/>
    <s v="International Film Festival Rotterdam"/>
    <m/>
    <x v="1"/>
    <d v="2011-01-03T00:00:00"/>
    <x v="1"/>
    <d v="2011-12-31T00:00:00"/>
    <d v="2013-04-05T00:00:00"/>
    <x v="11"/>
    <x v="3"/>
    <x v="4"/>
    <x v="21"/>
    <x v="0"/>
    <m/>
    <m/>
    <x v="103"/>
    <m/>
    <m/>
    <x v="0"/>
    <x v="0"/>
    <n v="300"/>
    <m/>
    <x v="1"/>
    <n v="0"/>
    <x v="0"/>
    <x v="0"/>
    <m/>
    <m/>
    <x v="0"/>
    <m/>
    <x v="0"/>
    <d v="2013-07-23T00:00:00"/>
    <x v="5"/>
    <x v="2"/>
    <s v="A"/>
    <x v="3"/>
    <x v="0"/>
    <x v="108"/>
    <s v=""/>
    <x v="4"/>
    <x v="2"/>
    <x v="4"/>
    <x v="3"/>
    <x v="0"/>
    <d v="1899-12-30T00:00:00"/>
    <d v="1899-12-30T00:00:00"/>
  </r>
  <r>
    <n v="890"/>
    <x v="0"/>
    <x v="14"/>
    <x v="116"/>
    <m/>
    <x v="4"/>
    <s v="FANTASPORTO 2013"/>
    <m/>
    <x v="1"/>
    <d v="2013-01-31T00:00:00"/>
    <x v="11"/>
    <d v="2013-12-31T00:00:00"/>
    <d v="2013-04-05T00:00:00"/>
    <x v="11"/>
    <x v="3"/>
    <x v="4"/>
    <x v="21"/>
    <x v="0"/>
    <m/>
    <m/>
    <x v="101"/>
    <m/>
    <m/>
    <x v="0"/>
    <x v="0"/>
    <n v="500"/>
    <m/>
    <x v="1"/>
    <n v="0"/>
    <x v="0"/>
    <x v="0"/>
    <m/>
    <m/>
    <x v="0"/>
    <m/>
    <x v="0"/>
    <d v="2014-01-20T00:00:00"/>
    <x v="5"/>
    <x v="4"/>
    <s v="A"/>
    <x v="3"/>
    <x v="0"/>
    <x v="108"/>
    <s v=""/>
    <x v="4"/>
    <x v="2"/>
    <x v="4"/>
    <x v="3"/>
    <x v="0"/>
    <d v="1899-12-30T00:00:00"/>
    <d v="1899-12-30T00:00:00"/>
  </r>
  <r>
    <n v="891"/>
    <x v="0"/>
    <x v="40"/>
    <x v="755"/>
    <m/>
    <x v="4"/>
    <s v="Berlim"/>
    <m/>
    <x v="1"/>
    <d v="2013-01-31T00:00:00"/>
    <x v="11"/>
    <d v="2013-12-31T00:00:00"/>
    <d v="2013-04-05T00:00:00"/>
    <x v="11"/>
    <x v="3"/>
    <x v="4"/>
    <x v="21"/>
    <x v="0"/>
    <m/>
    <m/>
    <x v="122"/>
    <m/>
    <m/>
    <x v="0"/>
    <x v="0"/>
    <n v="5000"/>
    <m/>
    <x v="1"/>
    <n v="0"/>
    <x v="0"/>
    <x v="0"/>
    <m/>
    <m/>
    <x v="0"/>
    <m/>
    <x v="0"/>
    <d v="2013-11-25T00:00:00"/>
    <x v="5"/>
    <x v="10"/>
    <s v="T"/>
    <x v="3"/>
    <x v="0"/>
    <x v="108"/>
    <s v=""/>
    <x v="4"/>
    <x v="2"/>
    <x v="4"/>
    <x v="3"/>
    <x v="0"/>
    <d v="1899-12-30T00:00:00"/>
    <d v="1899-12-30T00:00:00"/>
  </r>
  <r>
    <n v="892"/>
    <x v="0"/>
    <x v="40"/>
    <x v="755"/>
    <m/>
    <x v="4"/>
    <s v="Berlim"/>
    <m/>
    <x v="1"/>
    <d v="2013-01-31T00:00:00"/>
    <x v="11"/>
    <d v="2013-12-31T00:00:00"/>
    <d v="2013-04-05T00:00:00"/>
    <x v="11"/>
    <x v="3"/>
    <x v="4"/>
    <x v="21"/>
    <x v="0"/>
    <m/>
    <m/>
    <x v="103"/>
    <m/>
    <m/>
    <x v="0"/>
    <x v="0"/>
    <n v="300"/>
    <m/>
    <x v="1"/>
    <n v="0"/>
    <x v="0"/>
    <x v="0"/>
    <m/>
    <m/>
    <x v="0"/>
    <m/>
    <x v="0"/>
    <d v="2013-12-05T00:00:00"/>
    <x v="5"/>
    <x v="10"/>
    <s v="T"/>
    <x v="3"/>
    <x v="0"/>
    <x v="108"/>
    <s v=""/>
    <x v="4"/>
    <x v="2"/>
    <x v="4"/>
    <x v="3"/>
    <x v="0"/>
    <d v="1899-12-30T00:00:00"/>
    <d v="1899-12-30T00:00:00"/>
  </r>
  <r>
    <n v="893"/>
    <x v="0"/>
    <x v="23"/>
    <x v="756"/>
    <m/>
    <x v="4"/>
    <s v="Berlim"/>
    <m/>
    <x v="1"/>
    <d v="2013-01-31T00:00:00"/>
    <x v="11"/>
    <d v="2013-12-31T00:00:00"/>
    <d v="2013-04-05T00:00:00"/>
    <x v="11"/>
    <x v="3"/>
    <x v="4"/>
    <x v="21"/>
    <x v="0"/>
    <m/>
    <m/>
    <x v="45"/>
    <m/>
    <m/>
    <x v="0"/>
    <x v="0"/>
    <n v="10000"/>
    <m/>
    <x v="1"/>
    <n v="0"/>
    <x v="0"/>
    <x v="0"/>
    <m/>
    <m/>
    <x v="0"/>
    <m/>
    <x v="0"/>
    <d v="2013-11-25T00:00:00"/>
    <x v="5"/>
    <x v="9"/>
    <s v="T"/>
    <x v="3"/>
    <x v="0"/>
    <x v="108"/>
    <s v=""/>
    <x v="4"/>
    <x v="2"/>
    <x v="4"/>
    <x v="3"/>
    <x v="0"/>
    <d v="1899-12-30T00:00:00"/>
    <d v="1899-12-30T00:00:00"/>
  </r>
  <r>
    <n v="894"/>
    <x v="0"/>
    <x v="32"/>
    <x v="757"/>
    <m/>
    <x v="4"/>
    <s v="Berlim"/>
    <m/>
    <x v="1"/>
    <d v="2013-01-31T00:00:00"/>
    <x v="11"/>
    <d v="2013-12-31T00:00:00"/>
    <d v="2013-04-04T00:00:00"/>
    <x v="11"/>
    <x v="3"/>
    <x v="4"/>
    <x v="21"/>
    <x v="0"/>
    <m/>
    <m/>
    <x v="45"/>
    <m/>
    <m/>
    <x v="0"/>
    <x v="0"/>
    <n v="10000"/>
    <m/>
    <x v="1"/>
    <n v="0"/>
    <x v="0"/>
    <x v="0"/>
    <m/>
    <m/>
    <x v="0"/>
    <m/>
    <x v="0"/>
    <d v="2013-11-25T00:00:00"/>
    <x v="5"/>
    <x v="13"/>
    <s v="U"/>
    <x v="3"/>
    <x v="0"/>
    <x v="108"/>
    <s v=""/>
    <x v="4"/>
    <x v="2"/>
    <x v="4"/>
    <x v="3"/>
    <x v="0"/>
    <d v="1899-12-30T00:00:00"/>
    <d v="1899-12-30T00:00:00"/>
  </r>
  <r>
    <n v="895"/>
    <x v="0"/>
    <x v="42"/>
    <x v="758"/>
    <m/>
    <x v="4"/>
    <s v="Festival Internacional de Guadala"/>
    <m/>
    <x v="1"/>
    <d v="2013-01-31T00:00:00"/>
    <x v="11"/>
    <d v="2013-12-31T00:00:00"/>
    <d v="2013-04-04T00:00:00"/>
    <x v="11"/>
    <x v="3"/>
    <x v="4"/>
    <x v="21"/>
    <x v="0"/>
    <m/>
    <m/>
    <x v="49"/>
    <m/>
    <m/>
    <x v="0"/>
    <x v="0"/>
    <n v="2000"/>
    <m/>
    <x v="1"/>
    <n v="0"/>
    <x v="0"/>
    <x v="0"/>
    <m/>
    <m/>
    <x v="0"/>
    <m/>
    <x v="0"/>
    <d v="2013-11-25T00:00:00"/>
    <x v="5"/>
    <x v="14"/>
    <s v="V"/>
    <x v="3"/>
    <x v="0"/>
    <x v="108"/>
    <s v=""/>
    <x v="4"/>
    <x v="2"/>
    <x v="4"/>
    <x v="3"/>
    <x v="0"/>
    <d v="1899-12-30T00:00:00"/>
    <d v="1899-12-30T00:00:00"/>
  </r>
  <r>
    <n v="896"/>
    <x v="0"/>
    <x v="107"/>
    <x v="753"/>
    <m/>
    <x v="4"/>
    <s v="INDIELISBOA"/>
    <m/>
    <x v="1"/>
    <d v="2013-01-31T00:00:00"/>
    <x v="11"/>
    <d v="2013-12-31T00:00:00"/>
    <d v="2013-04-05T00:00:00"/>
    <x v="11"/>
    <x v="3"/>
    <x v="4"/>
    <x v="21"/>
    <x v="0"/>
    <m/>
    <m/>
    <x v="101"/>
    <m/>
    <m/>
    <x v="0"/>
    <x v="0"/>
    <n v="500"/>
    <m/>
    <x v="1"/>
    <n v="0"/>
    <x v="0"/>
    <x v="0"/>
    <m/>
    <m/>
    <x v="0"/>
    <m/>
    <x v="0"/>
    <d v="2013-11-25T00:00:00"/>
    <x v="5"/>
    <x v="15"/>
    <s v="F"/>
    <x v="3"/>
    <x v="0"/>
    <x v="108"/>
    <s v=""/>
    <x v="4"/>
    <x v="2"/>
    <x v="4"/>
    <x v="3"/>
    <x v="0"/>
    <d v="1899-12-30T00:00:00"/>
    <d v="1899-12-30T00:00:00"/>
  </r>
  <r>
    <n v="897"/>
    <x v="0"/>
    <x v="42"/>
    <x v="759"/>
    <m/>
    <x v="4"/>
    <s v="Festival Internacional de Guadala"/>
    <m/>
    <x v="1"/>
    <d v="2013-01-31T00:00:00"/>
    <x v="11"/>
    <d v="2013-12-31T00:00:00"/>
    <d v="2013-04-05T00:00:00"/>
    <x v="11"/>
    <x v="3"/>
    <x v="4"/>
    <x v="21"/>
    <x v="0"/>
    <m/>
    <m/>
    <x v="230"/>
    <m/>
    <m/>
    <x v="0"/>
    <x v="0"/>
    <n v="1958.2"/>
    <m/>
    <x v="1"/>
    <n v="0"/>
    <x v="0"/>
    <x v="0"/>
    <m/>
    <m/>
    <x v="0"/>
    <m/>
    <x v="0"/>
    <d v="2013-11-25T00:00:00"/>
    <x v="5"/>
    <x v="14"/>
    <s v="O"/>
    <x v="3"/>
    <x v="0"/>
    <x v="108"/>
    <s v=""/>
    <x v="4"/>
    <x v="2"/>
    <x v="4"/>
    <x v="3"/>
    <x v="0"/>
    <d v="1899-12-30T00:00:00"/>
    <d v="1899-12-30T00:00:00"/>
  </r>
  <r>
    <n v="898"/>
    <x v="0"/>
    <x v="49"/>
    <x v="423"/>
    <m/>
    <x v="4"/>
    <m/>
    <m/>
    <x v="1"/>
    <d v="2011-01-03T00:00:00"/>
    <x v="1"/>
    <d v="2011-12-31T00:00:00"/>
    <d v="2011-03-21T00:00:00"/>
    <x v="1"/>
    <x v="1"/>
    <x v="2"/>
    <x v="13"/>
    <x v="0"/>
    <m/>
    <m/>
    <x v="45"/>
    <m/>
    <m/>
    <x v="0"/>
    <x v="0"/>
    <n v="10000"/>
    <m/>
    <x v="1"/>
    <n v="0"/>
    <x v="0"/>
    <x v="0"/>
    <m/>
    <m/>
    <x v="0"/>
    <m/>
    <x v="0"/>
    <d v="2013-04-23T00:00:00"/>
    <x v="5"/>
    <x v="0"/>
    <s v="4"/>
    <x v="3"/>
    <x v="0"/>
    <x v="108"/>
    <s v=""/>
    <x v="4"/>
    <x v="2"/>
    <x v="4"/>
    <x v="3"/>
    <x v="0"/>
    <d v="1899-12-30T00:00:00"/>
    <d v="1899-12-30T00:00:00"/>
  </r>
  <r>
    <n v="899"/>
    <x v="0"/>
    <x v="49"/>
    <x v="423"/>
    <m/>
    <x v="4"/>
    <m/>
    <m/>
    <x v="1"/>
    <d v="2011-01-03T00:00:00"/>
    <x v="1"/>
    <d v="2011-12-31T00:00:00"/>
    <d v="2011-08-19T00:00:00"/>
    <x v="1"/>
    <x v="1"/>
    <x v="2"/>
    <x v="13"/>
    <x v="0"/>
    <m/>
    <m/>
    <x v="65"/>
    <m/>
    <m/>
    <x v="0"/>
    <x v="0"/>
    <n v="1000"/>
    <m/>
    <x v="1"/>
    <n v="0"/>
    <x v="0"/>
    <x v="0"/>
    <m/>
    <m/>
    <x v="0"/>
    <m/>
    <x v="0"/>
    <d v="2013-04-23T00:00:00"/>
    <x v="5"/>
    <x v="0"/>
    <s v="4"/>
    <x v="3"/>
    <x v="0"/>
    <x v="108"/>
    <s v=""/>
    <x v="4"/>
    <x v="2"/>
    <x v="4"/>
    <x v="3"/>
    <x v="0"/>
    <d v="1899-12-30T00:00:00"/>
    <d v="1899-12-30T00:00:00"/>
  </r>
  <r>
    <n v="900"/>
    <x v="0"/>
    <x v="11"/>
    <x v="424"/>
    <m/>
    <x v="4"/>
    <m/>
    <m/>
    <x v="1"/>
    <d v="2011-01-03T00:00:00"/>
    <x v="1"/>
    <d v="2011-12-31T00:00:00"/>
    <d v="2011-06-16T00:00:00"/>
    <x v="1"/>
    <x v="1"/>
    <x v="2"/>
    <x v="13"/>
    <x v="0"/>
    <m/>
    <m/>
    <x v="231"/>
    <m/>
    <m/>
    <x v="0"/>
    <x v="0"/>
    <n v="13000"/>
    <m/>
    <x v="1"/>
    <n v="0"/>
    <x v="0"/>
    <x v="0"/>
    <m/>
    <m/>
    <x v="0"/>
    <m/>
    <x v="0"/>
    <d v="2013-04-23T00:00:00"/>
    <x v="5"/>
    <x v="4"/>
    <s v="A"/>
    <x v="3"/>
    <x v="0"/>
    <x v="108"/>
    <s v=""/>
    <x v="4"/>
    <x v="2"/>
    <x v="4"/>
    <x v="3"/>
    <x v="0"/>
    <d v="1899-12-30T00:00:00"/>
    <d v="1899-12-30T00:00:00"/>
  </r>
  <r>
    <n v="901"/>
    <x v="0"/>
    <x v="23"/>
    <x v="103"/>
    <m/>
    <x v="4"/>
    <m/>
    <m/>
    <x v="1"/>
    <d v="2011-01-03T00:00:00"/>
    <x v="1"/>
    <d v="2011-12-31T00:00:00"/>
    <d v="2011-08-19T00:00:00"/>
    <x v="1"/>
    <x v="1"/>
    <x v="2"/>
    <x v="13"/>
    <x v="0"/>
    <m/>
    <m/>
    <x v="122"/>
    <m/>
    <m/>
    <x v="0"/>
    <x v="0"/>
    <n v="5000"/>
    <m/>
    <x v="1"/>
    <n v="0"/>
    <x v="0"/>
    <x v="0"/>
    <m/>
    <m/>
    <x v="0"/>
    <m/>
    <x v="0"/>
    <d v="2013-04-23T00:00:00"/>
    <x v="5"/>
    <x v="9"/>
    <s v="A"/>
    <x v="3"/>
    <x v="0"/>
    <x v="108"/>
    <s v=""/>
    <x v="4"/>
    <x v="2"/>
    <x v="4"/>
    <x v="3"/>
    <x v="0"/>
    <d v="1899-12-30T00:00:00"/>
    <d v="1899-12-30T00:00:00"/>
  </r>
  <r>
    <n v="902"/>
    <x v="0"/>
    <x v="31"/>
    <x v="337"/>
    <m/>
    <x v="4"/>
    <m/>
    <m/>
    <x v="1"/>
    <d v="2011-01-03T00:00:00"/>
    <x v="1"/>
    <d v="2011-12-31T00:00:00"/>
    <d v="2011-01-25T00:00:00"/>
    <x v="1"/>
    <x v="1"/>
    <x v="2"/>
    <x v="13"/>
    <x v="0"/>
    <m/>
    <m/>
    <x v="45"/>
    <m/>
    <m/>
    <x v="0"/>
    <x v="0"/>
    <n v="10000"/>
    <m/>
    <x v="1"/>
    <n v="0"/>
    <x v="0"/>
    <x v="0"/>
    <m/>
    <m/>
    <x v="0"/>
    <m/>
    <x v="0"/>
    <d v="2013-04-23T00:00:00"/>
    <x v="5"/>
    <x v="12"/>
    <s v="B"/>
    <x v="3"/>
    <x v="0"/>
    <x v="108"/>
    <s v=""/>
    <x v="4"/>
    <x v="2"/>
    <x v="4"/>
    <x v="3"/>
    <x v="0"/>
    <d v="1899-12-30T00:00:00"/>
    <d v="1899-12-30T00:00:00"/>
  </r>
  <r>
    <n v="903"/>
    <x v="0"/>
    <x v="106"/>
    <x v="246"/>
    <m/>
    <x v="4"/>
    <m/>
    <m/>
    <x v="1"/>
    <d v="2011-01-03T00:00:00"/>
    <x v="1"/>
    <d v="2011-12-31T00:00:00"/>
    <d v="2011-03-21T00:00:00"/>
    <x v="1"/>
    <x v="1"/>
    <x v="2"/>
    <x v="13"/>
    <x v="0"/>
    <m/>
    <m/>
    <x v="140"/>
    <m/>
    <m/>
    <x v="0"/>
    <x v="0"/>
    <n v="12000"/>
    <m/>
    <x v="1"/>
    <n v="0"/>
    <x v="0"/>
    <x v="0"/>
    <m/>
    <m/>
    <x v="0"/>
    <m/>
    <x v="0"/>
    <d v="2013-04-23T00:00:00"/>
    <x v="5"/>
    <x v="13"/>
    <s v="E"/>
    <x v="3"/>
    <x v="0"/>
    <x v="108"/>
    <s v=""/>
    <x v="4"/>
    <x v="2"/>
    <x v="4"/>
    <x v="3"/>
    <x v="0"/>
    <d v="1899-12-30T00:00:00"/>
    <d v="1899-12-30T00:00:00"/>
  </r>
  <r>
    <n v="904"/>
    <x v="0"/>
    <x v="18"/>
    <x v="261"/>
    <m/>
    <x v="4"/>
    <m/>
    <m/>
    <x v="1"/>
    <d v="2011-01-03T00:00:00"/>
    <x v="1"/>
    <d v="2011-12-31T00:00:00"/>
    <d v="2011-09-14T00:00:00"/>
    <x v="1"/>
    <x v="1"/>
    <x v="2"/>
    <x v="13"/>
    <x v="0"/>
    <m/>
    <m/>
    <x v="81"/>
    <m/>
    <m/>
    <x v="0"/>
    <x v="0"/>
    <n v="15000"/>
    <m/>
    <x v="1"/>
    <n v="0"/>
    <x v="0"/>
    <x v="0"/>
    <m/>
    <m/>
    <x v="0"/>
    <m/>
    <x v="0"/>
    <d v="2013-04-23T00:00:00"/>
    <x v="5"/>
    <x v="8"/>
    <s v="S"/>
    <x v="3"/>
    <x v="0"/>
    <x v="108"/>
    <s v=""/>
    <x v="4"/>
    <x v="2"/>
    <x v="4"/>
    <x v="3"/>
    <x v="0"/>
    <d v="1899-12-30T00:00:00"/>
    <d v="1899-12-30T00:00:00"/>
  </r>
  <r>
    <n v="905"/>
    <x v="0"/>
    <x v="156"/>
    <x v="760"/>
    <m/>
    <x v="4"/>
    <m/>
    <s v="Do Outro Lado do Mundo"/>
    <x v="0"/>
    <d v="2004-07-16T00:00:00"/>
    <x v="5"/>
    <d v="2004-09-17T00:00:00"/>
    <d v="2005-02-24T00:00:00"/>
    <x v="6"/>
    <x v="0"/>
    <x v="0"/>
    <x v="0"/>
    <x v="0"/>
    <m/>
    <m/>
    <x v="23"/>
    <m/>
    <m/>
    <x v="0"/>
    <x v="0"/>
    <n v="650000"/>
    <m/>
    <x v="1"/>
    <n v="0"/>
    <x v="7"/>
    <x v="0"/>
    <m/>
    <m/>
    <x v="0"/>
    <m/>
    <x v="0"/>
    <d v="2013-05-24T00:00:00"/>
    <x v="0"/>
    <x v="2"/>
    <s v="D"/>
    <x v="3"/>
    <x v="0"/>
    <x v="360"/>
    <s v=""/>
    <x v="4"/>
    <x v="2"/>
    <x v="0"/>
    <x v="0"/>
    <x v="0"/>
    <d v="1899-12-30T00:00:00"/>
    <d v="1899-12-30T00:00:00"/>
  </r>
  <r>
    <n v="906"/>
    <x v="0"/>
    <x v="19"/>
    <x v="761"/>
    <m/>
    <x v="4"/>
    <m/>
    <m/>
    <x v="1"/>
    <d v="2004-05-03T00:00:00"/>
    <x v="5"/>
    <m/>
    <d v="2006-03-13T00:00:00"/>
    <x v="4"/>
    <x v="0"/>
    <x v="1"/>
    <x v="7"/>
    <x v="3"/>
    <m/>
    <m/>
    <x v="81"/>
    <m/>
    <m/>
    <x v="0"/>
    <x v="0"/>
    <n v="15000"/>
    <m/>
    <x v="1"/>
    <n v="0"/>
    <x v="0"/>
    <x v="0"/>
    <m/>
    <m/>
    <x v="0"/>
    <m/>
    <x v="0"/>
    <d v="2013-05-24T00:00:00"/>
    <x v="5"/>
    <x v="8"/>
    <s v="U"/>
    <x v="3"/>
    <x v="0"/>
    <x v="108"/>
    <s v=""/>
    <x v="4"/>
    <x v="2"/>
    <x v="4"/>
    <x v="3"/>
    <x v="0"/>
    <d v="1899-12-30T00:00:00"/>
    <d v="1899-12-30T00:00:00"/>
  </r>
  <r>
    <n v="907"/>
    <x v="0"/>
    <x v="181"/>
    <x v="762"/>
    <m/>
    <x v="4"/>
    <m/>
    <m/>
    <x v="1"/>
    <d v="2004-05-03T00:00:00"/>
    <x v="5"/>
    <m/>
    <d v="2006-03-13T00:00:00"/>
    <x v="4"/>
    <x v="0"/>
    <x v="1"/>
    <x v="7"/>
    <x v="3"/>
    <m/>
    <d v="2006-07-17T00:00:00"/>
    <x v="81"/>
    <m/>
    <m/>
    <x v="0"/>
    <x v="0"/>
    <n v="15000"/>
    <m/>
    <x v="1"/>
    <n v="0"/>
    <x v="0"/>
    <x v="0"/>
    <m/>
    <m/>
    <x v="0"/>
    <d v="2006-07-21T00:00:00"/>
    <x v="0"/>
    <d v="2013-05-24T00:00:00"/>
    <x v="5"/>
    <x v="2"/>
    <s v="P"/>
    <x v="8"/>
    <x v="0"/>
    <x v="108"/>
    <s v=""/>
    <x v="4"/>
    <x v="2"/>
    <x v="4"/>
    <x v="3"/>
    <x v="0"/>
    <d v="1899-12-30T00:00:00"/>
    <d v="1899-12-30T00:00:00"/>
  </r>
  <r>
    <n v="908"/>
    <x v="0"/>
    <x v="175"/>
    <x v="763"/>
    <m/>
    <x v="4"/>
    <m/>
    <m/>
    <x v="1"/>
    <d v="2004-05-03T00:00:00"/>
    <x v="5"/>
    <m/>
    <d v="2006-03-13T00:00:00"/>
    <x v="4"/>
    <x v="0"/>
    <x v="1"/>
    <x v="7"/>
    <x v="3"/>
    <m/>
    <d v="2006-06-08T00:00:00"/>
    <x v="81"/>
    <m/>
    <m/>
    <x v="0"/>
    <x v="0"/>
    <n v="15000"/>
    <m/>
    <x v="1"/>
    <n v="0"/>
    <x v="0"/>
    <x v="0"/>
    <m/>
    <m/>
    <x v="0"/>
    <d v="2007-08-03T00:00:00"/>
    <x v="0"/>
    <d v="2013-05-24T00:00:00"/>
    <x v="5"/>
    <x v="0"/>
    <s v="R"/>
    <x v="14"/>
    <x v="0"/>
    <x v="108"/>
    <s v=""/>
    <x v="4"/>
    <x v="2"/>
    <x v="4"/>
    <x v="3"/>
    <x v="0"/>
    <d v="1899-12-30T00:00:00"/>
    <d v="1899-12-30T00:00:00"/>
  </r>
  <r>
    <n v="909"/>
    <x v="0"/>
    <x v="182"/>
    <x v="764"/>
    <m/>
    <x v="4"/>
    <m/>
    <m/>
    <x v="1"/>
    <d v="2004-05-03T00:00:00"/>
    <x v="5"/>
    <m/>
    <d v="2006-03-13T00:00:00"/>
    <x v="4"/>
    <x v="0"/>
    <x v="1"/>
    <x v="7"/>
    <x v="3"/>
    <m/>
    <d v="2006-06-01T00:00:00"/>
    <x v="81"/>
    <m/>
    <m/>
    <x v="0"/>
    <x v="0"/>
    <n v="15000"/>
    <m/>
    <x v="1"/>
    <n v="0"/>
    <x v="0"/>
    <x v="0"/>
    <m/>
    <m/>
    <x v="0"/>
    <d v="2007-10-19T00:00:00"/>
    <x v="0"/>
    <d v="2013-05-24T00:00:00"/>
    <x v="5"/>
    <x v="11"/>
    <s v="D"/>
    <x v="14"/>
    <x v="0"/>
    <x v="108"/>
    <s v=""/>
    <x v="4"/>
    <x v="2"/>
    <x v="4"/>
    <x v="3"/>
    <x v="0"/>
    <d v="1899-12-30T00:00:00"/>
    <d v="1899-12-30T00:00:00"/>
  </r>
  <r>
    <n v="910"/>
    <x v="0"/>
    <x v="183"/>
    <x v="765"/>
    <m/>
    <x v="4"/>
    <m/>
    <m/>
    <x v="1"/>
    <d v="2004-05-03T00:00:00"/>
    <x v="5"/>
    <m/>
    <d v="2006-03-13T00:00:00"/>
    <x v="4"/>
    <x v="0"/>
    <x v="1"/>
    <x v="7"/>
    <x v="3"/>
    <m/>
    <d v="2006-08-04T00:00:00"/>
    <x v="81"/>
    <m/>
    <m/>
    <x v="0"/>
    <x v="0"/>
    <n v="15000"/>
    <m/>
    <x v="1"/>
    <n v="0"/>
    <x v="0"/>
    <x v="0"/>
    <m/>
    <m/>
    <x v="0"/>
    <d v="2007-06-30T00:00:00"/>
    <x v="0"/>
    <d v="2013-05-24T00:00:00"/>
    <x v="5"/>
    <x v="17"/>
    <s v="A"/>
    <x v="14"/>
    <x v="0"/>
    <x v="108"/>
    <s v=""/>
    <x v="4"/>
    <x v="2"/>
    <x v="4"/>
    <x v="3"/>
    <x v="0"/>
    <d v="1899-12-30T00:00:00"/>
    <d v="1899-12-30T00:00:00"/>
  </r>
  <r>
    <n v="911"/>
    <x v="0"/>
    <x v="184"/>
    <x v="766"/>
    <m/>
    <x v="4"/>
    <m/>
    <m/>
    <x v="1"/>
    <d v="2004-05-03T00:00:00"/>
    <x v="5"/>
    <m/>
    <d v="2006-03-13T00:00:00"/>
    <x v="4"/>
    <x v="0"/>
    <x v="1"/>
    <x v="7"/>
    <x v="3"/>
    <m/>
    <d v="2006-07-17T00:00:00"/>
    <x v="81"/>
    <m/>
    <m/>
    <x v="0"/>
    <x v="0"/>
    <n v="15000"/>
    <m/>
    <x v="1"/>
    <n v="0"/>
    <x v="0"/>
    <x v="0"/>
    <m/>
    <m/>
    <x v="0"/>
    <d v="2007-04-19T00:00:00"/>
    <x v="0"/>
    <d v="2013-05-24T00:00:00"/>
    <x v="5"/>
    <x v="8"/>
    <s v="G"/>
    <x v="14"/>
    <x v="0"/>
    <x v="108"/>
    <s v=""/>
    <x v="4"/>
    <x v="2"/>
    <x v="4"/>
    <x v="3"/>
    <x v="0"/>
    <d v="1899-12-30T00:00:00"/>
    <d v="1899-12-30T00:00:00"/>
  </r>
  <r>
    <n v="912"/>
    <x v="0"/>
    <x v="41"/>
    <x v="767"/>
    <m/>
    <x v="4"/>
    <m/>
    <m/>
    <x v="1"/>
    <d v="2004-05-03T00:00:00"/>
    <x v="5"/>
    <m/>
    <d v="2004-10-24T00:00:00"/>
    <x v="5"/>
    <x v="0"/>
    <x v="0"/>
    <x v="10"/>
    <x v="0"/>
    <m/>
    <m/>
    <x v="156"/>
    <m/>
    <m/>
    <x v="0"/>
    <x v="0"/>
    <n v="200000"/>
    <m/>
    <x v="1"/>
    <n v="0"/>
    <x v="7"/>
    <x v="0"/>
    <m/>
    <m/>
    <x v="0"/>
    <m/>
    <x v="0"/>
    <d v="2013-05-27T00:00:00"/>
    <x v="5"/>
    <x v="13"/>
    <s v="M"/>
    <x v="3"/>
    <x v="0"/>
    <x v="361"/>
    <s v=""/>
    <x v="4"/>
    <x v="2"/>
    <x v="4"/>
    <x v="3"/>
    <x v="0"/>
    <d v="1899-12-30T00:00:00"/>
    <d v="1899-12-30T00:00:00"/>
  </r>
  <r>
    <n v="913"/>
    <x v="0"/>
    <x v="29"/>
    <x v="768"/>
    <m/>
    <x v="4"/>
    <m/>
    <m/>
    <x v="1"/>
    <d v="2004-07-28T00:00:00"/>
    <x v="5"/>
    <m/>
    <d v="2004-11-26T00:00:00"/>
    <x v="5"/>
    <x v="0"/>
    <x v="0"/>
    <x v="6"/>
    <x v="0"/>
    <m/>
    <m/>
    <x v="232"/>
    <m/>
    <m/>
    <x v="0"/>
    <x v="0"/>
    <n v="58049.54"/>
    <m/>
    <x v="1"/>
    <n v="0"/>
    <x v="7"/>
    <x v="0"/>
    <m/>
    <m/>
    <x v="0"/>
    <m/>
    <x v="0"/>
    <d v="2013-05-27T00:00:00"/>
    <x v="5"/>
    <x v="11"/>
    <s v="B"/>
    <x v="3"/>
    <x v="0"/>
    <x v="362"/>
    <s v=""/>
    <x v="4"/>
    <x v="2"/>
    <x v="4"/>
    <x v="3"/>
    <x v="0"/>
    <d v="1899-12-30T00:00:00"/>
    <d v="1899-12-30T00:00:00"/>
  </r>
  <r>
    <n v="914"/>
    <x v="0"/>
    <x v="137"/>
    <x v="234"/>
    <m/>
    <x v="4"/>
    <m/>
    <m/>
    <x v="1"/>
    <d v="2004-09-17T00:00:00"/>
    <x v="5"/>
    <m/>
    <d v="2005-05-20T00:00:00"/>
    <x v="6"/>
    <x v="0"/>
    <x v="0"/>
    <x v="3"/>
    <x v="0"/>
    <m/>
    <m/>
    <x v="9"/>
    <m/>
    <m/>
    <x v="0"/>
    <x v="0"/>
    <n v="45000"/>
    <m/>
    <x v="1"/>
    <n v="0"/>
    <x v="7"/>
    <x v="0"/>
    <m/>
    <m/>
    <x v="0"/>
    <m/>
    <x v="0"/>
    <d v="2013-05-27T00:00:00"/>
    <x v="5"/>
    <x v="2"/>
    <s v="A"/>
    <x v="3"/>
    <x v="0"/>
    <x v="118"/>
    <s v=""/>
    <x v="4"/>
    <x v="2"/>
    <x v="4"/>
    <x v="3"/>
    <x v="0"/>
    <d v="1899-12-30T00:00:00"/>
    <d v="1899-12-30T00:00:00"/>
  </r>
  <r>
    <n v="915"/>
    <x v="0"/>
    <x v="41"/>
    <x v="769"/>
    <m/>
    <x v="4"/>
    <m/>
    <m/>
    <x v="1"/>
    <d v="2004-05-03T00:00:00"/>
    <x v="5"/>
    <m/>
    <d v="2005-02-22T00:00:00"/>
    <x v="6"/>
    <x v="0"/>
    <x v="1"/>
    <x v="5"/>
    <x v="2"/>
    <m/>
    <d v="2006-07-17T00:00:00"/>
    <x v="122"/>
    <m/>
    <m/>
    <x v="0"/>
    <x v="0"/>
    <n v="5000"/>
    <m/>
    <x v="1"/>
    <n v="0"/>
    <x v="0"/>
    <x v="0"/>
    <m/>
    <m/>
    <x v="0"/>
    <d v="2006-07-21T00:00:00"/>
    <x v="0"/>
    <d v="2013-05-27T00:00:00"/>
    <x v="4"/>
    <x v="13"/>
    <s v="A"/>
    <x v="8"/>
    <x v="0"/>
    <x v="108"/>
    <s v=""/>
    <x v="4"/>
    <x v="2"/>
    <x v="3"/>
    <x v="3"/>
    <x v="0"/>
    <d v="1899-12-30T00:00:00"/>
    <d v="1899-12-30T00:00:00"/>
  </r>
  <r>
    <n v="916"/>
    <x v="0"/>
    <x v="132"/>
    <x v="770"/>
    <m/>
    <x v="4"/>
    <m/>
    <m/>
    <x v="1"/>
    <d v="2004-05-03T00:00:00"/>
    <x v="5"/>
    <m/>
    <d v="2005-02-22T00:00:00"/>
    <x v="6"/>
    <x v="0"/>
    <x v="1"/>
    <x v="5"/>
    <x v="2"/>
    <m/>
    <d v="2005-04-06T00:00:00"/>
    <x v="122"/>
    <m/>
    <m/>
    <x v="0"/>
    <x v="0"/>
    <n v="5000"/>
    <m/>
    <x v="1"/>
    <n v="0"/>
    <x v="0"/>
    <x v="0"/>
    <m/>
    <m/>
    <x v="0"/>
    <d v="2005-08-10T00:00:00"/>
    <x v="0"/>
    <d v="2013-05-27T00:00:00"/>
    <x v="4"/>
    <x v="7"/>
    <s v="A"/>
    <x v="15"/>
    <x v="0"/>
    <x v="108"/>
    <s v=""/>
    <x v="4"/>
    <x v="2"/>
    <x v="3"/>
    <x v="3"/>
    <x v="0"/>
    <d v="1899-12-30T00:00:00"/>
    <d v="1899-12-30T00:00:00"/>
  </r>
  <r>
    <n v="917"/>
    <x v="0"/>
    <x v="126"/>
    <x v="771"/>
    <m/>
    <x v="4"/>
    <m/>
    <m/>
    <x v="1"/>
    <d v="2004-05-03T00:00:00"/>
    <x v="5"/>
    <m/>
    <d v="2005-02-22T00:00:00"/>
    <x v="6"/>
    <x v="0"/>
    <x v="1"/>
    <x v="5"/>
    <x v="2"/>
    <m/>
    <d v="2005-04-12T00:00:00"/>
    <x v="122"/>
    <m/>
    <m/>
    <x v="0"/>
    <x v="0"/>
    <n v="5000"/>
    <m/>
    <x v="1"/>
    <n v="0"/>
    <x v="0"/>
    <x v="0"/>
    <m/>
    <m/>
    <x v="0"/>
    <d v="2005-07-13T00:00:00"/>
    <x v="0"/>
    <d v="2013-05-27T00:00:00"/>
    <x v="4"/>
    <x v="22"/>
    <s v="E"/>
    <x v="15"/>
    <x v="0"/>
    <x v="108"/>
    <s v=""/>
    <x v="4"/>
    <x v="2"/>
    <x v="3"/>
    <x v="3"/>
    <x v="0"/>
    <d v="1899-12-30T00:00:00"/>
    <d v="1899-12-30T00:00:00"/>
  </r>
  <r>
    <n v="918"/>
    <x v="0"/>
    <x v="156"/>
    <x v="772"/>
    <m/>
    <x v="4"/>
    <m/>
    <m/>
    <x v="1"/>
    <d v="2004-05-03T00:00:00"/>
    <x v="5"/>
    <m/>
    <d v="2005-02-22T00:00:00"/>
    <x v="6"/>
    <x v="0"/>
    <x v="1"/>
    <x v="5"/>
    <x v="2"/>
    <m/>
    <d v="2005-03-23T00:00:00"/>
    <x v="122"/>
    <m/>
    <m/>
    <x v="0"/>
    <x v="0"/>
    <n v="5000"/>
    <m/>
    <x v="1"/>
    <n v="0"/>
    <x v="0"/>
    <x v="0"/>
    <m/>
    <m/>
    <x v="0"/>
    <d v="2005-09-22T00:00:00"/>
    <x v="0"/>
    <d v="2013-05-27T00:00:00"/>
    <x v="4"/>
    <x v="2"/>
    <s v="U"/>
    <x v="15"/>
    <x v="0"/>
    <x v="108"/>
    <s v=""/>
    <x v="4"/>
    <x v="2"/>
    <x v="3"/>
    <x v="3"/>
    <x v="0"/>
    <d v="1899-12-30T00:00:00"/>
    <d v="1899-12-30T00:00:00"/>
  </r>
  <r>
    <n v="919"/>
    <x v="0"/>
    <x v="185"/>
    <x v="773"/>
    <m/>
    <x v="4"/>
    <m/>
    <m/>
    <x v="1"/>
    <d v="2004-05-03T00:00:00"/>
    <x v="5"/>
    <m/>
    <d v="2005-02-22T00:00:00"/>
    <x v="6"/>
    <x v="0"/>
    <x v="1"/>
    <x v="5"/>
    <x v="2"/>
    <m/>
    <d v="2005-04-06T00:00:00"/>
    <x v="122"/>
    <m/>
    <m/>
    <x v="0"/>
    <x v="0"/>
    <n v="5000"/>
    <m/>
    <x v="1"/>
    <n v="0"/>
    <x v="0"/>
    <x v="0"/>
    <m/>
    <m/>
    <x v="0"/>
    <d v="2006-03-20T00:00:00"/>
    <x v="0"/>
    <d v="2013-05-27T00:00:00"/>
    <x v="4"/>
    <x v="20"/>
    <s v="M"/>
    <x v="8"/>
    <x v="0"/>
    <x v="108"/>
    <s v=""/>
    <x v="4"/>
    <x v="2"/>
    <x v="3"/>
    <x v="3"/>
    <x v="0"/>
    <d v="1899-12-30T00:00:00"/>
    <d v="1899-12-30T00:00:00"/>
  </r>
  <r>
    <n v="920"/>
    <x v="0"/>
    <x v="162"/>
    <x v="774"/>
    <m/>
    <x v="4"/>
    <m/>
    <m/>
    <x v="1"/>
    <d v="2004-11-26T00:00:00"/>
    <x v="5"/>
    <m/>
    <d v="2005-08-03T00:00:00"/>
    <x v="6"/>
    <x v="0"/>
    <x v="0"/>
    <x v="4"/>
    <x v="0"/>
    <m/>
    <m/>
    <x v="75"/>
    <m/>
    <m/>
    <x v="0"/>
    <x v="0"/>
    <n v="40000"/>
    <m/>
    <x v="1"/>
    <n v="0"/>
    <x v="7"/>
    <x v="0"/>
    <m/>
    <m/>
    <x v="0"/>
    <m/>
    <x v="0"/>
    <m/>
    <x v="3"/>
    <x v="0"/>
    <s v="D"/>
    <x v="3"/>
    <x v="0"/>
    <x v="50"/>
    <s v=""/>
    <x v="4"/>
    <x v="2"/>
    <x v="2"/>
    <x v="3"/>
    <x v="0"/>
    <d v="1899-12-30T00:00:00"/>
    <d v="1899-12-30T00:00:00"/>
  </r>
  <r>
    <n v="921"/>
    <x v="0"/>
    <x v="13"/>
    <x v="775"/>
    <m/>
    <x v="4"/>
    <m/>
    <m/>
    <x v="1"/>
    <d v="2004-09-26T00:00:00"/>
    <x v="5"/>
    <m/>
    <d v="2005-07-15T00:00:00"/>
    <x v="6"/>
    <x v="0"/>
    <x v="0"/>
    <x v="26"/>
    <x v="0"/>
    <m/>
    <m/>
    <x v="80"/>
    <m/>
    <m/>
    <x v="0"/>
    <x v="0"/>
    <n v="50000"/>
    <m/>
    <x v="1"/>
    <n v="0"/>
    <x v="7"/>
    <x v="0"/>
    <m/>
    <m/>
    <x v="0"/>
    <m/>
    <x v="0"/>
    <m/>
    <x v="3"/>
    <x v="4"/>
    <s v="V"/>
    <x v="3"/>
    <x v="0"/>
    <x v="32"/>
    <s v=""/>
    <x v="4"/>
    <x v="2"/>
    <x v="2"/>
    <x v="3"/>
    <x v="0"/>
    <d v="1899-12-30T00:00:00"/>
    <d v="1899-12-30T00:00:00"/>
  </r>
  <r>
    <n v="922"/>
    <x v="0"/>
    <x v="159"/>
    <x v="776"/>
    <m/>
    <x v="4"/>
    <m/>
    <s v="A Passagem"/>
    <x v="1"/>
    <d v="2004-06-11T00:00:00"/>
    <x v="5"/>
    <m/>
    <d v="2005-02-21T00:00:00"/>
    <x v="6"/>
    <x v="0"/>
    <x v="0"/>
    <x v="1"/>
    <x v="0"/>
    <m/>
    <m/>
    <x v="233"/>
    <m/>
    <m/>
    <x v="0"/>
    <x v="0"/>
    <n v="59080"/>
    <m/>
    <x v="1"/>
    <n v="0"/>
    <x v="7"/>
    <x v="0"/>
    <m/>
    <m/>
    <x v="0"/>
    <m/>
    <x v="0"/>
    <m/>
    <x v="1"/>
    <x v="0"/>
    <s v="B"/>
    <x v="3"/>
    <x v="0"/>
    <x v="363"/>
    <s v=""/>
    <x v="4"/>
    <x v="2"/>
    <x v="1"/>
    <x v="1"/>
    <x v="0"/>
    <d v="1899-12-30T00:00:00"/>
    <d v="1899-12-30T00:00:00"/>
  </r>
  <r>
    <n v="923"/>
    <x v="0"/>
    <x v="2"/>
    <x v="777"/>
    <m/>
    <x v="4"/>
    <m/>
    <m/>
    <x v="1"/>
    <d v="2004-11-26T00:00:00"/>
    <x v="5"/>
    <m/>
    <d v="2005-05-11T00:00:00"/>
    <x v="6"/>
    <x v="0"/>
    <x v="1"/>
    <x v="2"/>
    <x v="1"/>
    <m/>
    <d v="2005-07-05T00:00:00"/>
    <x v="234"/>
    <m/>
    <m/>
    <x v="0"/>
    <x v="0"/>
    <n v="17500"/>
    <m/>
    <x v="1"/>
    <n v="0"/>
    <x v="0"/>
    <x v="0"/>
    <m/>
    <m/>
    <x v="0"/>
    <d v="2006-02-21T00:00:00"/>
    <x v="0"/>
    <m/>
    <x v="1"/>
    <x v="0"/>
    <s v="E"/>
    <x v="8"/>
    <x v="0"/>
    <x v="108"/>
    <s v=""/>
    <x v="4"/>
    <x v="2"/>
    <x v="1"/>
    <x v="0"/>
    <x v="0"/>
    <d v="1899-12-30T00:00:00"/>
    <d v="1899-12-30T00:00:00"/>
  </r>
  <r>
    <n v="924"/>
    <x v="0"/>
    <x v="44"/>
    <x v="778"/>
    <m/>
    <x v="4"/>
    <m/>
    <m/>
    <x v="1"/>
    <d v="2004-11-26T00:00:00"/>
    <x v="5"/>
    <m/>
    <d v="2005-05-11T00:00:00"/>
    <x v="6"/>
    <x v="0"/>
    <x v="1"/>
    <x v="2"/>
    <x v="1"/>
    <m/>
    <d v="2006-01-18T00:00:00"/>
    <x v="234"/>
    <m/>
    <m/>
    <x v="0"/>
    <x v="0"/>
    <n v="17500"/>
    <m/>
    <x v="1"/>
    <n v="0"/>
    <x v="0"/>
    <x v="0"/>
    <m/>
    <m/>
    <x v="0"/>
    <d v="2006-07-16T00:00:00"/>
    <x v="0"/>
    <m/>
    <x v="1"/>
    <x v="16"/>
    <s v="M"/>
    <x v="8"/>
    <x v="0"/>
    <x v="108"/>
    <s v=""/>
    <x v="4"/>
    <x v="2"/>
    <x v="1"/>
    <x v="0"/>
    <x v="0"/>
    <d v="1899-12-30T00:00:00"/>
    <d v="1899-12-30T00:00:00"/>
  </r>
  <r>
    <n v="925"/>
    <x v="0"/>
    <x v="118"/>
    <x v="779"/>
    <m/>
    <x v="4"/>
    <m/>
    <m/>
    <x v="1"/>
    <d v="2004-05-26T00:00:00"/>
    <x v="5"/>
    <m/>
    <d v="2004-07-26T00:00:00"/>
    <x v="5"/>
    <x v="0"/>
    <x v="0"/>
    <x v="14"/>
    <x v="0"/>
    <m/>
    <m/>
    <x v="174"/>
    <m/>
    <m/>
    <x v="0"/>
    <x v="0"/>
    <n v="0"/>
    <m/>
    <x v="1"/>
    <n v="0"/>
    <x v="13"/>
    <x v="0"/>
    <m/>
    <m/>
    <x v="0"/>
    <m/>
    <x v="0"/>
    <m/>
    <x v="5"/>
    <x v="8"/>
    <s v=""/>
    <x v="3"/>
    <x v="1"/>
    <x v="108"/>
    <s v=""/>
    <x v="4"/>
    <x v="2"/>
    <x v="4"/>
    <x v="3"/>
    <x v="0"/>
    <d v="1899-12-30T00:00:00"/>
    <d v="1899-12-30T00:00:00"/>
  </r>
  <r>
    <n v="926"/>
    <x v="0"/>
    <x v="186"/>
    <x v="779"/>
    <m/>
    <x v="4"/>
    <m/>
    <m/>
    <x v="1"/>
    <d v="2004-05-26T00:00:00"/>
    <x v="5"/>
    <m/>
    <d v="2004-07-26T00:00:00"/>
    <x v="5"/>
    <x v="0"/>
    <x v="0"/>
    <x v="14"/>
    <x v="0"/>
    <m/>
    <m/>
    <x v="174"/>
    <m/>
    <m/>
    <x v="0"/>
    <x v="0"/>
    <n v="0"/>
    <m/>
    <x v="1"/>
    <n v="0"/>
    <x v="13"/>
    <x v="0"/>
    <m/>
    <m/>
    <x v="0"/>
    <m/>
    <x v="0"/>
    <m/>
    <x v="5"/>
    <x v="19"/>
    <s v=""/>
    <x v="3"/>
    <x v="1"/>
    <x v="108"/>
    <s v=""/>
    <x v="4"/>
    <x v="2"/>
    <x v="4"/>
    <x v="3"/>
    <x v="0"/>
    <d v="1899-12-30T00:00:00"/>
    <d v="1899-12-30T00:00:00"/>
  </r>
  <r>
    <n v="927"/>
    <x v="0"/>
    <x v="10"/>
    <x v="780"/>
    <m/>
    <x v="4"/>
    <s v="Automático"/>
    <m/>
    <x v="1"/>
    <d v="2004-05-26T00:00:00"/>
    <x v="5"/>
    <m/>
    <d v="2004-07-26T00:00:00"/>
    <x v="5"/>
    <x v="0"/>
    <x v="1"/>
    <x v="15"/>
    <x v="0"/>
    <m/>
    <d v="2004-09-07T00:00:00"/>
    <x v="235"/>
    <m/>
    <m/>
    <x v="0"/>
    <x v="0"/>
    <n v="14350"/>
    <m/>
    <x v="1"/>
    <n v="0"/>
    <x v="0"/>
    <x v="0"/>
    <m/>
    <m/>
    <x v="0"/>
    <m/>
    <x v="0"/>
    <m/>
    <x v="5"/>
    <x v="4"/>
    <s v="C"/>
    <x v="3"/>
    <x v="0"/>
    <x v="108"/>
    <s v=""/>
    <x v="4"/>
    <x v="2"/>
    <x v="4"/>
    <x v="3"/>
    <x v="0"/>
    <d v="1899-12-30T00:00:00"/>
    <d v="1899-12-30T00:00:00"/>
  </r>
  <r>
    <n v="928"/>
    <x v="0"/>
    <x v="187"/>
    <x v="779"/>
    <m/>
    <x v="4"/>
    <m/>
    <m/>
    <x v="1"/>
    <d v="2004-05-26T00:00:00"/>
    <x v="5"/>
    <m/>
    <d v="2004-07-26T00:00:00"/>
    <x v="5"/>
    <x v="0"/>
    <x v="0"/>
    <x v="14"/>
    <x v="0"/>
    <m/>
    <m/>
    <x v="174"/>
    <m/>
    <m/>
    <x v="0"/>
    <x v="0"/>
    <n v="0"/>
    <m/>
    <x v="1"/>
    <n v="0"/>
    <x v="13"/>
    <x v="0"/>
    <m/>
    <m/>
    <x v="0"/>
    <m/>
    <x v="0"/>
    <m/>
    <x v="5"/>
    <x v="7"/>
    <s v=""/>
    <x v="3"/>
    <x v="1"/>
    <x v="108"/>
    <s v=""/>
    <x v="4"/>
    <x v="2"/>
    <x v="4"/>
    <x v="3"/>
    <x v="0"/>
    <d v="1899-12-30T00:00:00"/>
    <d v="1899-12-30T00:00:00"/>
  </r>
  <r>
    <n v="929"/>
    <x v="0"/>
    <x v="186"/>
    <x v="779"/>
    <m/>
    <x v="4"/>
    <m/>
    <m/>
    <x v="1"/>
    <d v="2004-05-26T00:00:00"/>
    <x v="5"/>
    <m/>
    <d v="2004-07-26T00:00:00"/>
    <x v="5"/>
    <x v="0"/>
    <x v="0"/>
    <x v="14"/>
    <x v="0"/>
    <m/>
    <m/>
    <x v="174"/>
    <m/>
    <m/>
    <x v="0"/>
    <x v="0"/>
    <n v="0"/>
    <m/>
    <x v="1"/>
    <n v="0"/>
    <x v="13"/>
    <x v="0"/>
    <m/>
    <m/>
    <x v="0"/>
    <m/>
    <x v="0"/>
    <m/>
    <x v="5"/>
    <x v="19"/>
    <s v=""/>
    <x v="3"/>
    <x v="1"/>
    <x v="108"/>
    <s v=""/>
    <x v="4"/>
    <x v="2"/>
    <x v="4"/>
    <x v="3"/>
    <x v="0"/>
    <d v="1899-12-30T00:00:00"/>
    <d v="1899-12-30T00:00:00"/>
  </r>
  <r>
    <n v="930"/>
    <x v="0"/>
    <x v="10"/>
    <x v="132"/>
    <m/>
    <x v="4"/>
    <s v="Automático"/>
    <m/>
    <x v="1"/>
    <d v="2004-05-26T00:00:00"/>
    <x v="5"/>
    <m/>
    <d v="2004-07-27T00:00:00"/>
    <x v="5"/>
    <x v="0"/>
    <x v="1"/>
    <x v="15"/>
    <x v="4"/>
    <m/>
    <d v="2006-05-15T00:00:00"/>
    <x v="236"/>
    <m/>
    <m/>
    <x v="0"/>
    <x v="0"/>
    <n v="9760"/>
    <m/>
    <x v="1"/>
    <n v="0"/>
    <x v="0"/>
    <x v="0"/>
    <m/>
    <m/>
    <x v="0"/>
    <m/>
    <x v="0"/>
    <m/>
    <x v="5"/>
    <x v="4"/>
    <s v="D"/>
    <x v="3"/>
    <x v="0"/>
    <x v="108"/>
    <s v=""/>
    <x v="4"/>
    <x v="2"/>
    <x v="4"/>
    <x v="3"/>
    <x v="0"/>
    <d v="1899-12-30T00:00:00"/>
    <d v="1899-12-30T00:00:00"/>
  </r>
  <r>
    <n v="931"/>
    <x v="0"/>
    <x v="10"/>
    <x v="31"/>
    <m/>
    <x v="4"/>
    <s v="Automático"/>
    <m/>
    <x v="1"/>
    <d v="2004-05-26T00:00:00"/>
    <x v="5"/>
    <m/>
    <d v="2004-07-26T00:00:00"/>
    <x v="5"/>
    <x v="0"/>
    <x v="1"/>
    <x v="15"/>
    <x v="0"/>
    <m/>
    <d v="2004-09-07T00:00:00"/>
    <x v="235"/>
    <m/>
    <m/>
    <x v="0"/>
    <x v="0"/>
    <n v="14350"/>
    <m/>
    <x v="1"/>
    <n v="0"/>
    <x v="0"/>
    <x v="0"/>
    <m/>
    <m/>
    <x v="0"/>
    <m/>
    <x v="0"/>
    <m/>
    <x v="5"/>
    <x v="4"/>
    <s v="G"/>
    <x v="3"/>
    <x v="0"/>
    <x v="108"/>
    <s v=""/>
    <x v="4"/>
    <x v="2"/>
    <x v="4"/>
    <x v="3"/>
    <x v="0"/>
    <d v="1899-12-30T00:00:00"/>
    <d v="1899-12-30T00:00:00"/>
  </r>
  <r>
    <n v="932"/>
    <x v="0"/>
    <x v="10"/>
    <x v="781"/>
    <m/>
    <x v="4"/>
    <s v="Automático"/>
    <m/>
    <x v="1"/>
    <d v="2004-05-26T00:00:00"/>
    <x v="5"/>
    <m/>
    <d v="2004-07-26T00:00:00"/>
    <x v="5"/>
    <x v="0"/>
    <x v="1"/>
    <x v="15"/>
    <x v="0"/>
    <m/>
    <d v="2004-09-07T00:00:00"/>
    <x v="235"/>
    <m/>
    <m/>
    <x v="0"/>
    <x v="0"/>
    <n v="14350"/>
    <m/>
    <x v="1"/>
    <n v="0"/>
    <x v="0"/>
    <x v="0"/>
    <m/>
    <m/>
    <x v="0"/>
    <m/>
    <x v="0"/>
    <m/>
    <x v="5"/>
    <x v="4"/>
    <s v="J"/>
    <x v="3"/>
    <x v="0"/>
    <x v="108"/>
    <s v=""/>
    <x v="4"/>
    <x v="2"/>
    <x v="4"/>
    <x v="3"/>
    <x v="0"/>
    <d v="1899-12-30T00:00:00"/>
    <d v="1899-12-30T00:00:00"/>
  </r>
  <r>
    <n v="933"/>
    <x v="0"/>
    <x v="10"/>
    <x v="782"/>
    <m/>
    <x v="4"/>
    <s v="Automático"/>
    <m/>
    <x v="1"/>
    <d v="2004-05-26T00:00:00"/>
    <x v="5"/>
    <m/>
    <d v="2004-07-26T00:00:00"/>
    <x v="5"/>
    <x v="0"/>
    <x v="1"/>
    <x v="15"/>
    <x v="0"/>
    <m/>
    <d v="2004-09-07T00:00:00"/>
    <x v="235"/>
    <m/>
    <m/>
    <x v="0"/>
    <x v="0"/>
    <n v="14350"/>
    <m/>
    <x v="1"/>
    <n v="0"/>
    <x v="0"/>
    <x v="0"/>
    <m/>
    <m/>
    <x v="0"/>
    <m/>
    <x v="0"/>
    <m/>
    <x v="5"/>
    <x v="4"/>
    <s v="O"/>
    <x v="3"/>
    <x v="0"/>
    <x v="108"/>
    <s v=""/>
    <x v="4"/>
    <x v="2"/>
    <x v="4"/>
    <x v="3"/>
    <x v="0"/>
    <d v="1899-12-30T00:00:00"/>
    <d v="1899-12-30T00:00:00"/>
  </r>
  <r>
    <n v="934"/>
    <x v="0"/>
    <x v="10"/>
    <x v="628"/>
    <m/>
    <x v="4"/>
    <s v="Automático"/>
    <m/>
    <x v="1"/>
    <d v="2004-05-26T00:00:00"/>
    <x v="5"/>
    <m/>
    <d v="2004-07-26T00:00:00"/>
    <x v="5"/>
    <x v="0"/>
    <x v="1"/>
    <x v="15"/>
    <x v="0"/>
    <m/>
    <d v="2004-09-07T00:00:00"/>
    <x v="235"/>
    <m/>
    <m/>
    <x v="0"/>
    <x v="0"/>
    <n v="14350"/>
    <m/>
    <x v="1"/>
    <n v="0"/>
    <x v="0"/>
    <x v="0"/>
    <m/>
    <m/>
    <x v="0"/>
    <m/>
    <x v="0"/>
    <m/>
    <x v="5"/>
    <x v="4"/>
    <s v="O"/>
    <x v="3"/>
    <x v="0"/>
    <x v="108"/>
    <s v=""/>
    <x v="4"/>
    <x v="2"/>
    <x v="4"/>
    <x v="3"/>
    <x v="0"/>
    <d v="1899-12-30T00:00:00"/>
    <d v="1899-12-30T00:00:00"/>
  </r>
  <r>
    <n v="935"/>
    <x v="0"/>
    <x v="10"/>
    <x v="133"/>
    <m/>
    <x v="4"/>
    <s v="Automático"/>
    <m/>
    <x v="1"/>
    <d v="2004-05-26T00:00:00"/>
    <x v="5"/>
    <m/>
    <d v="2004-07-26T00:00:00"/>
    <x v="5"/>
    <x v="0"/>
    <x v="1"/>
    <x v="15"/>
    <x v="0"/>
    <m/>
    <d v="2004-09-07T00:00:00"/>
    <x v="235"/>
    <m/>
    <m/>
    <x v="0"/>
    <x v="0"/>
    <n v="14350"/>
    <m/>
    <x v="1"/>
    <n v="0"/>
    <x v="0"/>
    <x v="0"/>
    <m/>
    <m/>
    <x v="0"/>
    <m/>
    <x v="0"/>
    <m/>
    <x v="5"/>
    <x v="4"/>
    <s v="O"/>
    <x v="3"/>
    <x v="0"/>
    <x v="108"/>
    <s v=""/>
    <x v="4"/>
    <x v="2"/>
    <x v="4"/>
    <x v="3"/>
    <x v="0"/>
    <d v="1899-12-30T00:00:00"/>
    <d v="1899-12-30T00:00:00"/>
  </r>
  <r>
    <n v="936"/>
    <x v="0"/>
    <x v="10"/>
    <x v="783"/>
    <m/>
    <x v="4"/>
    <s v="Automático"/>
    <m/>
    <x v="1"/>
    <d v="2004-05-26T00:00:00"/>
    <x v="5"/>
    <m/>
    <d v="2004-07-26T00:00:00"/>
    <x v="5"/>
    <x v="0"/>
    <x v="1"/>
    <x v="15"/>
    <x v="0"/>
    <m/>
    <d v="2004-09-07T00:00:00"/>
    <x v="235"/>
    <m/>
    <m/>
    <x v="0"/>
    <x v="0"/>
    <n v="14350"/>
    <m/>
    <x v="1"/>
    <n v="0"/>
    <x v="0"/>
    <x v="0"/>
    <m/>
    <m/>
    <x v="0"/>
    <m/>
    <x v="0"/>
    <m/>
    <x v="5"/>
    <x v="4"/>
    <s v="O"/>
    <x v="3"/>
    <x v="0"/>
    <x v="108"/>
    <s v=""/>
    <x v="4"/>
    <x v="2"/>
    <x v="4"/>
    <x v="3"/>
    <x v="0"/>
    <d v="1899-12-30T00:00:00"/>
    <d v="1899-12-30T00:00:00"/>
  </r>
  <r>
    <n v="937"/>
    <x v="0"/>
    <x v="18"/>
    <x v="784"/>
    <m/>
    <x v="4"/>
    <m/>
    <m/>
    <x v="0"/>
    <d v="2013-01-31T00:00:00"/>
    <x v="11"/>
    <d v="2013-03-21T00:00:00"/>
    <d v="2013-06-13T00:00:00"/>
    <x v="11"/>
    <x v="1"/>
    <x v="2"/>
    <x v="17"/>
    <x v="0"/>
    <m/>
    <d v="2013-06-28T00:00:00"/>
    <x v="80"/>
    <m/>
    <m/>
    <x v="0"/>
    <x v="0"/>
    <n v="50000"/>
    <m/>
    <x v="1"/>
    <n v="0"/>
    <x v="0"/>
    <x v="0"/>
    <m/>
    <m/>
    <x v="0"/>
    <m/>
    <x v="0"/>
    <d v="2014-01-23T00:00:00"/>
    <x v="5"/>
    <x v="8"/>
    <s v="8"/>
    <x v="3"/>
    <x v="0"/>
    <x v="108"/>
    <s v=""/>
    <x v="4"/>
    <x v="2"/>
    <x v="4"/>
    <x v="3"/>
    <x v="0"/>
    <d v="1899-12-30T00:00:00"/>
    <d v="1899-12-30T00:00:00"/>
  </r>
  <r>
    <n v="938"/>
    <x v="0"/>
    <x v="49"/>
    <x v="785"/>
    <m/>
    <x v="4"/>
    <m/>
    <m/>
    <x v="0"/>
    <d v="2013-01-31T00:00:00"/>
    <x v="11"/>
    <d v="2013-03-21T00:00:00"/>
    <d v="2013-06-13T00:00:00"/>
    <x v="11"/>
    <x v="1"/>
    <x v="2"/>
    <x v="17"/>
    <x v="0"/>
    <m/>
    <d v="2013-06-28T00:00:00"/>
    <x v="80"/>
    <m/>
    <m/>
    <x v="0"/>
    <x v="0"/>
    <n v="50000"/>
    <m/>
    <x v="1"/>
    <n v="0"/>
    <x v="0"/>
    <x v="0"/>
    <m/>
    <m/>
    <x v="0"/>
    <m/>
    <x v="0"/>
    <d v="2014-01-23T00:00:00"/>
    <x v="5"/>
    <x v="0"/>
    <s v="A"/>
    <x v="3"/>
    <x v="0"/>
    <x v="108"/>
    <s v=""/>
    <x v="4"/>
    <x v="2"/>
    <x v="4"/>
    <x v="3"/>
    <x v="0"/>
    <d v="1899-12-30T00:00:00"/>
    <d v="1899-12-30T00:00:00"/>
  </r>
  <r>
    <n v="939"/>
    <x v="0"/>
    <x v="50"/>
    <x v="786"/>
    <m/>
    <x v="4"/>
    <m/>
    <m/>
    <x v="0"/>
    <d v="2013-01-31T00:00:00"/>
    <x v="11"/>
    <d v="2013-03-21T00:00:00"/>
    <d v="2013-06-13T00:00:00"/>
    <x v="11"/>
    <x v="1"/>
    <x v="2"/>
    <x v="17"/>
    <x v="0"/>
    <m/>
    <d v="2013-01-22T00:00:00"/>
    <x v="80"/>
    <m/>
    <m/>
    <x v="0"/>
    <x v="0"/>
    <n v="50000"/>
    <m/>
    <x v="1"/>
    <n v="0"/>
    <x v="0"/>
    <x v="0"/>
    <m/>
    <m/>
    <x v="0"/>
    <m/>
    <x v="0"/>
    <d v="2014-01-23T00:00:00"/>
    <x v="5"/>
    <x v="7"/>
    <s v="7"/>
    <x v="3"/>
    <x v="0"/>
    <x v="108"/>
    <s v=""/>
    <x v="4"/>
    <x v="2"/>
    <x v="4"/>
    <x v="3"/>
    <x v="0"/>
    <d v="1899-12-30T00:00:00"/>
    <d v="1899-12-30T00:00:00"/>
  </r>
  <r>
    <n v="940"/>
    <x v="0"/>
    <x v="188"/>
    <x v="787"/>
    <m/>
    <x v="4"/>
    <m/>
    <m/>
    <x v="0"/>
    <d v="2013-01-31T00:00:00"/>
    <x v="11"/>
    <d v="2013-03-21T00:00:00"/>
    <d v="2013-06-13T00:00:00"/>
    <x v="11"/>
    <x v="1"/>
    <x v="2"/>
    <x v="17"/>
    <x v="0"/>
    <m/>
    <d v="2014-01-24T00:00:00"/>
    <x v="100"/>
    <m/>
    <m/>
    <x v="0"/>
    <x v="0"/>
    <n v="37500"/>
    <m/>
    <x v="1"/>
    <n v="0"/>
    <x v="0"/>
    <x v="0"/>
    <m/>
    <m/>
    <x v="0"/>
    <m/>
    <x v="0"/>
    <d v="2015-03-02T00:00:00"/>
    <x v="5"/>
    <x v="9"/>
    <s v="5"/>
    <x v="3"/>
    <x v="0"/>
    <x v="108"/>
    <s v=""/>
    <x v="4"/>
    <x v="2"/>
    <x v="4"/>
    <x v="3"/>
    <x v="0"/>
    <d v="1899-12-30T00:00:00"/>
    <d v="1899-12-30T00:00:00"/>
  </r>
  <r>
    <n v="941"/>
    <x v="0"/>
    <x v="8"/>
    <x v="120"/>
    <m/>
    <x v="4"/>
    <m/>
    <m/>
    <x v="1"/>
    <d v="2013-01-31T00:00:00"/>
    <x v="11"/>
    <d v="2013-12-31T00:00:00"/>
    <d v="2013-05-03T00:00:00"/>
    <x v="11"/>
    <x v="1"/>
    <x v="2"/>
    <x v="13"/>
    <x v="0"/>
    <m/>
    <m/>
    <x v="3"/>
    <m/>
    <m/>
    <x v="0"/>
    <x v="0"/>
    <n v="20000"/>
    <m/>
    <x v="1"/>
    <n v="0"/>
    <x v="0"/>
    <x v="0"/>
    <m/>
    <m/>
    <x v="0"/>
    <m/>
    <x v="0"/>
    <d v="2014-01-23T00:00:00"/>
    <x v="5"/>
    <x v="2"/>
    <s v="N"/>
    <x v="3"/>
    <x v="0"/>
    <x v="108"/>
    <s v=""/>
    <x v="4"/>
    <x v="2"/>
    <x v="4"/>
    <x v="3"/>
    <x v="0"/>
    <d v="1899-12-30T00:00:00"/>
    <d v="1899-12-30T00:00:00"/>
  </r>
  <r>
    <n v="942"/>
    <x v="0"/>
    <x v="189"/>
    <x v="47"/>
    <m/>
    <x v="4"/>
    <m/>
    <m/>
    <x v="1"/>
    <d v="2013-01-31T00:00:00"/>
    <x v="11"/>
    <d v="2013-12-31T00:00:00"/>
    <d v="2013-07-23T00:00:00"/>
    <x v="11"/>
    <x v="1"/>
    <x v="2"/>
    <x v="13"/>
    <x v="0"/>
    <m/>
    <m/>
    <x v="3"/>
    <m/>
    <m/>
    <x v="0"/>
    <x v="0"/>
    <n v="20000"/>
    <m/>
    <x v="1"/>
    <n v="0"/>
    <x v="0"/>
    <x v="0"/>
    <m/>
    <m/>
    <x v="0"/>
    <m/>
    <x v="0"/>
    <d v="2014-02-04T00:00:00"/>
    <x v="5"/>
    <x v="16"/>
    <s v="Q"/>
    <x v="3"/>
    <x v="0"/>
    <x v="108"/>
    <s v=""/>
    <x v="4"/>
    <x v="2"/>
    <x v="4"/>
    <x v="3"/>
    <x v="0"/>
    <d v="1899-12-30T00:00:00"/>
    <d v="1899-12-30T00:00:00"/>
  </r>
  <r>
    <n v="943"/>
    <x v="0"/>
    <x v="47"/>
    <x v="339"/>
    <m/>
    <x v="4"/>
    <m/>
    <m/>
    <x v="1"/>
    <d v="2013-01-31T00:00:00"/>
    <x v="11"/>
    <d v="2013-12-31T00:00:00"/>
    <d v="2013-05-03T00:00:00"/>
    <x v="11"/>
    <x v="1"/>
    <x v="2"/>
    <x v="16"/>
    <x v="0"/>
    <m/>
    <m/>
    <x v="237"/>
    <m/>
    <m/>
    <x v="0"/>
    <x v="0"/>
    <n v="8325"/>
    <m/>
    <x v="1"/>
    <n v="0"/>
    <x v="0"/>
    <x v="0"/>
    <m/>
    <m/>
    <x v="0"/>
    <m/>
    <x v="0"/>
    <d v="2014-01-23T00:00:00"/>
    <x v="5"/>
    <x v="0"/>
    <s v="F"/>
    <x v="3"/>
    <x v="0"/>
    <x v="108"/>
    <s v=""/>
    <x v="4"/>
    <x v="2"/>
    <x v="4"/>
    <x v="3"/>
    <x v="0"/>
    <d v="1899-12-30T00:00:00"/>
    <d v="1899-12-30T00:00:00"/>
  </r>
  <r>
    <n v="944"/>
    <x v="0"/>
    <x v="109"/>
    <x v="266"/>
    <m/>
    <x v="4"/>
    <m/>
    <m/>
    <x v="2"/>
    <d v="2013-01-31T00:00:00"/>
    <x v="11"/>
    <d v="2013-12-31T00:00:00"/>
    <m/>
    <x v="8"/>
    <x v="1"/>
    <x v="2"/>
    <x v="17"/>
    <x v="0"/>
    <m/>
    <m/>
    <x v="78"/>
    <m/>
    <m/>
    <x v="0"/>
    <x v="0"/>
    <n v="12500"/>
    <m/>
    <x v="1"/>
    <n v="0"/>
    <x v="10"/>
    <x v="0"/>
    <m/>
    <m/>
    <x v="0"/>
    <m/>
    <x v="13"/>
    <d v="2013-11-25T00:00:00"/>
    <x v="5"/>
    <x v="21"/>
    <s v="C"/>
    <x v="3"/>
    <x v="0"/>
    <x v="108"/>
    <s v=""/>
    <x v="4"/>
    <x v="2"/>
    <x v="4"/>
    <x v="3"/>
    <x v="0"/>
    <d v="1899-12-30T00:00:00"/>
    <d v="1899-12-30T00:00:00"/>
  </r>
  <r>
    <n v="945"/>
    <x v="0"/>
    <x v="6"/>
    <x v="788"/>
    <m/>
    <x v="4"/>
    <s v="Curtas de Vila do Conde"/>
    <m/>
    <x v="1"/>
    <d v="2013-01-31T00:00:00"/>
    <x v="11"/>
    <d v="2013-12-31T00:00:00"/>
    <d v="2013-06-26T00:00:00"/>
    <x v="11"/>
    <x v="3"/>
    <x v="4"/>
    <x v="21"/>
    <x v="0"/>
    <m/>
    <m/>
    <x v="103"/>
    <m/>
    <m/>
    <x v="0"/>
    <x v="0"/>
    <n v="300"/>
    <m/>
    <x v="1"/>
    <n v="0"/>
    <x v="0"/>
    <x v="0"/>
    <m/>
    <m/>
    <x v="0"/>
    <m/>
    <x v="0"/>
    <d v="2013-11-25T00:00:00"/>
    <x v="5"/>
    <x v="2"/>
    <s v="V"/>
    <x v="3"/>
    <x v="0"/>
    <x v="108"/>
    <s v=""/>
    <x v="4"/>
    <x v="2"/>
    <x v="4"/>
    <x v="3"/>
    <x v="0"/>
    <d v="1899-12-30T00:00:00"/>
    <d v="1899-12-30T00:00:00"/>
  </r>
  <r>
    <n v="946"/>
    <x v="0"/>
    <x v="6"/>
    <x v="788"/>
    <m/>
    <x v="4"/>
    <s v="Curtas de Vila do Conde"/>
    <m/>
    <x v="1"/>
    <d v="2013-01-31T00:00:00"/>
    <x v="11"/>
    <d v="2013-12-31T00:00:00"/>
    <d v="2013-06-26T00:00:00"/>
    <x v="11"/>
    <x v="3"/>
    <x v="4"/>
    <x v="21"/>
    <x v="0"/>
    <m/>
    <m/>
    <x v="101"/>
    <m/>
    <m/>
    <x v="0"/>
    <x v="0"/>
    <n v="500"/>
    <m/>
    <x v="1"/>
    <n v="0"/>
    <x v="0"/>
    <x v="0"/>
    <m/>
    <m/>
    <x v="0"/>
    <m/>
    <x v="0"/>
    <d v="2013-11-25T00:00:00"/>
    <x v="5"/>
    <x v="2"/>
    <s v="V"/>
    <x v="3"/>
    <x v="0"/>
    <x v="108"/>
    <s v=""/>
    <x v="4"/>
    <x v="2"/>
    <x v="4"/>
    <x v="3"/>
    <x v="0"/>
    <d v="1899-12-30T00:00:00"/>
    <d v="1899-12-30T00:00:00"/>
  </r>
  <r>
    <n v="947"/>
    <x v="0"/>
    <x v="23"/>
    <x v="55"/>
    <m/>
    <x v="4"/>
    <m/>
    <m/>
    <x v="1"/>
    <d v="2013-01-31T00:00:00"/>
    <x v="11"/>
    <d v="2013-12-31T00:00:00"/>
    <d v="2013-05-20T00:00:00"/>
    <x v="11"/>
    <x v="3"/>
    <x v="4"/>
    <x v="21"/>
    <x v="0"/>
    <m/>
    <m/>
    <x v="122"/>
    <n v="4970.9799999999996"/>
    <m/>
    <x v="0"/>
    <x v="0"/>
    <n v="4970.9799999999996"/>
    <m/>
    <x v="1"/>
    <n v="0"/>
    <x v="0"/>
    <x v="0"/>
    <m/>
    <m/>
    <x v="0"/>
    <m/>
    <x v="0"/>
    <d v="2013-11-25T00:00:00"/>
    <x v="5"/>
    <x v="9"/>
    <s v="G"/>
    <x v="3"/>
    <x v="0"/>
    <x v="108"/>
    <s v=""/>
    <x v="4"/>
    <x v="2"/>
    <x v="4"/>
    <x v="3"/>
    <x v="0"/>
    <d v="1899-12-30T00:00:00"/>
    <d v="1899-12-30T00:00:00"/>
  </r>
  <r>
    <n v="948"/>
    <x v="0"/>
    <x v="32"/>
    <x v="73"/>
    <m/>
    <x v="4"/>
    <m/>
    <m/>
    <x v="1"/>
    <d v="2013-01-31T00:00:00"/>
    <x v="11"/>
    <d v="2013-12-31T00:00:00"/>
    <d v="2013-05-20T00:00:00"/>
    <x v="11"/>
    <x v="3"/>
    <x v="4"/>
    <x v="21"/>
    <x v="0"/>
    <m/>
    <m/>
    <x v="102"/>
    <m/>
    <m/>
    <x v="0"/>
    <x v="0"/>
    <n v="750"/>
    <m/>
    <x v="1"/>
    <n v="0"/>
    <x v="0"/>
    <x v="0"/>
    <m/>
    <m/>
    <x v="0"/>
    <m/>
    <x v="0"/>
    <d v="2013-11-25T00:00:00"/>
    <x v="5"/>
    <x v="13"/>
    <s v="L"/>
    <x v="3"/>
    <x v="0"/>
    <x v="108"/>
    <s v=""/>
    <x v="4"/>
    <x v="2"/>
    <x v="4"/>
    <x v="3"/>
    <x v="0"/>
    <d v="1899-12-30T00:00:00"/>
    <d v="1899-12-30T00:00:00"/>
  </r>
  <r>
    <n v="949"/>
    <x v="0"/>
    <x v="8"/>
    <x v="120"/>
    <m/>
    <x v="4"/>
    <m/>
    <m/>
    <x v="1"/>
    <d v="2013-01-31T00:00:00"/>
    <x v="11"/>
    <d v="2013-12-31T00:00:00"/>
    <d v="2013-05-20T00:00:00"/>
    <x v="11"/>
    <x v="3"/>
    <x v="4"/>
    <x v="21"/>
    <x v="0"/>
    <m/>
    <m/>
    <x v="45"/>
    <m/>
    <m/>
    <x v="0"/>
    <x v="0"/>
    <n v="10000"/>
    <m/>
    <x v="1"/>
    <n v="0"/>
    <x v="0"/>
    <x v="0"/>
    <m/>
    <m/>
    <x v="0"/>
    <m/>
    <x v="0"/>
    <d v="2013-11-25T00:00:00"/>
    <x v="5"/>
    <x v="2"/>
    <s v="N"/>
    <x v="3"/>
    <x v="0"/>
    <x v="108"/>
    <s v=""/>
    <x v="4"/>
    <x v="2"/>
    <x v="4"/>
    <x v="3"/>
    <x v="0"/>
    <d v="1899-12-30T00:00:00"/>
    <d v="1899-12-30T00:00:00"/>
  </r>
  <r>
    <n v="950"/>
    <x v="0"/>
    <x v="18"/>
    <x v="747"/>
    <m/>
    <x v="4"/>
    <s v="INDIELISBOA"/>
    <m/>
    <x v="1"/>
    <d v="2013-01-31T00:00:00"/>
    <x v="11"/>
    <d v="2013-12-31T00:00:00"/>
    <d v="2013-05-03T00:00:00"/>
    <x v="11"/>
    <x v="3"/>
    <x v="4"/>
    <x v="21"/>
    <x v="0"/>
    <m/>
    <m/>
    <x v="102"/>
    <m/>
    <m/>
    <x v="0"/>
    <x v="0"/>
    <n v="750"/>
    <m/>
    <x v="1"/>
    <n v="0"/>
    <x v="0"/>
    <x v="0"/>
    <m/>
    <m/>
    <x v="0"/>
    <m/>
    <x v="0"/>
    <d v="2013-11-25T00:00:00"/>
    <x v="5"/>
    <x v="8"/>
    <s v="É"/>
    <x v="3"/>
    <x v="0"/>
    <x v="108"/>
    <s v=""/>
    <x v="4"/>
    <x v="2"/>
    <x v="4"/>
    <x v="3"/>
    <x v="0"/>
    <d v="1899-12-30T00:00:00"/>
    <d v="1899-12-30T00:00:00"/>
  </r>
  <r>
    <n v="951"/>
    <x v="0"/>
    <x v="6"/>
    <x v="235"/>
    <m/>
    <x v="4"/>
    <s v="França"/>
    <m/>
    <x v="1"/>
    <d v="2013-01-31T00:00:00"/>
    <x v="11"/>
    <d v="2013-12-31T00:00:00"/>
    <d v="2013-04-17T00:00:00"/>
    <x v="11"/>
    <x v="1"/>
    <x v="2"/>
    <x v="16"/>
    <x v="0"/>
    <m/>
    <m/>
    <x v="238"/>
    <m/>
    <m/>
    <x v="0"/>
    <x v="0"/>
    <n v="7213.78"/>
    <m/>
    <x v="1"/>
    <n v="0"/>
    <x v="0"/>
    <x v="0"/>
    <m/>
    <m/>
    <x v="0"/>
    <m/>
    <x v="0"/>
    <d v="2014-01-23T00:00:00"/>
    <x v="5"/>
    <x v="2"/>
    <s v="A"/>
    <x v="3"/>
    <x v="0"/>
    <x v="108"/>
    <s v=""/>
    <x v="4"/>
    <x v="2"/>
    <x v="4"/>
    <x v="3"/>
    <x v="0"/>
    <d v="1899-12-30T00:00:00"/>
    <d v="1899-12-30T00:00:00"/>
  </r>
  <r>
    <n v="952"/>
    <x v="1"/>
    <x v="23"/>
    <x v="52"/>
    <m/>
    <x v="4"/>
    <s v="Brasil"/>
    <m/>
    <x v="1"/>
    <d v="2013-01-31T00:00:00"/>
    <x v="11"/>
    <d v="2013-12-31T00:00:00"/>
    <d v="2013-05-28T00:00:00"/>
    <x v="11"/>
    <x v="1"/>
    <x v="2"/>
    <x v="16"/>
    <x v="0"/>
    <m/>
    <m/>
    <x v="78"/>
    <m/>
    <m/>
    <x v="0"/>
    <x v="0"/>
    <n v="12500"/>
    <n v="12500"/>
    <x v="1"/>
    <n v="12500"/>
    <x v="9"/>
    <x v="0"/>
    <m/>
    <m/>
    <x v="0"/>
    <m/>
    <x v="0"/>
    <d v="2014-01-23T00:00:00"/>
    <x v="5"/>
    <x v="9"/>
    <s v="T"/>
    <x v="3"/>
    <x v="0"/>
    <x v="108"/>
    <s v=""/>
    <x v="4"/>
    <x v="2"/>
    <x v="4"/>
    <x v="3"/>
    <x v="0"/>
    <d v="1899-12-30T00:00:00"/>
    <d v="1899-12-30T00:00:00"/>
  </r>
  <r>
    <n v="953"/>
    <x v="0"/>
    <x v="60"/>
    <x v="789"/>
    <m/>
    <x v="4"/>
    <m/>
    <m/>
    <x v="1"/>
    <d v="2013-01-31T00:00:00"/>
    <x v="11"/>
    <d v="2013-02-28T00:00:00"/>
    <d v="2013-07-03T00:00:00"/>
    <x v="11"/>
    <x v="2"/>
    <x v="3"/>
    <x v="18"/>
    <x v="0"/>
    <m/>
    <d v="2014-02-03T00:00:00"/>
    <x v="239"/>
    <m/>
    <m/>
    <x v="0"/>
    <x v="0"/>
    <n v="5500"/>
    <m/>
    <x v="1"/>
    <n v="0"/>
    <x v="0"/>
    <x v="0"/>
    <m/>
    <m/>
    <x v="0"/>
    <m/>
    <x v="0"/>
    <d v="2014-06-09T00:00:00"/>
    <x v="5"/>
    <x v="2"/>
    <s v="R"/>
    <x v="3"/>
    <x v="0"/>
    <x v="108"/>
    <s v=""/>
    <x v="4"/>
    <x v="2"/>
    <x v="4"/>
    <x v="3"/>
    <x v="0"/>
    <d v="1899-12-30T00:00:00"/>
    <d v="1899-12-30T00:00:00"/>
  </r>
  <r>
    <n v="954"/>
    <x v="0"/>
    <x v="59"/>
    <x v="790"/>
    <m/>
    <x v="4"/>
    <m/>
    <m/>
    <x v="1"/>
    <d v="2013-01-31T00:00:00"/>
    <x v="11"/>
    <d v="2013-02-28T00:00:00"/>
    <d v="2013-07-03T00:00:00"/>
    <x v="11"/>
    <x v="2"/>
    <x v="3"/>
    <x v="18"/>
    <x v="0"/>
    <m/>
    <d v="2014-02-03T00:00:00"/>
    <x v="240"/>
    <m/>
    <m/>
    <x v="0"/>
    <x v="0"/>
    <n v="5400"/>
    <m/>
    <x v="1"/>
    <n v="0"/>
    <x v="0"/>
    <x v="0"/>
    <m/>
    <m/>
    <x v="0"/>
    <m/>
    <x v="0"/>
    <d v="2014-07-07T00:00:00"/>
    <x v="5"/>
    <x v="0"/>
    <s v="R"/>
    <x v="3"/>
    <x v="0"/>
    <x v="108"/>
    <s v=""/>
    <x v="4"/>
    <x v="2"/>
    <x v="4"/>
    <x v="3"/>
    <x v="0"/>
    <d v="1899-12-30T00:00:00"/>
    <d v="1899-12-30T00:00:00"/>
  </r>
  <r>
    <n v="955"/>
    <x v="0"/>
    <x v="67"/>
    <x v="791"/>
    <m/>
    <x v="4"/>
    <m/>
    <m/>
    <x v="1"/>
    <d v="2013-01-31T00:00:00"/>
    <x v="11"/>
    <d v="2013-02-28T00:00:00"/>
    <d v="2013-07-03T00:00:00"/>
    <x v="11"/>
    <x v="2"/>
    <x v="3"/>
    <x v="18"/>
    <x v="0"/>
    <m/>
    <d v="2014-02-03T00:00:00"/>
    <x v="165"/>
    <m/>
    <m/>
    <x v="0"/>
    <x v="0"/>
    <n v="5300"/>
    <m/>
    <x v="1"/>
    <n v="0"/>
    <x v="0"/>
    <x v="0"/>
    <m/>
    <m/>
    <x v="0"/>
    <m/>
    <x v="0"/>
    <d v="2014-11-06T00:00:00"/>
    <x v="5"/>
    <x v="2"/>
    <s v="R"/>
    <x v="3"/>
    <x v="0"/>
    <x v="108"/>
    <s v=""/>
    <x v="4"/>
    <x v="2"/>
    <x v="4"/>
    <x v="3"/>
    <x v="0"/>
    <d v="1899-12-30T00:00:00"/>
    <d v="1899-12-30T00:00:00"/>
  </r>
  <r>
    <n v="956"/>
    <x v="0"/>
    <x v="63"/>
    <x v="792"/>
    <m/>
    <x v="4"/>
    <m/>
    <m/>
    <x v="1"/>
    <d v="2013-01-31T00:00:00"/>
    <x v="11"/>
    <d v="2013-02-28T00:00:00"/>
    <d v="2013-07-03T00:00:00"/>
    <x v="11"/>
    <x v="2"/>
    <x v="3"/>
    <x v="18"/>
    <x v="0"/>
    <m/>
    <d v="2014-02-03T00:00:00"/>
    <x v="241"/>
    <m/>
    <m/>
    <x v="0"/>
    <x v="0"/>
    <n v="5200"/>
    <m/>
    <x v="1"/>
    <n v="0"/>
    <x v="0"/>
    <x v="0"/>
    <m/>
    <m/>
    <x v="0"/>
    <m/>
    <x v="0"/>
    <d v="2014-09-09T00:00:00"/>
    <x v="5"/>
    <x v="2"/>
    <s v="R"/>
    <x v="3"/>
    <x v="0"/>
    <x v="108"/>
    <s v=""/>
    <x v="4"/>
    <x v="2"/>
    <x v="4"/>
    <x v="3"/>
    <x v="0"/>
    <d v="1899-12-30T00:00:00"/>
    <d v="1899-12-30T00:00:00"/>
  </r>
  <r>
    <n v="957"/>
    <x v="0"/>
    <x v="54"/>
    <x v="793"/>
    <m/>
    <x v="4"/>
    <m/>
    <m/>
    <x v="1"/>
    <d v="2013-01-31T00:00:00"/>
    <x v="11"/>
    <d v="2013-02-28T00:00:00"/>
    <d v="2013-07-03T00:00:00"/>
    <x v="11"/>
    <x v="2"/>
    <x v="3"/>
    <x v="18"/>
    <x v="0"/>
    <m/>
    <d v="2014-02-03T00:00:00"/>
    <x v="242"/>
    <m/>
    <m/>
    <x v="0"/>
    <x v="0"/>
    <n v="5100"/>
    <m/>
    <x v="1"/>
    <n v="0"/>
    <x v="0"/>
    <x v="0"/>
    <m/>
    <m/>
    <x v="0"/>
    <m/>
    <x v="0"/>
    <d v="2014-06-09T00:00:00"/>
    <x v="5"/>
    <x v="2"/>
    <s v="R"/>
    <x v="3"/>
    <x v="0"/>
    <x v="108"/>
    <s v=""/>
    <x v="4"/>
    <x v="2"/>
    <x v="4"/>
    <x v="3"/>
    <x v="0"/>
    <d v="1899-12-30T00:00:00"/>
    <d v="1899-12-30T00:00:00"/>
  </r>
  <r>
    <n v="958"/>
    <x v="0"/>
    <x v="55"/>
    <x v="794"/>
    <m/>
    <x v="4"/>
    <m/>
    <m/>
    <x v="1"/>
    <d v="2013-01-31T00:00:00"/>
    <x v="11"/>
    <d v="2013-02-28T00:00:00"/>
    <d v="2013-07-03T00:00:00"/>
    <x v="11"/>
    <x v="2"/>
    <x v="3"/>
    <x v="18"/>
    <x v="0"/>
    <m/>
    <d v="2014-02-03T00:00:00"/>
    <x v="242"/>
    <m/>
    <m/>
    <x v="0"/>
    <x v="0"/>
    <n v="5100"/>
    <m/>
    <x v="1"/>
    <n v="0"/>
    <x v="0"/>
    <x v="0"/>
    <m/>
    <m/>
    <x v="0"/>
    <m/>
    <x v="0"/>
    <d v="2014-06-09T00:00:00"/>
    <x v="5"/>
    <x v="2"/>
    <s v="R"/>
    <x v="3"/>
    <x v="0"/>
    <x v="108"/>
    <s v=""/>
    <x v="4"/>
    <x v="2"/>
    <x v="4"/>
    <x v="3"/>
    <x v="0"/>
    <d v="1899-12-30T00:00:00"/>
    <d v="1899-12-30T00:00:00"/>
  </r>
  <r>
    <n v="959"/>
    <x v="0"/>
    <x v="73"/>
    <x v="795"/>
    <m/>
    <x v="4"/>
    <m/>
    <m/>
    <x v="1"/>
    <d v="2013-01-31T00:00:00"/>
    <x v="11"/>
    <d v="2013-02-28T00:00:00"/>
    <d v="2013-07-03T00:00:00"/>
    <x v="11"/>
    <x v="2"/>
    <x v="3"/>
    <x v="18"/>
    <x v="0"/>
    <m/>
    <d v="2014-02-03T00:00:00"/>
    <x v="122"/>
    <m/>
    <m/>
    <x v="0"/>
    <x v="0"/>
    <n v="5000"/>
    <m/>
    <x v="1"/>
    <n v="0"/>
    <x v="0"/>
    <x v="0"/>
    <m/>
    <m/>
    <x v="0"/>
    <m/>
    <x v="0"/>
    <d v="2014-06-09T00:00:00"/>
    <x v="5"/>
    <x v="0"/>
    <s v="R"/>
    <x v="3"/>
    <x v="0"/>
    <x v="108"/>
    <s v=""/>
    <x v="4"/>
    <x v="2"/>
    <x v="4"/>
    <x v="3"/>
    <x v="0"/>
    <d v="1899-12-30T00:00:00"/>
    <d v="1899-12-30T00:00:00"/>
  </r>
  <r>
    <n v="960"/>
    <x v="0"/>
    <x v="56"/>
    <x v="796"/>
    <m/>
    <x v="4"/>
    <m/>
    <m/>
    <x v="1"/>
    <d v="2013-01-31T00:00:00"/>
    <x v="11"/>
    <d v="2013-02-28T00:00:00"/>
    <d v="2013-07-03T00:00:00"/>
    <x v="11"/>
    <x v="2"/>
    <x v="3"/>
    <x v="18"/>
    <x v="0"/>
    <m/>
    <d v="2014-02-03T00:00:00"/>
    <x v="243"/>
    <m/>
    <m/>
    <x v="0"/>
    <x v="0"/>
    <n v="4800"/>
    <m/>
    <x v="1"/>
    <n v="0"/>
    <x v="0"/>
    <x v="0"/>
    <m/>
    <m/>
    <x v="0"/>
    <m/>
    <x v="0"/>
    <d v="2014-06-09T00:00:00"/>
    <x v="5"/>
    <x v="2"/>
    <s v="R"/>
    <x v="3"/>
    <x v="0"/>
    <x v="108"/>
    <s v=""/>
    <x v="4"/>
    <x v="2"/>
    <x v="4"/>
    <x v="3"/>
    <x v="0"/>
    <d v="1899-12-30T00:00:00"/>
    <d v="1899-12-30T00:00:00"/>
  </r>
  <r>
    <n v="961"/>
    <x v="1"/>
    <x v="66"/>
    <x v="797"/>
    <m/>
    <x v="4"/>
    <m/>
    <m/>
    <x v="1"/>
    <d v="2013-01-31T00:00:00"/>
    <x v="11"/>
    <d v="2013-02-28T00:00:00"/>
    <d v="2013-07-03T00:00:00"/>
    <x v="11"/>
    <x v="2"/>
    <x v="3"/>
    <x v="18"/>
    <x v="0"/>
    <m/>
    <m/>
    <x v="243"/>
    <m/>
    <m/>
    <x v="0"/>
    <x v="0"/>
    <n v="4800"/>
    <n v="4800"/>
    <x v="1"/>
    <n v="4800"/>
    <x v="5"/>
    <x v="0"/>
    <m/>
    <m/>
    <x v="0"/>
    <m/>
    <x v="0"/>
    <d v="2014-01-23T00:00:00"/>
    <x v="5"/>
    <x v="2"/>
    <s v="R"/>
    <x v="3"/>
    <x v="0"/>
    <x v="108"/>
    <s v=""/>
    <x v="4"/>
    <x v="2"/>
    <x v="4"/>
    <x v="3"/>
    <x v="0"/>
    <d v="1899-12-30T00:00:00"/>
    <d v="1899-12-30T00:00:00"/>
  </r>
  <r>
    <n v="962"/>
    <x v="1"/>
    <x v="71"/>
    <x v="798"/>
    <m/>
    <x v="4"/>
    <m/>
    <m/>
    <x v="1"/>
    <d v="2013-01-31T00:00:00"/>
    <x v="11"/>
    <d v="2013-02-28T00:00:00"/>
    <d v="2013-07-03T00:00:00"/>
    <x v="11"/>
    <x v="2"/>
    <x v="3"/>
    <x v="18"/>
    <x v="0"/>
    <m/>
    <d v="2014-02-03T00:00:00"/>
    <x v="243"/>
    <m/>
    <m/>
    <x v="0"/>
    <x v="0"/>
    <n v="4800"/>
    <n v="960"/>
    <x v="1"/>
    <n v="960"/>
    <x v="9"/>
    <x v="0"/>
    <m/>
    <m/>
    <x v="0"/>
    <m/>
    <x v="0"/>
    <d v="2014-04-08T00:00:00"/>
    <x v="5"/>
    <x v="10"/>
    <s v="R"/>
    <x v="3"/>
    <x v="0"/>
    <x v="108"/>
    <s v=""/>
    <x v="4"/>
    <x v="2"/>
    <x v="4"/>
    <x v="3"/>
    <x v="0"/>
    <d v="1899-12-30T00:00:00"/>
    <d v="1899-12-30T00:00:00"/>
  </r>
  <r>
    <n v="963"/>
    <x v="0"/>
    <x v="61"/>
    <x v="799"/>
    <m/>
    <x v="4"/>
    <m/>
    <m/>
    <x v="1"/>
    <d v="2013-01-31T00:00:00"/>
    <x v="11"/>
    <d v="2013-02-28T00:00:00"/>
    <d v="2013-07-03T00:00:00"/>
    <x v="11"/>
    <x v="2"/>
    <x v="3"/>
    <x v="18"/>
    <x v="0"/>
    <m/>
    <d v="2014-02-03T00:00:00"/>
    <x v="85"/>
    <m/>
    <m/>
    <x v="0"/>
    <x v="0"/>
    <n v="4700"/>
    <m/>
    <x v="1"/>
    <n v="0"/>
    <x v="0"/>
    <x v="0"/>
    <m/>
    <m/>
    <x v="0"/>
    <m/>
    <x v="0"/>
    <d v="2014-11-06T00:00:00"/>
    <x v="5"/>
    <x v="2"/>
    <s v="R"/>
    <x v="3"/>
    <x v="0"/>
    <x v="108"/>
    <s v=""/>
    <x v="4"/>
    <x v="2"/>
    <x v="4"/>
    <x v="3"/>
    <x v="0"/>
    <d v="1899-12-30T00:00:00"/>
    <d v="1899-12-30T00:00:00"/>
  </r>
  <r>
    <n v="964"/>
    <x v="0"/>
    <x v="74"/>
    <x v="800"/>
    <m/>
    <x v="4"/>
    <m/>
    <m/>
    <x v="1"/>
    <d v="2013-01-31T00:00:00"/>
    <x v="11"/>
    <d v="2013-02-28T00:00:00"/>
    <d v="2013-07-03T00:00:00"/>
    <x v="11"/>
    <x v="2"/>
    <x v="3"/>
    <x v="18"/>
    <x v="0"/>
    <m/>
    <d v="2014-02-03T00:00:00"/>
    <x v="85"/>
    <m/>
    <m/>
    <x v="0"/>
    <x v="0"/>
    <n v="4700"/>
    <m/>
    <x v="1"/>
    <n v="0"/>
    <x v="0"/>
    <x v="0"/>
    <m/>
    <m/>
    <x v="0"/>
    <m/>
    <x v="0"/>
    <d v="2014-09-09T00:00:00"/>
    <x v="5"/>
    <x v="12"/>
    <s v="R"/>
    <x v="3"/>
    <x v="0"/>
    <x v="108"/>
    <s v=""/>
    <x v="4"/>
    <x v="2"/>
    <x v="4"/>
    <x v="3"/>
    <x v="0"/>
    <d v="1899-12-30T00:00:00"/>
    <d v="1899-12-30T00:00:00"/>
  </r>
  <r>
    <n v="965"/>
    <x v="0"/>
    <x v="57"/>
    <x v="801"/>
    <m/>
    <x v="4"/>
    <m/>
    <m/>
    <x v="1"/>
    <d v="2013-01-31T00:00:00"/>
    <x v="11"/>
    <d v="2013-02-28T00:00:00"/>
    <d v="2013-07-03T00:00:00"/>
    <x v="11"/>
    <x v="2"/>
    <x v="3"/>
    <x v="18"/>
    <x v="0"/>
    <m/>
    <s v="30-02-2014"/>
    <x v="86"/>
    <m/>
    <m/>
    <x v="0"/>
    <x v="0"/>
    <n v="4600"/>
    <m/>
    <x v="1"/>
    <n v="0"/>
    <x v="0"/>
    <x v="0"/>
    <m/>
    <m/>
    <x v="0"/>
    <m/>
    <x v="0"/>
    <d v="2014-09-09T00:00:00"/>
    <x v="5"/>
    <x v="2"/>
    <s v="R"/>
    <x v="3"/>
    <x v="0"/>
    <x v="108"/>
    <s v=""/>
    <x v="4"/>
    <x v="2"/>
    <x v="4"/>
    <x v="3"/>
    <x v="0"/>
    <d v="1899-12-30T00:00:00"/>
    <d v="1899-12-30T00:00:00"/>
  </r>
  <r>
    <n v="966"/>
    <x v="0"/>
    <x v="58"/>
    <x v="802"/>
    <m/>
    <x v="4"/>
    <m/>
    <m/>
    <x v="1"/>
    <d v="2013-01-31T00:00:00"/>
    <x v="11"/>
    <d v="2013-02-28T00:00:00"/>
    <d v="2013-07-03T00:00:00"/>
    <x v="11"/>
    <x v="2"/>
    <x v="3"/>
    <x v="18"/>
    <x v="0"/>
    <m/>
    <d v="2014-02-03T00:00:00"/>
    <x v="86"/>
    <m/>
    <m/>
    <x v="0"/>
    <x v="0"/>
    <n v="4600"/>
    <m/>
    <x v="1"/>
    <n v="0"/>
    <x v="0"/>
    <x v="0"/>
    <m/>
    <m/>
    <x v="0"/>
    <m/>
    <x v="0"/>
    <d v="2014-10-06T00:00:00"/>
    <x v="5"/>
    <x v="4"/>
    <s v="R"/>
    <x v="3"/>
    <x v="0"/>
    <x v="108"/>
    <s v=""/>
    <x v="4"/>
    <x v="2"/>
    <x v="4"/>
    <x v="3"/>
    <x v="0"/>
    <d v="1899-12-30T00:00:00"/>
    <d v="1899-12-30T00:00:00"/>
  </r>
  <r>
    <n v="967"/>
    <x v="0"/>
    <x v="70"/>
    <x v="803"/>
    <m/>
    <x v="4"/>
    <m/>
    <m/>
    <x v="1"/>
    <d v="2013-01-31T00:00:00"/>
    <x v="11"/>
    <d v="2013-02-28T00:00:00"/>
    <d v="2013-07-03T00:00:00"/>
    <x v="11"/>
    <x v="2"/>
    <x v="3"/>
    <x v="18"/>
    <x v="0"/>
    <m/>
    <d v="2014-02-03T00:00:00"/>
    <x v="111"/>
    <m/>
    <m/>
    <x v="0"/>
    <x v="0"/>
    <n v="4500"/>
    <m/>
    <x v="1"/>
    <n v="0"/>
    <x v="0"/>
    <x v="0"/>
    <m/>
    <m/>
    <x v="0"/>
    <m/>
    <x v="0"/>
    <d v="2014-09-09T00:00:00"/>
    <x v="5"/>
    <x v="8"/>
    <s v="R"/>
    <x v="3"/>
    <x v="0"/>
    <x v="108"/>
    <s v=""/>
    <x v="4"/>
    <x v="2"/>
    <x v="4"/>
    <x v="3"/>
    <x v="0"/>
    <d v="1899-12-30T00:00:00"/>
    <d v="1899-12-30T00:00:00"/>
  </r>
  <r>
    <n v="968"/>
    <x v="1"/>
    <x v="69"/>
    <x v="804"/>
    <m/>
    <x v="4"/>
    <m/>
    <m/>
    <x v="1"/>
    <d v="2013-01-31T00:00:00"/>
    <x v="11"/>
    <d v="2013-02-28T00:00:00"/>
    <d v="2013-07-03T00:00:00"/>
    <x v="11"/>
    <x v="2"/>
    <x v="3"/>
    <x v="18"/>
    <x v="0"/>
    <m/>
    <d v="2014-02-03T00:00:00"/>
    <x v="244"/>
    <m/>
    <m/>
    <x v="0"/>
    <x v="0"/>
    <n v="4400"/>
    <n v="880"/>
    <x v="1"/>
    <n v="880"/>
    <x v="9"/>
    <x v="0"/>
    <m/>
    <m/>
    <x v="0"/>
    <m/>
    <x v="0"/>
    <d v="2014-11-06T00:00:00"/>
    <x v="5"/>
    <x v="2"/>
    <s v="R"/>
    <x v="3"/>
    <x v="0"/>
    <x v="108"/>
    <s v=""/>
    <x v="4"/>
    <x v="2"/>
    <x v="4"/>
    <x v="3"/>
    <x v="0"/>
    <d v="1899-12-30T00:00:00"/>
    <d v="1899-12-30T00:00:00"/>
  </r>
  <r>
    <n v="969"/>
    <x v="1"/>
    <x v="190"/>
    <x v="805"/>
    <m/>
    <x v="4"/>
    <m/>
    <m/>
    <x v="1"/>
    <d v="2013-01-31T00:00:00"/>
    <x v="11"/>
    <d v="2013-02-28T00:00:00"/>
    <d v="2013-07-03T00:00:00"/>
    <x v="11"/>
    <x v="2"/>
    <x v="3"/>
    <x v="18"/>
    <x v="0"/>
    <m/>
    <m/>
    <x v="245"/>
    <m/>
    <m/>
    <x v="0"/>
    <x v="0"/>
    <n v="4300"/>
    <n v="4300"/>
    <x v="1"/>
    <n v="4300"/>
    <x v="2"/>
    <x v="0"/>
    <m/>
    <m/>
    <x v="0"/>
    <m/>
    <x v="0"/>
    <d v="2014-01-23T00:00:00"/>
    <x v="5"/>
    <x v="10"/>
    <s v="R"/>
    <x v="3"/>
    <x v="0"/>
    <x v="108"/>
    <s v=""/>
    <x v="4"/>
    <x v="2"/>
    <x v="4"/>
    <x v="3"/>
    <x v="0"/>
    <d v="1899-12-30T00:00:00"/>
    <d v="1899-12-30T00:00:00"/>
  </r>
  <r>
    <n v="970"/>
    <x v="0"/>
    <x v="191"/>
    <x v="806"/>
    <m/>
    <x v="4"/>
    <m/>
    <m/>
    <x v="1"/>
    <d v="2013-01-31T00:00:00"/>
    <x v="11"/>
    <d v="2013-02-28T00:00:00"/>
    <d v="2013-07-03T00:00:00"/>
    <x v="11"/>
    <x v="2"/>
    <x v="3"/>
    <x v="18"/>
    <x v="0"/>
    <m/>
    <d v="2014-02-03T00:00:00"/>
    <x v="246"/>
    <m/>
    <m/>
    <x v="0"/>
    <x v="0"/>
    <n v="4200"/>
    <m/>
    <x v="1"/>
    <n v="0"/>
    <x v="0"/>
    <x v="0"/>
    <m/>
    <m/>
    <x v="0"/>
    <m/>
    <x v="0"/>
    <d v="2014-12-29T00:00:00"/>
    <x v="5"/>
    <x v="0"/>
    <s v="R"/>
    <x v="3"/>
    <x v="0"/>
    <x v="108"/>
    <s v=""/>
    <x v="4"/>
    <x v="2"/>
    <x v="4"/>
    <x v="3"/>
    <x v="0"/>
    <d v="1899-12-30T00:00:00"/>
    <d v="1899-12-30T00:00:00"/>
  </r>
  <r>
    <n v="971"/>
    <x v="0"/>
    <x v="64"/>
    <x v="807"/>
    <m/>
    <x v="4"/>
    <m/>
    <m/>
    <x v="1"/>
    <d v="2013-01-31T00:00:00"/>
    <x v="11"/>
    <d v="2013-02-28T00:00:00"/>
    <d v="2013-07-03T00:00:00"/>
    <x v="11"/>
    <x v="2"/>
    <x v="3"/>
    <x v="18"/>
    <x v="0"/>
    <m/>
    <d v="2014-02-03T00:00:00"/>
    <x v="247"/>
    <m/>
    <m/>
    <x v="0"/>
    <x v="0"/>
    <n v="4100"/>
    <m/>
    <x v="1"/>
    <n v="0"/>
    <x v="0"/>
    <x v="0"/>
    <m/>
    <m/>
    <x v="0"/>
    <m/>
    <x v="0"/>
    <d v="2014-07-07T00:00:00"/>
    <x v="5"/>
    <x v="2"/>
    <s v="R"/>
    <x v="3"/>
    <x v="0"/>
    <x v="108"/>
    <s v=""/>
    <x v="4"/>
    <x v="2"/>
    <x v="4"/>
    <x v="3"/>
    <x v="0"/>
    <d v="1899-12-30T00:00:00"/>
    <d v="1899-12-30T00:00:00"/>
  </r>
  <r>
    <n v="972"/>
    <x v="0"/>
    <x v="192"/>
    <x v="808"/>
    <m/>
    <x v="4"/>
    <m/>
    <m/>
    <x v="1"/>
    <d v="2013-01-31T00:00:00"/>
    <x v="11"/>
    <d v="2013-02-28T00:00:00"/>
    <d v="2013-07-03T00:00:00"/>
    <x v="11"/>
    <x v="2"/>
    <x v="3"/>
    <x v="18"/>
    <x v="0"/>
    <m/>
    <d v="2014-02-03T00:00:00"/>
    <x v="76"/>
    <m/>
    <m/>
    <x v="0"/>
    <x v="0"/>
    <n v="4000"/>
    <m/>
    <x v="1"/>
    <n v="0"/>
    <x v="0"/>
    <x v="0"/>
    <m/>
    <m/>
    <x v="0"/>
    <m/>
    <x v="0"/>
    <d v="2014-07-07T00:00:00"/>
    <x v="5"/>
    <x v="2"/>
    <s v="R"/>
    <x v="3"/>
    <x v="0"/>
    <x v="108"/>
    <s v=""/>
    <x v="4"/>
    <x v="2"/>
    <x v="4"/>
    <x v="3"/>
    <x v="0"/>
    <d v="1899-12-30T00:00:00"/>
    <d v="1899-12-30T00:00:00"/>
  </r>
  <r>
    <n v="973"/>
    <x v="0"/>
    <x v="23"/>
    <x v="449"/>
    <m/>
    <x v="4"/>
    <s v="Curtas de Vila do Conde"/>
    <m/>
    <x v="1"/>
    <d v="2013-01-31T00:00:00"/>
    <x v="11"/>
    <d v="2013-12-31T00:00:00"/>
    <d v="2013-07-24T00:00:00"/>
    <x v="11"/>
    <x v="3"/>
    <x v="4"/>
    <x v="21"/>
    <x v="0"/>
    <m/>
    <m/>
    <x v="101"/>
    <m/>
    <m/>
    <x v="0"/>
    <x v="0"/>
    <n v="500"/>
    <m/>
    <x v="1"/>
    <n v="0"/>
    <x v="0"/>
    <x v="0"/>
    <m/>
    <m/>
    <x v="0"/>
    <m/>
    <x v="0"/>
    <d v="2013-11-25T00:00:00"/>
    <x v="5"/>
    <x v="9"/>
    <s v="R"/>
    <x v="3"/>
    <x v="0"/>
    <x v="108"/>
    <s v=""/>
    <x v="4"/>
    <x v="2"/>
    <x v="4"/>
    <x v="3"/>
    <x v="0"/>
    <d v="1899-12-30T00:00:00"/>
    <d v="1899-12-30T00:00:00"/>
  </r>
  <r>
    <n v="974"/>
    <x v="0"/>
    <x v="101"/>
    <x v="809"/>
    <m/>
    <x v="4"/>
    <s v="Veneza"/>
    <m/>
    <x v="1"/>
    <d v="2013-01-31T00:00:00"/>
    <x v="11"/>
    <d v="2013-12-31T00:00:00"/>
    <d v="2013-07-27T00:00:00"/>
    <x v="11"/>
    <x v="3"/>
    <x v="4"/>
    <x v="21"/>
    <x v="0"/>
    <m/>
    <m/>
    <x v="122"/>
    <m/>
    <m/>
    <x v="0"/>
    <x v="0"/>
    <n v="5000"/>
    <m/>
    <x v="1"/>
    <n v="0"/>
    <x v="0"/>
    <x v="0"/>
    <m/>
    <m/>
    <x v="0"/>
    <m/>
    <x v="0"/>
    <d v="2013-12-05T00:00:00"/>
    <x v="5"/>
    <x v="0"/>
    <s v="A"/>
    <x v="3"/>
    <x v="0"/>
    <x v="108"/>
    <s v=""/>
    <x v="4"/>
    <x v="2"/>
    <x v="4"/>
    <x v="3"/>
    <x v="0"/>
    <d v="1899-12-30T00:00:00"/>
    <d v="1899-12-30T00:00:00"/>
  </r>
  <r>
    <n v="975"/>
    <x v="0"/>
    <x v="6"/>
    <x v="810"/>
    <m/>
    <x v="4"/>
    <s v="Locarno"/>
    <s v="Lembra-me"/>
    <x v="1"/>
    <d v="2013-01-31T00:00:00"/>
    <x v="11"/>
    <d v="2013-12-31T00:00:00"/>
    <d v="2013-07-26T00:00:00"/>
    <x v="11"/>
    <x v="3"/>
    <x v="4"/>
    <x v="21"/>
    <x v="0"/>
    <m/>
    <m/>
    <x v="103"/>
    <m/>
    <m/>
    <x v="0"/>
    <x v="0"/>
    <n v="300"/>
    <m/>
    <x v="1"/>
    <n v="0"/>
    <x v="0"/>
    <x v="0"/>
    <m/>
    <m/>
    <x v="0"/>
    <m/>
    <x v="0"/>
    <d v="2013-11-25T00:00:00"/>
    <x v="5"/>
    <x v="2"/>
    <s v="E"/>
    <x v="3"/>
    <x v="0"/>
    <x v="108"/>
    <s v=""/>
    <x v="4"/>
    <x v="2"/>
    <x v="4"/>
    <x v="3"/>
    <x v="0"/>
    <d v="1899-12-30T00:00:00"/>
    <d v="1899-12-30T00:00:00"/>
  </r>
  <r>
    <n v="976"/>
    <x v="0"/>
    <x v="32"/>
    <x v="811"/>
    <m/>
    <x v="4"/>
    <m/>
    <m/>
    <x v="1"/>
    <d v="2013-01-31T00:00:00"/>
    <x v="11"/>
    <d v="2013-07-16T00:00:00"/>
    <d v="2013-07-29T00:00:00"/>
    <x v="11"/>
    <x v="3"/>
    <x v="4"/>
    <x v="21"/>
    <x v="0"/>
    <m/>
    <m/>
    <x v="49"/>
    <m/>
    <m/>
    <x v="0"/>
    <x v="0"/>
    <n v="2000"/>
    <m/>
    <x v="1"/>
    <n v="0"/>
    <x v="0"/>
    <x v="0"/>
    <m/>
    <m/>
    <x v="0"/>
    <m/>
    <x v="0"/>
    <d v="2014-01-20T00:00:00"/>
    <x v="5"/>
    <x v="13"/>
    <s v="D"/>
    <x v="3"/>
    <x v="0"/>
    <x v="108"/>
    <s v=""/>
    <x v="4"/>
    <x v="2"/>
    <x v="4"/>
    <x v="3"/>
    <x v="0"/>
    <d v="1899-12-30T00:00:00"/>
    <d v="1899-12-30T00:00:00"/>
  </r>
  <r>
    <n v="977"/>
    <x v="0"/>
    <x v="6"/>
    <x v="810"/>
    <m/>
    <x v="4"/>
    <s v="Locarno"/>
    <s v="Lembra-me"/>
    <x v="1"/>
    <d v="2013-01-31T00:00:00"/>
    <x v="11"/>
    <d v="2013-12-31T00:00:00"/>
    <d v="2013-07-27T00:00:00"/>
    <x v="11"/>
    <x v="3"/>
    <x v="4"/>
    <x v="21"/>
    <x v="0"/>
    <m/>
    <m/>
    <x v="49"/>
    <m/>
    <m/>
    <x v="0"/>
    <x v="0"/>
    <n v="2000"/>
    <m/>
    <x v="1"/>
    <n v="0"/>
    <x v="0"/>
    <x v="0"/>
    <m/>
    <m/>
    <x v="0"/>
    <m/>
    <x v="0"/>
    <d v="2013-11-25T00:00:00"/>
    <x v="5"/>
    <x v="2"/>
    <s v="E"/>
    <x v="3"/>
    <x v="0"/>
    <x v="108"/>
    <s v=""/>
    <x v="4"/>
    <x v="2"/>
    <x v="4"/>
    <x v="3"/>
    <x v="0"/>
    <d v="1899-12-30T00:00:00"/>
    <d v="1899-12-30T00:00:00"/>
  </r>
  <r>
    <n v="978"/>
    <x v="0"/>
    <x v="42"/>
    <x v="812"/>
    <m/>
    <x v="4"/>
    <s v="Florbela - Automático"/>
    <m/>
    <x v="1"/>
    <d v="2013-01-31T00:00:00"/>
    <x v="11"/>
    <d v="2013-02-14T00:00:00"/>
    <d v="2013-03-21T00:00:00"/>
    <x v="11"/>
    <x v="0"/>
    <x v="1"/>
    <x v="15"/>
    <x v="3"/>
    <m/>
    <d v="2013-07-31T00:00:00"/>
    <x v="248"/>
    <m/>
    <m/>
    <x v="0"/>
    <x v="0"/>
    <n v="3500"/>
    <m/>
    <x v="1"/>
    <n v="0"/>
    <x v="0"/>
    <x v="0"/>
    <m/>
    <m/>
    <x v="0"/>
    <d v="2014-07-22T00:00:00"/>
    <x v="0"/>
    <d v="2014-08-06T00:00:00"/>
    <x v="4"/>
    <x v="14"/>
    <s v="S"/>
    <x v="4"/>
    <x v="0"/>
    <x v="364"/>
    <s v=""/>
    <x v="4"/>
    <x v="2"/>
    <x v="3"/>
    <x v="3"/>
    <x v="0"/>
    <d v="1899-12-30T00:00:00"/>
    <d v="1899-12-30T00:00:00"/>
  </r>
  <r>
    <n v="979"/>
    <x v="0"/>
    <x v="42"/>
    <x v="813"/>
    <n v="12854"/>
    <x v="547"/>
    <s v="Florbela - Automático"/>
    <m/>
    <x v="1"/>
    <d v="2013-01-31T00:00:00"/>
    <x v="11"/>
    <d v="2013-02-14T00:00:00"/>
    <d v="2013-03-21T00:00:00"/>
    <x v="11"/>
    <x v="0"/>
    <x v="0"/>
    <x v="14"/>
    <x v="0"/>
    <m/>
    <d v="2013-07-31T00:00:00"/>
    <x v="122"/>
    <m/>
    <m/>
    <x v="0"/>
    <x v="0"/>
    <n v="5000"/>
    <m/>
    <x v="1"/>
    <n v="0"/>
    <x v="0"/>
    <x v="0"/>
    <m/>
    <m/>
    <x v="0"/>
    <d v="2013-08-13T00:00:00"/>
    <x v="0"/>
    <d v="2013-10-01T00:00:00"/>
    <x v="3"/>
    <x v="14"/>
    <s v="A"/>
    <x v="1"/>
    <x v="0"/>
    <x v="365"/>
    <s v="Horacio Alcala"/>
    <x v="63"/>
    <x v="1"/>
    <x v="2"/>
    <x v="0"/>
    <x v="0"/>
    <d v="1899-12-30T00:00:00"/>
    <d v="1899-12-30T00:00:00"/>
  </r>
  <r>
    <n v="980"/>
    <x v="0"/>
    <x v="42"/>
    <x v="814"/>
    <n v="12592"/>
    <x v="548"/>
    <s v="Florbela - Automático"/>
    <m/>
    <x v="1"/>
    <d v="2013-01-31T00:00:00"/>
    <x v="11"/>
    <d v="2013-02-14T00:00:00"/>
    <d v="2013-03-21T00:00:00"/>
    <x v="11"/>
    <x v="0"/>
    <x v="0"/>
    <x v="14"/>
    <x v="0"/>
    <m/>
    <d v="2013-07-31T00:00:00"/>
    <x v="249"/>
    <m/>
    <m/>
    <x v="0"/>
    <x v="0"/>
    <n v="17154.34"/>
    <m/>
    <x v="1"/>
    <n v="0"/>
    <x v="0"/>
    <x v="0"/>
    <m/>
    <m/>
    <x v="0"/>
    <d v="2013-09-09T00:00:00"/>
    <x v="0"/>
    <d v="2013-10-01T00:00:00"/>
    <x v="3"/>
    <x v="14"/>
    <s v="J"/>
    <x v="1"/>
    <x v="0"/>
    <x v="150"/>
    <s v="Margarida Leitão"/>
    <x v="240"/>
    <x v="3"/>
    <x v="2"/>
    <x v="0"/>
    <x v="0"/>
    <d v="1899-12-30T00:00:00"/>
    <d v="1899-12-30T00:00:00"/>
  </r>
  <r>
    <n v="981"/>
    <x v="0"/>
    <x v="42"/>
    <x v="815"/>
    <m/>
    <x v="4"/>
    <s v="Florbela - Automático"/>
    <m/>
    <x v="1"/>
    <d v="2013-01-31T00:00:00"/>
    <x v="11"/>
    <d v="2013-02-14T00:00:00"/>
    <d v="2013-03-21T00:00:00"/>
    <x v="11"/>
    <x v="0"/>
    <x v="1"/>
    <x v="15"/>
    <x v="2"/>
    <m/>
    <d v="2013-07-17T00:00:00"/>
    <x v="45"/>
    <m/>
    <m/>
    <x v="0"/>
    <x v="0"/>
    <n v="10000"/>
    <m/>
    <x v="1"/>
    <n v="0"/>
    <x v="0"/>
    <x v="0"/>
    <m/>
    <m/>
    <x v="0"/>
    <d v="2013-09-17T00:00:00"/>
    <x v="0"/>
    <d v="2014-11-06T00:00:00"/>
    <x v="3"/>
    <x v="14"/>
    <s v="D"/>
    <x v="1"/>
    <x v="0"/>
    <x v="366"/>
    <s v=""/>
    <x v="4"/>
    <x v="2"/>
    <x v="2"/>
    <x v="3"/>
    <x v="0"/>
    <d v="1899-12-30T00:00:00"/>
    <d v="1899-12-30T00:00:00"/>
  </r>
  <r>
    <n v="982"/>
    <x v="0"/>
    <x v="7"/>
    <x v="21"/>
    <m/>
    <x v="4"/>
    <s v="Cartoon d'Or"/>
    <m/>
    <x v="1"/>
    <d v="2013-01-31T00:00:00"/>
    <x v="11"/>
    <d v="2013-09-11T00:00:00"/>
    <d v="2013-09-23T00:00:00"/>
    <x v="11"/>
    <x v="3"/>
    <x v="4"/>
    <x v="21"/>
    <x v="0"/>
    <m/>
    <m/>
    <x v="61"/>
    <m/>
    <m/>
    <x v="0"/>
    <x v="0"/>
    <n v="2500"/>
    <m/>
    <x v="1"/>
    <n v="0"/>
    <x v="0"/>
    <x v="0"/>
    <m/>
    <m/>
    <x v="0"/>
    <m/>
    <x v="0"/>
    <d v="2014-04-08T00:00:00"/>
    <x v="5"/>
    <x v="2"/>
    <s v="K"/>
    <x v="3"/>
    <x v="0"/>
    <x v="108"/>
    <s v=""/>
    <x v="4"/>
    <x v="2"/>
    <x v="4"/>
    <x v="3"/>
    <x v="0"/>
    <d v="1899-12-30T00:00:00"/>
    <d v="1899-12-30T00:00:00"/>
  </r>
  <r>
    <n v="983"/>
    <x v="0"/>
    <x v="9"/>
    <x v="29"/>
    <m/>
    <x v="4"/>
    <s v="Toronto"/>
    <m/>
    <x v="1"/>
    <d v="2013-01-31T00:00:00"/>
    <x v="11"/>
    <d v="2013-08-30T00:00:00"/>
    <d v="2013-09-09T00:00:00"/>
    <x v="11"/>
    <x v="3"/>
    <x v="4"/>
    <x v="21"/>
    <x v="0"/>
    <m/>
    <m/>
    <x v="49"/>
    <m/>
    <m/>
    <x v="0"/>
    <x v="0"/>
    <n v="2000"/>
    <m/>
    <x v="1"/>
    <n v="0"/>
    <x v="0"/>
    <x v="0"/>
    <m/>
    <m/>
    <x v="0"/>
    <m/>
    <x v="0"/>
    <d v="2014-01-20T00:00:00"/>
    <x v="5"/>
    <x v="3"/>
    <s v="B"/>
    <x v="3"/>
    <x v="0"/>
    <x v="108"/>
    <s v=""/>
    <x v="4"/>
    <x v="2"/>
    <x v="4"/>
    <x v="3"/>
    <x v="0"/>
    <d v="1899-12-30T00:00:00"/>
    <d v="1899-12-30T00:00:00"/>
  </r>
  <r>
    <n v="984"/>
    <x v="1"/>
    <x v="78"/>
    <x v="816"/>
    <m/>
    <x v="4"/>
    <m/>
    <m/>
    <x v="1"/>
    <d v="2013-01-31T00:00:00"/>
    <x v="11"/>
    <d v="2013-03-03T00:00:00"/>
    <d v="2013-10-07T00:00:00"/>
    <x v="11"/>
    <x v="3"/>
    <x v="4"/>
    <x v="20"/>
    <x v="0"/>
    <m/>
    <d v="2014-05-14T00:00:00"/>
    <x v="24"/>
    <m/>
    <m/>
    <x v="0"/>
    <x v="0"/>
    <n v="100000"/>
    <n v="20000"/>
    <x v="1"/>
    <n v="20000"/>
    <x v="9"/>
    <x v="0"/>
    <m/>
    <m/>
    <x v="0"/>
    <m/>
    <x v="0"/>
    <d v="2014-12-02T00:00:00"/>
    <x v="5"/>
    <x v="2"/>
    <s v="C"/>
    <x v="3"/>
    <x v="0"/>
    <x v="108"/>
    <s v=""/>
    <x v="4"/>
    <x v="2"/>
    <x v="4"/>
    <x v="3"/>
    <x v="0"/>
    <d v="1899-12-30T00:00:00"/>
    <d v="1899-12-30T00:00:00"/>
  </r>
  <r>
    <n v="985"/>
    <x v="0"/>
    <x v="110"/>
    <x v="817"/>
    <m/>
    <x v="4"/>
    <m/>
    <m/>
    <x v="1"/>
    <d v="2013-01-31T00:00:00"/>
    <x v="11"/>
    <d v="2013-03-13T00:00:00"/>
    <d v="2013-10-07T00:00:00"/>
    <x v="11"/>
    <x v="0"/>
    <x v="1"/>
    <x v="5"/>
    <x v="2"/>
    <m/>
    <d v="2013-12-31T00:00:00"/>
    <x v="45"/>
    <m/>
    <m/>
    <x v="0"/>
    <x v="0"/>
    <n v="10000"/>
    <m/>
    <x v="1"/>
    <n v="0"/>
    <x v="0"/>
    <x v="0"/>
    <m/>
    <m/>
    <x v="0"/>
    <d v="2013-12-31T00:00:00"/>
    <x v="0"/>
    <d v="2014-01-20T00:00:00"/>
    <x v="3"/>
    <x v="6"/>
    <s v="O"/>
    <x v="1"/>
    <x v="0"/>
    <x v="197"/>
    <s v=""/>
    <x v="4"/>
    <x v="2"/>
    <x v="2"/>
    <x v="3"/>
    <x v="0"/>
    <d v="1899-12-30T00:00:00"/>
    <d v="1899-12-30T00:00:00"/>
  </r>
  <r>
    <n v="986"/>
    <x v="0"/>
    <x v="10"/>
    <x v="818"/>
    <m/>
    <x v="4"/>
    <m/>
    <m/>
    <x v="1"/>
    <d v="2013-01-31T00:00:00"/>
    <x v="11"/>
    <d v="2013-03-13T00:00:00"/>
    <d v="2013-10-07T00:00:00"/>
    <x v="11"/>
    <x v="0"/>
    <x v="1"/>
    <x v="5"/>
    <x v="2"/>
    <m/>
    <m/>
    <x v="45"/>
    <m/>
    <m/>
    <x v="0"/>
    <x v="0"/>
    <n v="10000"/>
    <m/>
    <x v="1"/>
    <n v="0"/>
    <x v="0"/>
    <x v="0"/>
    <m/>
    <m/>
    <x v="0"/>
    <d v="2013-11-22T00:00:00"/>
    <x v="0"/>
    <d v="2014-01-20T00:00:00"/>
    <x v="3"/>
    <x v="4"/>
    <s v="R"/>
    <x v="1"/>
    <x v="0"/>
    <x v="367"/>
    <s v=""/>
    <x v="4"/>
    <x v="2"/>
    <x v="2"/>
    <x v="3"/>
    <x v="0"/>
    <d v="1899-12-30T00:00:00"/>
    <d v="1899-12-30T00:00:00"/>
  </r>
  <r>
    <n v="987"/>
    <x v="0"/>
    <x v="6"/>
    <x v="819"/>
    <m/>
    <x v="4"/>
    <m/>
    <m/>
    <x v="1"/>
    <d v="2013-01-31T00:00:00"/>
    <x v="11"/>
    <d v="2013-03-13T00:00:00"/>
    <d v="2013-10-07T00:00:00"/>
    <x v="11"/>
    <x v="0"/>
    <x v="1"/>
    <x v="5"/>
    <x v="2"/>
    <m/>
    <d v="2014-02-03T00:00:00"/>
    <x v="45"/>
    <m/>
    <m/>
    <x v="0"/>
    <x v="0"/>
    <n v="10000"/>
    <m/>
    <x v="1"/>
    <n v="0"/>
    <x v="0"/>
    <x v="0"/>
    <m/>
    <m/>
    <x v="0"/>
    <m/>
    <x v="0"/>
    <d v="2014-03-04T00:00:00"/>
    <x v="3"/>
    <x v="2"/>
    <s v="C"/>
    <x v="3"/>
    <x v="0"/>
    <x v="119"/>
    <s v=""/>
    <x v="4"/>
    <x v="2"/>
    <x v="2"/>
    <x v="3"/>
    <x v="0"/>
    <d v="1899-12-30T00:00:00"/>
    <d v="1899-12-30T00:00:00"/>
  </r>
  <r>
    <n v="988"/>
    <x v="1"/>
    <x v="11"/>
    <x v="820"/>
    <m/>
    <x v="4"/>
    <m/>
    <m/>
    <x v="1"/>
    <d v="2013-01-31T00:00:00"/>
    <x v="11"/>
    <d v="2013-03-13T00:00:00"/>
    <d v="2013-10-07T00:00:00"/>
    <x v="11"/>
    <x v="0"/>
    <x v="1"/>
    <x v="5"/>
    <x v="2"/>
    <m/>
    <d v="2014-02-06T00:00:00"/>
    <x v="45"/>
    <m/>
    <m/>
    <x v="0"/>
    <x v="0"/>
    <n v="10000"/>
    <n v="2000"/>
    <x v="1"/>
    <n v="2000"/>
    <x v="8"/>
    <x v="0"/>
    <m/>
    <m/>
    <x v="0"/>
    <m/>
    <x v="0"/>
    <d v="2014-03-04T00:00:00"/>
    <x v="3"/>
    <x v="4"/>
    <s v="B"/>
    <x v="3"/>
    <x v="0"/>
    <x v="30"/>
    <s v=""/>
    <x v="4"/>
    <x v="2"/>
    <x v="2"/>
    <x v="3"/>
    <x v="0"/>
    <d v="1899-12-30T00:00:00"/>
    <d v="1899-12-30T00:00:00"/>
  </r>
  <r>
    <n v="989"/>
    <x v="1"/>
    <x v="9"/>
    <x v="821"/>
    <m/>
    <x v="4"/>
    <m/>
    <m/>
    <x v="1"/>
    <d v="2013-01-31T00:00:00"/>
    <x v="11"/>
    <d v="2013-03-13T00:00:00"/>
    <d v="2013-10-07T00:00:00"/>
    <x v="11"/>
    <x v="0"/>
    <x v="1"/>
    <x v="5"/>
    <x v="2"/>
    <m/>
    <d v="2014-01-23T00:00:00"/>
    <x v="45"/>
    <m/>
    <m/>
    <x v="0"/>
    <x v="0"/>
    <n v="10000"/>
    <n v="2000"/>
    <x v="1"/>
    <n v="2000"/>
    <x v="8"/>
    <x v="0"/>
    <m/>
    <m/>
    <x v="0"/>
    <m/>
    <x v="0"/>
    <d v="2014-03-04T00:00:00"/>
    <x v="3"/>
    <x v="3"/>
    <s v="O"/>
    <x v="3"/>
    <x v="0"/>
    <x v="323"/>
    <s v=""/>
    <x v="4"/>
    <x v="2"/>
    <x v="2"/>
    <x v="3"/>
    <x v="0"/>
    <d v="1899-12-30T00:00:00"/>
    <d v="1899-12-30T00:00:00"/>
  </r>
  <r>
    <n v="990"/>
    <x v="1"/>
    <x v="42"/>
    <x v="63"/>
    <m/>
    <x v="4"/>
    <m/>
    <m/>
    <x v="1"/>
    <d v="2013-01-31T00:00:00"/>
    <x v="11"/>
    <d v="2013-03-20T00:00:00"/>
    <d v="2013-10-07T00:00:00"/>
    <x v="11"/>
    <x v="0"/>
    <x v="0"/>
    <x v="6"/>
    <x v="0"/>
    <m/>
    <m/>
    <x v="250"/>
    <m/>
    <m/>
    <x v="0"/>
    <x v="0"/>
    <n v="110521.66"/>
    <n v="110521.66"/>
    <x v="1"/>
    <n v="110521.66"/>
    <x v="12"/>
    <x v="0"/>
    <m/>
    <m/>
    <x v="0"/>
    <m/>
    <x v="0"/>
    <d v="2014-01-23T00:00:00"/>
    <x v="0"/>
    <x v="14"/>
    <s v="V"/>
    <x v="3"/>
    <x v="0"/>
    <x v="368"/>
    <s v=""/>
    <x v="4"/>
    <x v="2"/>
    <x v="0"/>
    <x v="0"/>
    <x v="0"/>
    <d v="1899-12-30T00:00:00"/>
    <d v="1899-12-30T00:00:00"/>
  </r>
  <r>
    <n v="991"/>
    <x v="1"/>
    <x v="10"/>
    <x v="822"/>
    <m/>
    <x v="4"/>
    <m/>
    <m/>
    <x v="1"/>
    <d v="2013-01-31T00:00:00"/>
    <x v="11"/>
    <d v="2013-03-20T00:00:00"/>
    <d v="2013-10-07T00:00:00"/>
    <x v="11"/>
    <x v="0"/>
    <x v="0"/>
    <x v="6"/>
    <x v="0"/>
    <m/>
    <d v="2014-06-12T00:00:00"/>
    <x v="250"/>
    <m/>
    <m/>
    <x v="0"/>
    <x v="0"/>
    <n v="110521.66"/>
    <n v="55260.83"/>
    <x v="1"/>
    <n v="55260.83"/>
    <x v="1"/>
    <x v="0"/>
    <m/>
    <m/>
    <x v="0"/>
    <m/>
    <x v="0"/>
    <d v="2014-12-02T00:00:00"/>
    <x v="0"/>
    <x v="4"/>
    <s v="O"/>
    <x v="3"/>
    <x v="0"/>
    <x v="369"/>
    <s v=""/>
    <x v="4"/>
    <x v="2"/>
    <x v="0"/>
    <x v="0"/>
    <x v="0"/>
    <d v="1899-12-30T00:00:00"/>
    <d v="1899-12-30T00:00:00"/>
  </r>
  <r>
    <n v="992"/>
    <x v="1"/>
    <x v="189"/>
    <x v="97"/>
    <n v="12217"/>
    <x v="80"/>
    <m/>
    <m/>
    <x v="1"/>
    <d v="2013-01-31T00:00:00"/>
    <x v="11"/>
    <d v="2013-12-31T00:00:00"/>
    <d v="2013-10-24T00:00:00"/>
    <x v="11"/>
    <x v="1"/>
    <x v="2"/>
    <x v="13"/>
    <x v="0"/>
    <m/>
    <m/>
    <x v="76"/>
    <m/>
    <m/>
    <x v="0"/>
    <x v="0"/>
    <n v="4000"/>
    <n v="4000"/>
    <x v="1"/>
    <n v="4000"/>
    <x v="9"/>
    <x v="0"/>
    <m/>
    <m/>
    <x v="0"/>
    <m/>
    <x v="0"/>
    <d v="2014-01-23T00:00:00"/>
    <x v="5"/>
    <x v="16"/>
    <s v="A"/>
    <x v="3"/>
    <x v="0"/>
    <x v="108"/>
    <s v="Flora Gomes"/>
    <x v="65"/>
    <x v="0"/>
    <x v="4"/>
    <x v="3"/>
    <x v="0"/>
    <d v="1899-12-30T00:00:00"/>
    <d v="1899-12-30T00:00:00"/>
  </r>
  <r>
    <n v="993"/>
    <x v="1"/>
    <x v="23"/>
    <x v="746"/>
    <m/>
    <x v="4"/>
    <m/>
    <m/>
    <x v="1"/>
    <d v="2013-01-31T00:00:00"/>
    <x v="11"/>
    <d v="2013-03-20T00:00:00"/>
    <d v="2013-10-18T00:00:00"/>
    <x v="11"/>
    <x v="0"/>
    <x v="0"/>
    <x v="0"/>
    <x v="0"/>
    <m/>
    <d v="2014-01-16T00:00:00"/>
    <x v="0"/>
    <m/>
    <m/>
    <x v="0"/>
    <x v="0"/>
    <n v="600000"/>
    <n v="60000"/>
    <x v="1"/>
    <n v="60000"/>
    <x v="3"/>
    <x v="0"/>
    <d v="2013-12-09T00:00:00"/>
    <d v="2014-08-31T00:00:00"/>
    <x v="25"/>
    <m/>
    <x v="0"/>
    <d v="2014-10-06T00:00:00"/>
    <x v="0"/>
    <x v="9"/>
    <s v="A"/>
    <x v="3"/>
    <x v="0"/>
    <x v="47"/>
    <s v=""/>
    <x v="4"/>
    <x v="2"/>
    <x v="0"/>
    <x v="0"/>
    <x v="0"/>
    <d v="2013-12-09T00:00:00"/>
    <d v="2014-08-31T00:00:00"/>
  </r>
  <r>
    <n v="994"/>
    <x v="1"/>
    <x v="29"/>
    <x v="823"/>
    <m/>
    <x v="4"/>
    <m/>
    <m/>
    <x v="1"/>
    <d v="2013-01-31T00:00:00"/>
    <x v="11"/>
    <d v="2013-03-20T00:00:00"/>
    <d v="2013-10-18T00:00:00"/>
    <x v="11"/>
    <x v="0"/>
    <x v="0"/>
    <x v="0"/>
    <x v="0"/>
    <m/>
    <d v="2014-02-03T00:00:00"/>
    <x v="0"/>
    <m/>
    <m/>
    <x v="0"/>
    <x v="0"/>
    <n v="600000"/>
    <n v="240000"/>
    <x v="1"/>
    <n v="240000"/>
    <x v="1"/>
    <x v="0"/>
    <d v="2014-06-23T00:00:00"/>
    <d v="2014-10-31T00:00:00"/>
    <x v="0"/>
    <m/>
    <x v="0"/>
    <d v="2014-11-06T00:00:00"/>
    <x v="0"/>
    <x v="11"/>
    <s v="H"/>
    <x v="3"/>
    <x v="0"/>
    <x v="224"/>
    <s v=""/>
    <x v="4"/>
    <x v="2"/>
    <x v="0"/>
    <x v="0"/>
    <x v="0"/>
    <d v="2014-06-23T00:00:00"/>
    <d v="2014-10-31T00:00:00"/>
  </r>
  <r>
    <n v="995"/>
    <x v="0"/>
    <x v="0"/>
    <x v="749"/>
    <n v="13519"/>
    <x v="549"/>
    <m/>
    <m/>
    <x v="1"/>
    <d v="2013-01-31T00:00:00"/>
    <x v="11"/>
    <d v="2013-03-20T00:00:00"/>
    <d v="2013-10-18T00:00:00"/>
    <x v="11"/>
    <x v="0"/>
    <x v="0"/>
    <x v="0"/>
    <x v="0"/>
    <m/>
    <d v="2014-02-03T00:00:00"/>
    <x v="0"/>
    <m/>
    <m/>
    <x v="0"/>
    <x v="0"/>
    <n v="600000"/>
    <m/>
    <x v="1"/>
    <n v="0"/>
    <x v="0"/>
    <x v="0"/>
    <d v="2014-06-21T00:00:00"/>
    <m/>
    <x v="0"/>
    <d v="2015-02-19T00:00:00"/>
    <x v="0"/>
    <d v="2015-03-02T00:00:00"/>
    <x v="0"/>
    <x v="0"/>
    <s v="P"/>
    <x v="5"/>
    <x v="0"/>
    <x v="314"/>
    <s v="Hugo Vieira da Silva"/>
    <x v="4"/>
    <x v="4"/>
    <x v="0"/>
    <x v="0"/>
    <x v="0"/>
    <d v="2014-06-21T00:00:00"/>
    <d v="1899-12-30T00:00:00"/>
  </r>
  <r>
    <n v="996"/>
    <x v="1"/>
    <x v="13"/>
    <x v="824"/>
    <m/>
    <x v="4"/>
    <m/>
    <m/>
    <x v="1"/>
    <d v="2013-01-31T00:00:00"/>
    <x v="11"/>
    <d v="2013-03-20T00:00:00"/>
    <d v="2013-10-18T00:00:00"/>
    <x v="11"/>
    <x v="0"/>
    <x v="0"/>
    <x v="0"/>
    <x v="0"/>
    <m/>
    <d v="2014-02-13T00:00:00"/>
    <x v="0"/>
    <m/>
    <m/>
    <x v="0"/>
    <x v="0"/>
    <n v="600000"/>
    <n v="480000"/>
    <x v="1"/>
    <n v="480000"/>
    <x v="6"/>
    <x v="0"/>
    <d v="2013-03-01T00:00:00"/>
    <d v="2013-04-30T00:00:00"/>
    <x v="0"/>
    <m/>
    <x v="0"/>
    <d v="2014-03-04T00:00:00"/>
    <x v="0"/>
    <x v="4"/>
    <s v="N"/>
    <x v="3"/>
    <x v="0"/>
    <x v="212"/>
    <s v=""/>
    <x v="4"/>
    <x v="2"/>
    <x v="0"/>
    <x v="0"/>
    <x v="0"/>
    <d v="2013-03-01T00:00:00"/>
    <d v="2013-04-30T00:00:00"/>
  </r>
  <r>
    <n v="997"/>
    <x v="0"/>
    <x v="29"/>
    <x v="825"/>
    <m/>
    <x v="4"/>
    <s v="Roma"/>
    <m/>
    <x v="1"/>
    <d v="2013-01-31T00:00:00"/>
    <x v="11"/>
    <d v="2013-10-01T00:00:00"/>
    <d v="2013-10-24T00:00:00"/>
    <x v="11"/>
    <x v="3"/>
    <x v="4"/>
    <x v="21"/>
    <x v="0"/>
    <m/>
    <m/>
    <x v="103"/>
    <m/>
    <m/>
    <x v="0"/>
    <x v="0"/>
    <n v="300"/>
    <m/>
    <x v="1"/>
    <n v="0"/>
    <x v="0"/>
    <x v="0"/>
    <m/>
    <m/>
    <x v="0"/>
    <m/>
    <x v="0"/>
    <d v="2014-02-04T00:00:00"/>
    <x v="5"/>
    <x v="11"/>
    <s v="A"/>
    <x v="3"/>
    <x v="0"/>
    <x v="108"/>
    <s v=""/>
    <x v="4"/>
    <x v="2"/>
    <x v="4"/>
    <x v="3"/>
    <x v="0"/>
    <d v="1899-12-30T00:00:00"/>
    <d v="1899-12-30T00:00:00"/>
  </r>
  <r>
    <n v="998"/>
    <x v="0"/>
    <x v="29"/>
    <x v="825"/>
    <m/>
    <x v="4"/>
    <s v="Roma"/>
    <m/>
    <x v="1"/>
    <d v="2013-01-31T00:00:00"/>
    <x v="11"/>
    <d v="2013-09-19T00:00:00"/>
    <d v="2013-10-24T00:00:00"/>
    <x v="11"/>
    <x v="3"/>
    <x v="4"/>
    <x v="21"/>
    <x v="0"/>
    <m/>
    <m/>
    <x v="49"/>
    <m/>
    <m/>
    <x v="0"/>
    <x v="0"/>
    <n v="2000"/>
    <m/>
    <x v="1"/>
    <n v="0"/>
    <x v="0"/>
    <x v="0"/>
    <m/>
    <m/>
    <x v="0"/>
    <m/>
    <x v="0"/>
    <d v="2014-02-04T00:00:00"/>
    <x v="5"/>
    <x v="11"/>
    <s v="A"/>
    <x v="3"/>
    <x v="0"/>
    <x v="108"/>
    <s v=""/>
    <x v="4"/>
    <x v="2"/>
    <x v="4"/>
    <x v="3"/>
    <x v="0"/>
    <d v="1899-12-30T00:00:00"/>
    <d v="1899-12-30T00:00:00"/>
  </r>
  <r>
    <n v="999"/>
    <x v="0"/>
    <x v="9"/>
    <x v="29"/>
    <m/>
    <x v="4"/>
    <s v="MI de Cinema de S. Paulo"/>
    <m/>
    <x v="1"/>
    <d v="2013-01-31T00:00:00"/>
    <x v="11"/>
    <d v="2013-10-11T00:00:00"/>
    <d v="2013-10-25T00:00:00"/>
    <x v="11"/>
    <x v="3"/>
    <x v="4"/>
    <x v="21"/>
    <x v="0"/>
    <m/>
    <m/>
    <x v="65"/>
    <m/>
    <m/>
    <x v="0"/>
    <x v="0"/>
    <n v="1000"/>
    <m/>
    <x v="1"/>
    <n v="0"/>
    <x v="0"/>
    <x v="0"/>
    <m/>
    <m/>
    <x v="0"/>
    <m/>
    <x v="0"/>
    <d v="2014-01-20T00:00:00"/>
    <x v="5"/>
    <x v="3"/>
    <s v="B"/>
    <x v="3"/>
    <x v="0"/>
    <x v="108"/>
    <s v=""/>
    <x v="4"/>
    <x v="2"/>
    <x v="4"/>
    <x v="3"/>
    <x v="0"/>
    <d v="1899-12-30T00:00:00"/>
    <d v="1899-12-30T00:00:00"/>
  </r>
  <r>
    <n v="1000"/>
    <x v="0"/>
    <x v="6"/>
    <x v="810"/>
    <m/>
    <x v="4"/>
    <s v="Nova YorK"/>
    <m/>
    <x v="1"/>
    <d v="2013-01-31T00:00:00"/>
    <x v="11"/>
    <d v="2013-09-27T00:00:00"/>
    <d v="2013-10-23T00:00:00"/>
    <x v="11"/>
    <x v="3"/>
    <x v="4"/>
    <x v="21"/>
    <x v="0"/>
    <m/>
    <m/>
    <x v="49"/>
    <m/>
    <m/>
    <x v="0"/>
    <x v="0"/>
    <n v="2000"/>
    <m/>
    <x v="1"/>
    <n v="0"/>
    <x v="0"/>
    <x v="0"/>
    <m/>
    <m/>
    <x v="0"/>
    <m/>
    <x v="0"/>
    <d v="2013-11-25T00:00:00"/>
    <x v="5"/>
    <x v="2"/>
    <s v="E"/>
    <x v="3"/>
    <x v="0"/>
    <x v="108"/>
    <s v=""/>
    <x v="4"/>
    <x v="2"/>
    <x v="4"/>
    <x v="3"/>
    <x v="0"/>
    <d v="1899-12-30T00:00:00"/>
    <d v="1899-12-30T00:00:00"/>
  </r>
  <r>
    <n v="1001"/>
    <x v="0"/>
    <x v="6"/>
    <x v="810"/>
    <m/>
    <x v="4"/>
    <s v="Nova YorK"/>
    <m/>
    <x v="1"/>
    <d v="2013-01-31T00:00:00"/>
    <x v="11"/>
    <d v="2013-09-16T00:00:00"/>
    <d v="2013-10-24T00:00:00"/>
    <x v="11"/>
    <x v="3"/>
    <x v="4"/>
    <x v="21"/>
    <x v="0"/>
    <m/>
    <m/>
    <x v="251"/>
    <m/>
    <m/>
    <x v="0"/>
    <x v="0"/>
    <n v="290"/>
    <m/>
    <x v="1"/>
    <n v="0"/>
    <x v="0"/>
    <x v="0"/>
    <m/>
    <m/>
    <x v="0"/>
    <m/>
    <x v="0"/>
    <d v="2013-11-25T00:00:00"/>
    <x v="5"/>
    <x v="2"/>
    <s v="E"/>
    <x v="3"/>
    <x v="0"/>
    <x v="108"/>
    <s v=""/>
    <x v="4"/>
    <x v="2"/>
    <x v="4"/>
    <x v="3"/>
    <x v="0"/>
    <d v="1899-12-30T00:00:00"/>
    <d v="1899-12-30T00:00:00"/>
  </r>
  <r>
    <n v="1002"/>
    <x v="0"/>
    <x v="9"/>
    <x v="30"/>
    <m/>
    <x v="4"/>
    <s v="Curtas de Vila do Conde"/>
    <m/>
    <x v="1"/>
    <d v="2013-01-31T00:00:00"/>
    <x v="11"/>
    <d v="2013-08-29T00:00:00"/>
    <d v="2013-09-09T00:00:00"/>
    <x v="11"/>
    <x v="3"/>
    <x v="4"/>
    <x v="21"/>
    <x v="0"/>
    <m/>
    <m/>
    <x v="101"/>
    <m/>
    <m/>
    <x v="0"/>
    <x v="0"/>
    <n v="500"/>
    <m/>
    <x v="1"/>
    <n v="0"/>
    <x v="0"/>
    <x v="0"/>
    <m/>
    <m/>
    <x v="0"/>
    <m/>
    <x v="0"/>
    <d v="2014-02-04T00:00:00"/>
    <x v="5"/>
    <x v="3"/>
    <s v="C"/>
    <x v="3"/>
    <x v="0"/>
    <x v="108"/>
    <s v=""/>
    <x v="4"/>
    <x v="2"/>
    <x v="4"/>
    <x v="3"/>
    <x v="0"/>
    <d v="1899-12-30T00:00:00"/>
    <d v="1899-12-30T00:00:00"/>
  </r>
  <r>
    <n v="1003"/>
    <x v="0"/>
    <x v="110"/>
    <x v="271"/>
    <m/>
    <x v="4"/>
    <s v="Oscares"/>
    <m/>
    <x v="1"/>
    <d v="2013-01-31T00:00:00"/>
    <x v="11"/>
    <d v="2013-08-09T00:00:00"/>
    <d v="2013-08-13T00:00:00"/>
    <x v="11"/>
    <x v="3"/>
    <x v="4"/>
    <x v="21"/>
    <x v="0"/>
    <m/>
    <m/>
    <x v="122"/>
    <m/>
    <m/>
    <x v="0"/>
    <x v="0"/>
    <n v="5000"/>
    <n v="5000"/>
    <x v="1"/>
    <n v="5000"/>
    <x v="0"/>
    <x v="0"/>
    <m/>
    <m/>
    <x v="0"/>
    <m/>
    <x v="0"/>
    <d v="2013-11-25T00:00:00"/>
    <x v="5"/>
    <x v="6"/>
    <s v="J"/>
    <x v="3"/>
    <x v="0"/>
    <x v="108"/>
    <s v=""/>
    <x v="4"/>
    <x v="2"/>
    <x v="4"/>
    <x v="3"/>
    <x v="0"/>
    <d v="1899-12-30T00:00:00"/>
    <d v="1899-12-30T00:00:00"/>
  </r>
  <r>
    <n v="1004"/>
    <x v="0"/>
    <x v="32"/>
    <x v="73"/>
    <m/>
    <x v="4"/>
    <s v="FIDMARSEILLE"/>
    <m/>
    <x v="1"/>
    <d v="2013-01-31T00:00:00"/>
    <x v="11"/>
    <d v="2013-09-10T00:00:00"/>
    <d v="2013-09-27T00:00:00"/>
    <x v="11"/>
    <x v="3"/>
    <x v="4"/>
    <x v="21"/>
    <x v="0"/>
    <m/>
    <m/>
    <x v="49"/>
    <m/>
    <m/>
    <x v="0"/>
    <x v="0"/>
    <n v="2000"/>
    <m/>
    <x v="1"/>
    <n v="0"/>
    <x v="0"/>
    <x v="0"/>
    <m/>
    <m/>
    <x v="0"/>
    <m/>
    <x v="0"/>
    <d v="2014-02-04T00:00:00"/>
    <x v="5"/>
    <x v="13"/>
    <s v="L"/>
    <x v="3"/>
    <x v="0"/>
    <x v="108"/>
    <s v=""/>
    <x v="4"/>
    <x v="2"/>
    <x v="4"/>
    <x v="3"/>
    <x v="0"/>
    <d v="1899-12-30T00:00:00"/>
    <d v="1899-12-30T00:00:00"/>
  </r>
  <r>
    <n v="1005"/>
    <x v="0"/>
    <x v="23"/>
    <x v="826"/>
    <m/>
    <x v="4"/>
    <s v="Veneza"/>
    <m/>
    <x v="1"/>
    <d v="2013-01-31T00:00:00"/>
    <x v="11"/>
    <d v="2013-08-10T00:00:00"/>
    <d v="2013-08-13T00:00:00"/>
    <x v="11"/>
    <x v="3"/>
    <x v="4"/>
    <x v="21"/>
    <x v="0"/>
    <m/>
    <m/>
    <x v="122"/>
    <m/>
    <m/>
    <x v="0"/>
    <x v="0"/>
    <n v="5000"/>
    <m/>
    <x v="1"/>
    <n v="0"/>
    <x v="0"/>
    <x v="0"/>
    <m/>
    <m/>
    <x v="0"/>
    <m/>
    <x v="0"/>
    <d v="2013-12-05T00:00:00"/>
    <x v="5"/>
    <x v="9"/>
    <s v="R"/>
    <x v="3"/>
    <x v="0"/>
    <x v="108"/>
    <s v=""/>
    <x v="4"/>
    <x v="2"/>
    <x v="4"/>
    <x v="3"/>
    <x v="0"/>
    <d v="1899-12-30T00:00:00"/>
    <d v="1899-12-30T00:00:00"/>
  </r>
  <r>
    <n v="1006"/>
    <x v="0"/>
    <x v="42"/>
    <x v="111"/>
    <m/>
    <x v="4"/>
    <m/>
    <m/>
    <x v="1"/>
    <d v="2013-01-31T00:00:00"/>
    <x v="11"/>
    <d v="2013-08-22T00:00:00"/>
    <d v="2013-08-29T00:00:00"/>
    <x v="11"/>
    <x v="1"/>
    <x v="2"/>
    <x v="13"/>
    <x v="0"/>
    <m/>
    <m/>
    <x v="141"/>
    <m/>
    <m/>
    <x v="0"/>
    <x v="0"/>
    <n v="3000"/>
    <m/>
    <x v="1"/>
    <n v="0"/>
    <x v="0"/>
    <x v="0"/>
    <m/>
    <m/>
    <x v="0"/>
    <m/>
    <x v="0"/>
    <d v="2014-08-06T00:00:00"/>
    <x v="5"/>
    <x v="14"/>
    <s v="J"/>
    <x v="3"/>
    <x v="0"/>
    <x v="108"/>
    <s v=""/>
    <x v="4"/>
    <x v="2"/>
    <x v="4"/>
    <x v="3"/>
    <x v="0"/>
    <d v="1899-12-30T00:00:00"/>
    <d v="1899-12-30T00:00:00"/>
  </r>
  <r>
    <n v="1007"/>
    <x v="1"/>
    <x v="193"/>
    <x v="827"/>
    <m/>
    <x v="4"/>
    <m/>
    <m/>
    <x v="1"/>
    <d v="2013-01-31T00:00:00"/>
    <x v="11"/>
    <d v="2013-05-09T00:00:00"/>
    <d v="2013-11-12T00:00:00"/>
    <x v="11"/>
    <x v="0"/>
    <x v="0"/>
    <x v="1"/>
    <x v="0"/>
    <m/>
    <d v="2014-02-12T00:00:00"/>
    <x v="179"/>
    <m/>
    <m/>
    <x v="0"/>
    <x v="0"/>
    <n v="120000"/>
    <n v="12000"/>
    <x v="1"/>
    <n v="12000"/>
    <x v="11"/>
    <x v="0"/>
    <m/>
    <m/>
    <x v="0"/>
    <m/>
    <x v="0"/>
    <d v="2015-02-03T00:00:00"/>
    <x v="1"/>
    <x v="10"/>
    <s v="E"/>
    <x v="3"/>
    <x v="0"/>
    <x v="64"/>
    <s v=""/>
    <x v="4"/>
    <x v="2"/>
    <x v="1"/>
    <x v="1"/>
    <x v="0"/>
    <d v="1899-12-30T00:00:00"/>
    <d v="1899-12-30T00:00:00"/>
  </r>
  <r>
    <n v="1008"/>
    <x v="1"/>
    <x v="7"/>
    <x v="325"/>
    <m/>
    <x v="4"/>
    <m/>
    <m/>
    <x v="1"/>
    <d v="2013-01-31T00:00:00"/>
    <x v="11"/>
    <d v="2013-05-09T00:00:00"/>
    <d v="2013-11-12T00:00:00"/>
    <x v="11"/>
    <x v="0"/>
    <x v="0"/>
    <x v="1"/>
    <x v="0"/>
    <m/>
    <d v="2014-02-12T00:00:00"/>
    <x v="24"/>
    <m/>
    <m/>
    <x v="0"/>
    <x v="0"/>
    <n v="100000"/>
    <n v="25000"/>
    <x v="1"/>
    <n v="25000"/>
    <x v="11"/>
    <x v="0"/>
    <m/>
    <m/>
    <x v="0"/>
    <m/>
    <x v="0"/>
    <d v="2014-06-09T00:00:00"/>
    <x v="1"/>
    <x v="2"/>
    <s v="T"/>
    <x v="3"/>
    <x v="0"/>
    <x v="19"/>
    <s v=""/>
    <x v="4"/>
    <x v="2"/>
    <x v="1"/>
    <x v="1"/>
    <x v="0"/>
    <d v="1899-12-30T00:00:00"/>
    <d v="1899-12-30T00:00:00"/>
  </r>
  <r>
    <n v="1009"/>
    <x v="1"/>
    <x v="194"/>
    <x v="828"/>
    <m/>
    <x v="4"/>
    <m/>
    <m/>
    <x v="1"/>
    <d v="2013-01-31T00:00:00"/>
    <x v="11"/>
    <d v="2013-05-09T00:00:00"/>
    <d v="2013-11-12T00:00:00"/>
    <x v="11"/>
    <x v="0"/>
    <x v="0"/>
    <x v="1"/>
    <x v="0"/>
    <m/>
    <d v="2014-02-14T00:00:00"/>
    <x v="24"/>
    <m/>
    <m/>
    <x v="0"/>
    <x v="0"/>
    <n v="100000"/>
    <n v="10000"/>
    <x v="1"/>
    <n v="10000"/>
    <x v="3"/>
    <x v="0"/>
    <m/>
    <m/>
    <x v="0"/>
    <m/>
    <x v="0"/>
    <d v="2015-03-02T00:00:00"/>
    <x v="1"/>
    <x v="12"/>
    <s v="S"/>
    <x v="3"/>
    <x v="0"/>
    <x v="370"/>
    <s v=""/>
    <x v="4"/>
    <x v="2"/>
    <x v="1"/>
    <x v="1"/>
    <x v="0"/>
    <d v="1899-12-30T00:00:00"/>
    <d v="1899-12-30T00:00:00"/>
  </r>
  <r>
    <n v="1010"/>
    <x v="1"/>
    <x v="1"/>
    <x v="829"/>
    <m/>
    <x v="4"/>
    <m/>
    <m/>
    <x v="1"/>
    <d v="2013-01-31T00:00:00"/>
    <x v="11"/>
    <d v="2013-05-09T00:00:00"/>
    <d v="2013-11-12T00:00:00"/>
    <x v="11"/>
    <x v="0"/>
    <x v="0"/>
    <x v="1"/>
    <x v="0"/>
    <m/>
    <d v="2014-02-12T00:00:00"/>
    <x v="36"/>
    <m/>
    <m/>
    <x v="0"/>
    <x v="0"/>
    <n v="80000"/>
    <n v="40000"/>
    <x v="1"/>
    <n v="40000"/>
    <x v="11"/>
    <x v="0"/>
    <m/>
    <m/>
    <x v="0"/>
    <m/>
    <x v="0"/>
    <d v="2015-03-02T00:00:00"/>
    <x v="1"/>
    <x v="0"/>
    <s v="O"/>
    <x v="3"/>
    <x v="0"/>
    <x v="4"/>
    <s v=""/>
    <x v="4"/>
    <x v="2"/>
    <x v="1"/>
    <x v="1"/>
    <x v="0"/>
    <d v="1899-12-30T00:00:00"/>
    <d v="1899-12-30T00:00:00"/>
  </r>
  <r>
    <n v="1011"/>
    <x v="0"/>
    <x v="195"/>
    <x v="830"/>
    <n v="13115"/>
    <x v="550"/>
    <m/>
    <m/>
    <x v="1"/>
    <d v="2013-01-31T00:00:00"/>
    <x v="11"/>
    <d v="2013-05-09T00:00:00"/>
    <d v="2013-11-12T00:00:00"/>
    <x v="11"/>
    <x v="0"/>
    <x v="0"/>
    <x v="1"/>
    <x v="0"/>
    <m/>
    <d v="2014-02-12T00:00:00"/>
    <x v="252"/>
    <m/>
    <m/>
    <x v="0"/>
    <x v="0"/>
    <n v="17000"/>
    <m/>
    <x v="1"/>
    <n v="0"/>
    <x v="0"/>
    <x v="0"/>
    <m/>
    <m/>
    <x v="0"/>
    <d v="2014-08-07T00:00:00"/>
    <x v="0"/>
    <d v="2014-11-06T00:00:00"/>
    <x v="1"/>
    <x v="10"/>
    <s v="E"/>
    <x v="4"/>
    <x v="0"/>
    <x v="371"/>
    <s v="Margarida Madeira"/>
    <x v="244"/>
    <x v="1"/>
    <x v="1"/>
    <x v="1"/>
    <x v="0"/>
    <d v="1899-12-30T00:00:00"/>
    <d v="1899-12-30T00:00:00"/>
  </r>
  <r>
    <n v="1012"/>
    <x v="1"/>
    <x v="4"/>
    <x v="831"/>
    <m/>
    <x v="4"/>
    <m/>
    <m/>
    <x v="1"/>
    <d v="2013-01-31T00:00:00"/>
    <x v="11"/>
    <d v="2013-05-09T00:00:00"/>
    <d v="2013-11-12T00:00:00"/>
    <x v="11"/>
    <x v="0"/>
    <x v="0"/>
    <x v="1"/>
    <x v="0"/>
    <m/>
    <d v="2014-02-12T00:00:00"/>
    <x v="253"/>
    <m/>
    <m/>
    <x v="0"/>
    <x v="0"/>
    <n v="83000"/>
    <n v="8300"/>
    <x v="1"/>
    <n v="8300"/>
    <x v="11"/>
    <x v="0"/>
    <m/>
    <m/>
    <x v="0"/>
    <m/>
    <x v="0"/>
    <d v="2015-01-16T00:00:00"/>
    <x v="1"/>
    <x v="1"/>
    <e v="#REF!"/>
    <x v="3"/>
    <x v="0"/>
    <x v="372"/>
    <s v=""/>
    <x v="4"/>
    <x v="2"/>
    <x v="1"/>
    <x v="1"/>
    <x v="0"/>
    <d v="1899-12-30T00:00:00"/>
    <d v="1899-12-30T00:00:00"/>
  </r>
  <r>
    <n v="1013"/>
    <x v="1"/>
    <x v="110"/>
    <x v="817"/>
    <m/>
    <x v="4"/>
    <m/>
    <m/>
    <x v="0"/>
    <d v="2013-01-31T00:00:00"/>
    <x v="11"/>
    <d v="2013-04-17T00:00:00"/>
    <d v="2013-11-12T00:00:00"/>
    <x v="11"/>
    <x v="0"/>
    <x v="0"/>
    <x v="4"/>
    <x v="0"/>
    <m/>
    <d v="2014-02-18T00:00:00"/>
    <x v="36"/>
    <m/>
    <m/>
    <x v="0"/>
    <x v="0"/>
    <n v="80000"/>
    <n v="8000"/>
    <x v="1"/>
    <n v="8000"/>
    <x v="1"/>
    <x v="0"/>
    <d v="2014-02-01T00:00:00"/>
    <d v="2014-06-01T00:00:00"/>
    <x v="0"/>
    <m/>
    <x v="0"/>
    <d v="2014-06-09T00:00:00"/>
    <x v="3"/>
    <x v="6"/>
    <s v="O"/>
    <x v="3"/>
    <x v="0"/>
    <x v="197"/>
    <s v=""/>
    <x v="4"/>
    <x v="2"/>
    <x v="2"/>
    <x v="0"/>
    <x v="0"/>
    <d v="2014-02-01T00:00:00"/>
    <d v="2014-06-01T00:00:00"/>
  </r>
  <r>
    <n v="1014"/>
    <x v="1"/>
    <x v="23"/>
    <x v="832"/>
    <m/>
    <x v="4"/>
    <m/>
    <m/>
    <x v="0"/>
    <d v="2013-01-31T00:00:00"/>
    <x v="11"/>
    <d v="2013-04-17T00:00:00"/>
    <d v="2013-11-12T00:00:00"/>
    <x v="11"/>
    <x v="0"/>
    <x v="0"/>
    <x v="4"/>
    <x v="0"/>
    <m/>
    <d v="2014-06-12T00:00:00"/>
    <x v="254"/>
    <m/>
    <m/>
    <x v="0"/>
    <x v="0"/>
    <n v="77500"/>
    <n v="62000"/>
    <x v="1"/>
    <n v="62000"/>
    <x v="6"/>
    <x v="0"/>
    <m/>
    <m/>
    <x v="0"/>
    <m/>
    <x v="0"/>
    <d v="2014-10-06T00:00:00"/>
    <x v="3"/>
    <x v="9"/>
    <s v="E"/>
    <x v="3"/>
    <x v="0"/>
    <x v="373"/>
    <s v=""/>
    <x v="4"/>
    <x v="2"/>
    <x v="2"/>
    <x v="0"/>
    <x v="0"/>
    <d v="1899-12-30T00:00:00"/>
    <d v="1899-12-30T00:00:00"/>
  </r>
  <r>
    <n v="1015"/>
    <x v="1"/>
    <x v="4"/>
    <x v="833"/>
    <m/>
    <x v="4"/>
    <m/>
    <m/>
    <x v="0"/>
    <d v="2013-01-31T00:00:00"/>
    <x v="11"/>
    <d v="2013-04-17T00:00:00"/>
    <d v="2013-11-12T00:00:00"/>
    <x v="11"/>
    <x v="0"/>
    <x v="0"/>
    <x v="4"/>
    <x v="0"/>
    <m/>
    <d v="2014-02-12T00:00:00"/>
    <x v="2"/>
    <m/>
    <m/>
    <x v="0"/>
    <x v="0"/>
    <n v="75000"/>
    <n v="7500"/>
    <x v="1"/>
    <n v="7500"/>
    <x v="3"/>
    <x v="0"/>
    <d v="2014-03-01T00:00:00"/>
    <m/>
    <x v="0"/>
    <m/>
    <x v="0"/>
    <d v="2014-04-08T00:00:00"/>
    <x v="3"/>
    <x v="1"/>
    <s v="O"/>
    <x v="3"/>
    <x v="0"/>
    <x v="176"/>
    <s v=""/>
    <x v="4"/>
    <x v="2"/>
    <x v="2"/>
    <x v="0"/>
    <x v="0"/>
    <d v="2014-03-01T00:00:00"/>
    <d v="1899-12-30T00:00:00"/>
  </r>
  <r>
    <n v="1016"/>
    <x v="1"/>
    <x v="32"/>
    <x v="834"/>
    <m/>
    <x v="4"/>
    <m/>
    <m/>
    <x v="0"/>
    <d v="2013-01-31T00:00:00"/>
    <x v="11"/>
    <d v="2013-04-17T00:00:00"/>
    <d v="2013-11-12T00:00:00"/>
    <x v="11"/>
    <x v="0"/>
    <x v="0"/>
    <x v="4"/>
    <x v="0"/>
    <m/>
    <d v="2014-02-12T00:00:00"/>
    <x v="33"/>
    <m/>
    <m/>
    <x v="0"/>
    <x v="0"/>
    <n v="60000"/>
    <n v="6000"/>
    <x v="1"/>
    <n v="6000"/>
    <x v="3"/>
    <x v="0"/>
    <d v="2014-04-01T00:00:00"/>
    <d v="2014-05-31T00:00:00"/>
    <x v="0"/>
    <m/>
    <x v="0"/>
    <d v="2014-04-08T00:00:00"/>
    <x v="3"/>
    <x v="13"/>
    <s v="A"/>
    <x v="3"/>
    <x v="0"/>
    <x v="90"/>
    <s v=""/>
    <x v="4"/>
    <x v="2"/>
    <x v="2"/>
    <x v="0"/>
    <x v="0"/>
    <d v="2014-04-01T00:00:00"/>
    <d v="2014-05-31T00:00:00"/>
  </r>
  <r>
    <n v="1017"/>
    <x v="1"/>
    <x v="196"/>
    <x v="330"/>
    <m/>
    <x v="4"/>
    <m/>
    <m/>
    <x v="0"/>
    <d v="2013-01-31T00:00:00"/>
    <x v="11"/>
    <d v="2013-04-17T00:00:00"/>
    <d v="2013-11-12T00:00:00"/>
    <x v="11"/>
    <x v="0"/>
    <x v="0"/>
    <x v="4"/>
    <x v="0"/>
    <m/>
    <d v="2014-02-18T00:00:00"/>
    <x v="255"/>
    <m/>
    <m/>
    <x v="0"/>
    <x v="0"/>
    <n v="57500"/>
    <n v="5750"/>
    <x v="1"/>
    <n v="5750"/>
    <x v="3"/>
    <x v="0"/>
    <d v="2014-02-01T00:00:00"/>
    <m/>
    <x v="0"/>
    <m/>
    <x v="0"/>
    <d v="2014-04-08T00:00:00"/>
    <x v="3"/>
    <x v="13"/>
    <s v="O"/>
    <x v="3"/>
    <x v="0"/>
    <x v="133"/>
    <s v=""/>
    <x v="4"/>
    <x v="2"/>
    <x v="2"/>
    <x v="1"/>
    <x v="0"/>
    <d v="2014-02-01T00:00:00"/>
    <d v="1899-12-30T00:00:00"/>
  </r>
  <r>
    <n v="1018"/>
    <x v="1"/>
    <x v="11"/>
    <x v="835"/>
    <m/>
    <x v="4"/>
    <m/>
    <m/>
    <x v="1"/>
    <d v="2013-01-31T00:00:00"/>
    <x v="11"/>
    <d v="2013-03-06T00:00:00"/>
    <d v="2013-11-12T00:00:00"/>
    <x v="11"/>
    <x v="0"/>
    <x v="0"/>
    <x v="11"/>
    <x v="0"/>
    <m/>
    <d v="2014-02-03T00:00:00"/>
    <x v="27"/>
    <m/>
    <m/>
    <x v="0"/>
    <x v="0"/>
    <n v="500000"/>
    <n v="400000"/>
    <x v="1"/>
    <n v="400000"/>
    <x v="6"/>
    <x v="0"/>
    <d v="2014-11-01T00:00:00"/>
    <d v="2014-11-30T00:00:00"/>
    <x v="0"/>
    <m/>
    <x v="0"/>
    <d v="2014-03-04T00:00:00"/>
    <x v="0"/>
    <x v="4"/>
    <s v="S"/>
    <x v="3"/>
    <x v="0"/>
    <x v="30"/>
    <s v=""/>
    <x v="4"/>
    <x v="2"/>
    <x v="0"/>
    <x v="0"/>
    <x v="0"/>
    <d v="2014-11-01T00:00:00"/>
    <d v="2014-11-30T00:00:00"/>
  </r>
  <r>
    <n v="1019"/>
    <x v="1"/>
    <x v="197"/>
    <x v="836"/>
    <m/>
    <x v="4"/>
    <m/>
    <m/>
    <x v="1"/>
    <d v="2013-01-31T00:00:00"/>
    <x v="11"/>
    <d v="2013-03-06T00:00:00"/>
    <d v="2013-11-12T00:00:00"/>
    <x v="11"/>
    <x v="0"/>
    <x v="0"/>
    <x v="11"/>
    <x v="0"/>
    <m/>
    <d v="2014-02-03T00:00:00"/>
    <x v="27"/>
    <m/>
    <m/>
    <x v="0"/>
    <x v="0"/>
    <n v="500000"/>
    <n v="400000"/>
    <x v="1"/>
    <n v="400000"/>
    <x v="6"/>
    <x v="0"/>
    <d v="2014-09-01T00:00:00"/>
    <d v="2014-10-31T00:00:00"/>
    <x v="0"/>
    <m/>
    <x v="0"/>
    <d v="2014-03-04T00:00:00"/>
    <x v="0"/>
    <x v="17"/>
    <s v="Z"/>
    <x v="3"/>
    <x v="0"/>
    <x v="186"/>
    <s v=""/>
    <x v="4"/>
    <x v="2"/>
    <x v="0"/>
    <x v="0"/>
    <x v="0"/>
    <d v="2014-09-01T00:00:00"/>
    <d v="2014-10-31T00:00:00"/>
  </r>
  <r>
    <n v="1020"/>
    <x v="1"/>
    <x v="22"/>
    <x v="837"/>
    <m/>
    <x v="4"/>
    <m/>
    <m/>
    <x v="1"/>
    <d v="2013-01-31T00:00:00"/>
    <x v="11"/>
    <d v="2013-05-22T00:00:00"/>
    <d v="2013-11-12T00:00:00"/>
    <x v="11"/>
    <x v="0"/>
    <x v="0"/>
    <x v="12"/>
    <x v="0"/>
    <m/>
    <d v="2014-06-24T00:00:00"/>
    <x v="256"/>
    <m/>
    <m/>
    <x v="0"/>
    <x v="0"/>
    <n v="556964.80000000005"/>
    <n v="278482.40000000002"/>
    <x v="1"/>
    <n v="278482.40000000002"/>
    <x v="1"/>
    <x v="0"/>
    <d v="2014-11-19T00:00:00"/>
    <m/>
    <x v="0"/>
    <m/>
    <x v="0"/>
    <d v="2014-12-02T00:00:00"/>
    <x v="0"/>
    <x v="9"/>
    <s v="L"/>
    <x v="3"/>
    <x v="0"/>
    <x v="46"/>
    <s v=""/>
    <x v="4"/>
    <x v="2"/>
    <x v="0"/>
    <x v="0"/>
    <x v="0"/>
    <d v="2014-11-19T00:00:00"/>
    <d v="1899-12-30T00:00:00"/>
  </r>
  <r>
    <n v="1021"/>
    <x v="1"/>
    <x v="10"/>
    <x v="838"/>
    <m/>
    <x v="4"/>
    <m/>
    <m/>
    <x v="1"/>
    <d v="2013-01-31T00:00:00"/>
    <x v="11"/>
    <d v="2013-05-22T00:00:00"/>
    <d v="2013-11-12T00:00:00"/>
    <x v="11"/>
    <x v="0"/>
    <x v="0"/>
    <x v="12"/>
    <x v="0"/>
    <m/>
    <d v="2014-02-03T00:00:00"/>
    <x v="0"/>
    <m/>
    <m/>
    <x v="0"/>
    <x v="0"/>
    <n v="600000"/>
    <n v="60000"/>
    <x v="1"/>
    <n v="60000"/>
    <x v="3"/>
    <x v="0"/>
    <d v="2014-09-01T00:00:00"/>
    <d v="2014-03-31T00:00:00"/>
    <x v="0"/>
    <m/>
    <x v="0"/>
    <d v="2014-12-09T00:00:00"/>
    <x v="0"/>
    <x v="4"/>
    <s v="C"/>
    <x v="3"/>
    <x v="0"/>
    <x v="367"/>
    <s v=""/>
    <x v="4"/>
    <x v="2"/>
    <x v="0"/>
    <x v="0"/>
    <x v="0"/>
    <d v="2014-09-01T00:00:00"/>
    <d v="2014-03-31T00:00:00"/>
  </r>
  <r>
    <n v="1022"/>
    <x v="0"/>
    <x v="42"/>
    <x v="839"/>
    <n v="13157"/>
    <x v="551"/>
    <m/>
    <m/>
    <x v="1"/>
    <d v="2013-01-31T00:00:00"/>
    <x v="11"/>
    <d v="2013-06-26T00:00:00"/>
    <d v="2013-11-12T00:00:00"/>
    <x v="11"/>
    <x v="0"/>
    <x v="0"/>
    <x v="10"/>
    <x v="0"/>
    <m/>
    <d v="2014-01-16T00:00:00"/>
    <x v="156"/>
    <m/>
    <m/>
    <x v="0"/>
    <x v="0"/>
    <n v="200000"/>
    <n v="20000"/>
    <x v="1"/>
    <n v="20000"/>
    <x v="4"/>
    <x v="0"/>
    <d v="2013-12-20T00:00:00"/>
    <d v="2013-01-24T00:00:00"/>
    <x v="26"/>
    <d v="2014-08-22T00:00:00"/>
    <x v="0"/>
    <d v="2014-10-06T00:00:00"/>
    <x v="0"/>
    <x v="14"/>
    <s v="P"/>
    <x v="4"/>
    <x v="0"/>
    <x v="374"/>
    <s v="Jean-Luc Godard, Teresa Villaverde, Ursula Meier, Sergei Loznitsa, Cristi Puiu, Angela Schanelec, Leonardo di Costanzo, Kamen Kalev, Isild Le Besco, Vincenzo Marra, Vladimir Perisic, Marc Recha, Aida Begic"/>
    <x v="121"/>
    <x v="1"/>
    <x v="0"/>
    <x v="0"/>
    <x v="0"/>
    <d v="2013-12-20T00:00:00"/>
    <d v="2013-01-24T00:00:00"/>
  </r>
  <r>
    <n v="1023"/>
    <x v="0"/>
    <x v="0"/>
    <x v="840"/>
    <n v="13266"/>
    <x v="552"/>
    <m/>
    <m/>
    <x v="1"/>
    <d v="2013-01-31T00:00:00"/>
    <x v="11"/>
    <d v="2013-06-26T00:00:00"/>
    <d v="2013-11-12T00:00:00"/>
    <x v="11"/>
    <x v="0"/>
    <x v="0"/>
    <x v="10"/>
    <x v="0"/>
    <m/>
    <d v="2013-12-18T00:00:00"/>
    <x v="156"/>
    <m/>
    <m/>
    <x v="0"/>
    <x v="0"/>
    <n v="200000"/>
    <m/>
    <x v="1"/>
    <n v="0"/>
    <x v="0"/>
    <x v="0"/>
    <m/>
    <m/>
    <x v="0"/>
    <d v="2013-12-18T00:00:00"/>
    <x v="0"/>
    <d v="2014-01-20T00:00:00"/>
    <x v="0"/>
    <x v="0"/>
    <s v="T"/>
    <x v="1"/>
    <x v="0"/>
    <x v="375"/>
    <s v="Michael Sturminger"/>
    <x v="117"/>
    <x v="1"/>
    <x v="0"/>
    <x v="0"/>
    <x v="0"/>
    <d v="1899-12-30T00:00:00"/>
    <d v="1899-12-30T00:00:00"/>
  </r>
  <r>
    <n v="1024"/>
    <x v="0"/>
    <x v="9"/>
    <x v="841"/>
    <m/>
    <x v="4"/>
    <m/>
    <m/>
    <x v="1"/>
    <d v="2013-01-31T00:00:00"/>
    <x v="11"/>
    <d v="2013-04-10T00:00:00"/>
    <d v="2013-11-12T00:00:00"/>
    <x v="11"/>
    <x v="0"/>
    <x v="1"/>
    <x v="7"/>
    <x v="3"/>
    <m/>
    <d v="2014-01-28T00:00:00"/>
    <x v="45"/>
    <m/>
    <m/>
    <x v="0"/>
    <x v="0"/>
    <n v="10000"/>
    <m/>
    <x v="1"/>
    <n v="0"/>
    <x v="0"/>
    <x v="0"/>
    <m/>
    <m/>
    <x v="0"/>
    <m/>
    <x v="0"/>
    <d v="2014-11-06T00:00:00"/>
    <x v="5"/>
    <x v="3"/>
    <s v="C"/>
    <x v="3"/>
    <x v="0"/>
    <x v="376"/>
    <s v=""/>
    <x v="4"/>
    <x v="2"/>
    <x v="4"/>
    <x v="3"/>
    <x v="0"/>
    <d v="1899-12-30T00:00:00"/>
    <d v="1899-12-30T00:00:00"/>
  </r>
  <r>
    <n v="1025"/>
    <x v="0"/>
    <x v="42"/>
    <x v="842"/>
    <m/>
    <x v="4"/>
    <m/>
    <m/>
    <x v="1"/>
    <d v="2013-01-31T00:00:00"/>
    <x v="11"/>
    <d v="2013-04-10T00:00:00"/>
    <d v="2013-11-12T00:00:00"/>
    <x v="11"/>
    <x v="0"/>
    <x v="1"/>
    <x v="7"/>
    <x v="3"/>
    <m/>
    <d v="2014-01-28T00:00:00"/>
    <x v="45"/>
    <m/>
    <m/>
    <x v="0"/>
    <x v="0"/>
    <n v="10000"/>
    <m/>
    <x v="1"/>
    <n v="0"/>
    <x v="0"/>
    <x v="0"/>
    <m/>
    <m/>
    <x v="0"/>
    <m/>
    <x v="0"/>
    <d v="2014-11-06T00:00:00"/>
    <x v="5"/>
    <x v="14"/>
    <s v="A"/>
    <x v="3"/>
    <x v="0"/>
    <x v="106"/>
    <s v=""/>
    <x v="4"/>
    <x v="2"/>
    <x v="4"/>
    <x v="3"/>
    <x v="0"/>
    <d v="1899-12-30T00:00:00"/>
    <d v="1899-12-30T00:00:00"/>
  </r>
  <r>
    <n v="1026"/>
    <x v="1"/>
    <x v="10"/>
    <x v="843"/>
    <m/>
    <x v="4"/>
    <m/>
    <m/>
    <x v="1"/>
    <d v="2013-01-31T00:00:00"/>
    <x v="11"/>
    <d v="2013-04-10T00:00:00"/>
    <d v="2013-11-12T00:00:00"/>
    <x v="11"/>
    <x v="0"/>
    <x v="1"/>
    <x v="7"/>
    <x v="3"/>
    <m/>
    <d v="2014-02-12T00:00:00"/>
    <x v="45"/>
    <m/>
    <m/>
    <x v="0"/>
    <x v="0"/>
    <n v="10000"/>
    <n v="2000"/>
    <x v="1"/>
    <n v="2000"/>
    <x v="8"/>
    <x v="0"/>
    <m/>
    <m/>
    <x v="0"/>
    <m/>
    <x v="0"/>
    <d v="2014-03-04T00:00:00"/>
    <x v="5"/>
    <x v="4"/>
    <s v="E"/>
    <x v="3"/>
    <x v="0"/>
    <x v="209"/>
    <s v=""/>
    <x v="4"/>
    <x v="2"/>
    <x v="4"/>
    <x v="3"/>
    <x v="0"/>
    <d v="1899-12-30T00:00:00"/>
    <d v="1899-12-30T00:00:00"/>
  </r>
  <r>
    <n v="1027"/>
    <x v="0"/>
    <x v="198"/>
    <x v="844"/>
    <m/>
    <x v="4"/>
    <m/>
    <m/>
    <x v="1"/>
    <d v="2013-01-31T00:00:00"/>
    <x v="11"/>
    <d v="2013-04-10T00:00:00"/>
    <d v="2013-11-12T00:00:00"/>
    <x v="11"/>
    <x v="0"/>
    <x v="1"/>
    <x v="7"/>
    <x v="3"/>
    <m/>
    <d v="2014-01-28T00:00:00"/>
    <x v="45"/>
    <m/>
    <m/>
    <x v="0"/>
    <x v="0"/>
    <n v="10000"/>
    <n v="2000"/>
    <x v="1"/>
    <n v="2000"/>
    <x v="0"/>
    <x v="0"/>
    <m/>
    <m/>
    <x v="0"/>
    <m/>
    <x v="0"/>
    <d v="2014-03-04T00:00:00"/>
    <x v="5"/>
    <x v="7"/>
    <s v="C"/>
    <x v="3"/>
    <x v="0"/>
    <x v="377"/>
    <s v=""/>
    <x v="4"/>
    <x v="2"/>
    <x v="4"/>
    <x v="3"/>
    <x v="0"/>
    <d v="1899-12-30T00:00:00"/>
    <d v="1899-12-30T00:00:00"/>
  </r>
  <r>
    <n v="1028"/>
    <x v="0"/>
    <x v="199"/>
    <x v="845"/>
    <m/>
    <x v="4"/>
    <m/>
    <m/>
    <x v="1"/>
    <d v="2013-01-31T00:00:00"/>
    <x v="11"/>
    <d v="2013-04-10T00:00:00"/>
    <d v="2013-11-12T00:00:00"/>
    <x v="11"/>
    <x v="0"/>
    <x v="1"/>
    <x v="7"/>
    <x v="3"/>
    <m/>
    <d v="2014-01-28T00:00:00"/>
    <x v="45"/>
    <m/>
    <m/>
    <x v="0"/>
    <x v="0"/>
    <n v="10000"/>
    <m/>
    <x v="1"/>
    <n v="0"/>
    <x v="0"/>
    <x v="0"/>
    <m/>
    <m/>
    <x v="0"/>
    <m/>
    <x v="0"/>
    <d v="2014-11-06T00:00:00"/>
    <x v="5"/>
    <x v="8"/>
    <s v="O"/>
    <x v="3"/>
    <x v="0"/>
    <x v="197"/>
    <s v=""/>
    <x v="4"/>
    <x v="2"/>
    <x v="4"/>
    <x v="3"/>
    <x v="0"/>
    <d v="1899-12-30T00:00:00"/>
    <d v="1899-12-30T00:00:00"/>
  </r>
  <r>
    <n v="1029"/>
    <x v="0"/>
    <x v="6"/>
    <x v="846"/>
    <m/>
    <x v="4"/>
    <m/>
    <m/>
    <x v="1"/>
    <d v="2013-01-31T00:00:00"/>
    <x v="11"/>
    <d v="2013-11-29T00:00:00"/>
    <d v="2013-12-13T00:00:00"/>
    <x v="11"/>
    <x v="3"/>
    <x v="4"/>
    <x v="21"/>
    <x v="0"/>
    <m/>
    <m/>
    <x v="257"/>
    <n v="358.17"/>
    <m/>
    <x v="0"/>
    <x v="0"/>
    <n v="358.17"/>
    <m/>
    <x v="1"/>
    <n v="0"/>
    <x v="0"/>
    <x v="0"/>
    <m/>
    <m/>
    <x v="0"/>
    <m/>
    <x v="0"/>
    <d v="2014-01-20T00:00:00"/>
    <x v="5"/>
    <x v="2"/>
    <s v="F"/>
    <x v="3"/>
    <x v="0"/>
    <x v="108"/>
    <s v=""/>
    <x v="4"/>
    <x v="2"/>
    <x v="4"/>
    <x v="3"/>
    <x v="0"/>
    <d v="1899-12-30T00:00:00"/>
    <d v="1899-12-30T00:00:00"/>
  </r>
  <r>
    <n v="1030"/>
    <x v="0"/>
    <x v="6"/>
    <x v="846"/>
    <m/>
    <x v="4"/>
    <s v="DocLisboa"/>
    <m/>
    <x v="1"/>
    <d v="2013-01-31T00:00:00"/>
    <x v="11"/>
    <d v="2013-11-29T00:00:00"/>
    <d v="2013-12-13T00:00:00"/>
    <x v="11"/>
    <x v="3"/>
    <x v="4"/>
    <x v="21"/>
    <x v="0"/>
    <m/>
    <m/>
    <x v="258"/>
    <n v="298.3"/>
    <m/>
    <x v="0"/>
    <x v="0"/>
    <n v="298.3"/>
    <m/>
    <x v="1"/>
    <n v="0"/>
    <x v="0"/>
    <x v="0"/>
    <m/>
    <m/>
    <x v="0"/>
    <m/>
    <x v="0"/>
    <d v="2014-01-20T00:00:00"/>
    <x v="5"/>
    <x v="2"/>
    <s v="F"/>
    <x v="3"/>
    <x v="0"/>
    <x v="108"/>
    <s v=""/>
    <x v="4"/>
    <x v="2"/>
    <x v="4"/>
    <x v="3"/>
    <x v="0"/>
    <d v="1899-12-30T00:00:00"/>
    <d v="1899-12-30T00:00:00"/>
  </r>
  <r>
    <n v="1031"/>
    <x v="0"/>
    <x v="23"/>
    <x v="756"/>
    <m/>
    <x v="4"/>
    <s v="Espanha"/>
    <m/>
    <x v="1"/>
    <d v="2013-01-31T00:00:00"/>
    <x v="11"/>
    <d v="2013-10-18T00:00:00"/>
    <d v="2013-11-06T00:00:00"/>
    <x v="11"/>
    <x v="1"/>
    <x v="2"/>
    <x v="16"/>
    <x v="0"/>
    <m/>
    <m/>
    <x v="259"/>
    <n v="9043.32"/>
    <m/>
    <x v="0"/>
    <x v="0"/>
    <n v="9043.32"/>
    <m/>
    <x v="1"/>
    <n v="0"/>
    <x v="0"/>
    <x v="0"/>
    <m/>
    <m/>
    <x v="0"/>
    <m/>
    <x v="0"/>
    <d v="2014-04-08T00:00:00"/>
    <x v="5"/>
    <x v="9"/>
    <s v="T"/>
    <x v="3"/>
    <x v="0"/>
    <x v="108"/>
    <s v=""/>
    <x v="4"/>
    <x v="2"/>
    <x v="4"/>
    <x v="3"/>
    <x v="0"/>
    <d v="1899-12-30T00:00:00"/>
    <d v="1899-12-30T00:00:00"/>
  </r>
  <r>
    <n v="1032"/>
    <x v="0"/>
    <x v="42"/>
    <x v="847"/>
    <m/>
    <x v="4"/>
    <m/>
    <s v="Juventude Brava"/>
    <x v="1"/>
    <d v="2013-01-31T00:00:00"/>
    <x v="11"/>
    <d v="2013-11-22T00:00:00"/>
    <d v="2013-12-13T00:00:00"/>
    <x v="11"/>
    <x v="1"/>
    <x v="2"/>
    <x v="13"/>
    <x v="0"/>
    <m/>
    <m/>
    <x v="140"/>
    <n v="6037.5"/>
    <m/>
    <x v="0"/>
    <x v="0"/>
    <n v="6037.5"/>
    <m/>
    <x v="1"/>
    <n v="0"/>
    <x v="0"/>
    <x v="0"/>
    <m/>
    <m/>
    <x v="0"/>
    <m/>
    <x v="0"/>
    <d v="2014-05-06T00:00:00"/>
    <x v="5"/>
    <x v="14"/>
    <s v="C"/>
    <x v="3"/>
    <x v="0"/>
    <x v="108"/>
    <s v=""/>
    <x v="4"/>
    <x v="2"/>
    <x v="4"/>
    <x v="3"/>
    <x v="0"/>
    <d v="1899-12-30T00:00:00"/>
    <d v="1899-12-30T00:00:00"/>
  </r>
  <r>
    <n v="1033"/>
    <x v="0"/>
    <x v="23"/>
    <x v="848"/>
    <m/>
    <x v="4"/>
    <m/>
    <m/>
    <x v="1"/>
    <d v="2013-01-31T00:00:00"/>
    <x v="11"/>
    <d v="2013-09-17T00:00:00"/>
    <d v="2013-10-24T00:00:00"/>
    <x v="11"/>
    <x v="1"/>
    <x v="2"/>
    <x v="13"/>
    <x v="0"/>
    <m/>
    <m/>
    <x v="65"/>
    <m/>
    <m/>
    <x v="0"/>
    <x v="0"/>
    <n v="1000"/>
    <m/>
    <x v="1"/>
    <n v="0"/>
    <x v="0"/>
    <x v="0"/>
    <m/>
    <m/>
    <x v="0"/>
    <m/>
    <x v="0"/>
    <d v="2014-05-06T00:00:00"/>
    <x v="5"/>
    <x v="9"/>
    <s v="4"/>
    <x v="3"/>
    <x v="0"/>
    <x v="108"/>
    <s v=""/>
    <x v="4"/>
    <x v="2"/>
    <x v="4"/>
    <x v="3"/>
    <x v="0"/>
    <d v="1899-12-30T00:00:00"/>
    <d v="1899-12-30T00:00:00"/>
  </r>
  <r>
    <n v="1034"/>
    <x v="0"/>
    <x v="32"/>
    <x v="757"/>
    <m/>
    <x v="4"/>
    <m/>
    <m/>
    <x v="1"/>
    <d v="2013-01-31T00:00:00"/>
    <x v="11"/>
    <d v="2013-11-06T00:00:00"/>
    <d v="2013-12-13T00:00:00"/>
    <x v="11"/>
    <x v="1"/>
    <x v="2"/>
    <x v="13"/>
    <x v="0"/>
    <m/>
    <m/>
    <x v="78"/>
    <n v="12410.27"/>
    <m/>
    <x v="0"/>
    <x v="0"/>
    <n v="12410.27"/>
    <m/>
    <x v="1"/>
    <n v="0"/>
    <x v="0"/>
    <x v="0"/>
    <m/>
    <m/>
    <x v="0"/>
    <m/>
    <x v="0"/>
    <d v="2014-05-06T00:00:00"/>
    <x v="5"/>
    <x v="13"/>
    <s v="U"/>
    <x v="3"/>
    <x v="0"/>
    <x v="108"/>
    <s v=""/>
    <x v="4"/>
    <x v="2"/>
    <x v="4"/>
    <x v="3"/>
    <x v="0"/>
    <d v="1899-12-30T00:00:00"/>
    <d v="1899-12-30T00:00:00"/>
  </r>
  <r>
    <n v="1035"/>
    <x v="0"/>
    <x v="42"/>
    <x v="758"/>
    <m/>
    <x v="4"/>
    <m/>
    <m/>
    <x v="1"/>
    <d v="2013-01-31T00:00:00"/>
    <x v="11"/>
    <d v="2013-08-22T00:00:00"/>
    <d v="2013-08-29T00:00:00"/>
    <x v="11"/>
    <x v="1"/>
    <x v="2"/>
    <x v="13"/>
    <x v="0"/>
    <m/>
    <m/>
    <x v="45"/>
    <n v="7878.02"/>
    <m/>
    <x v="0"/>
    <x v="0"/>
    <n v="7878.02"/>
    <m/>
    <x v="1"/>
    <n v="0"/>
    <x v="0"/>
    <x v="0"/>
    <m/>
    <m/>
    <x v="0"/>
    <m/>
    <x v="0"/>
    <d v="2014-05-06T00:00:00"/>
    <x v="5"/>
    <x v="14"/>
    <s v="V"/>
    <x v="3"/>
    <x v="0"/>
    <x v="108"/>
    <s v=""/>
    <x v="4"/>
    <x v="2"/>
    <x v="4"/>
    <x v="3"/>
    <x v="0"/>
    <d v="1899-12-30T00:00:00"/>
    <d v="1899-12-30T00:00:00"/>
  </r>
  <r>
    <n v="1036"/>
    <x v="0"/>
    <x v="78"/>
    <x v="849"/>
    <m/>
    <x v="4"/>
    <m/>
    <m/>
    <x v="1"/>
    <d v="2013-01-31T00:00:00"/>
    <x v="11"/>
    <d v="2013-02-21T00:00:00"/>
    <d v="2013-06-13T00:00:00"/>
    <x v="11"/>
    <x v="4"/>
    <x v="6"/>
    <x v="24"/>
    <x v="0"/>
    <m/>
    <d v="2013-07-31T00:00:00"/>
    <x v="260"/>
    <m/>
    <m/>
    <x v="0"/>
    <x v="0"/>
    <n v="52000"/>
    <m/>
    <x v="1"/>
    <n v="0"/>
    <x v="0"/>
    <x v="0"/>
    <m/>
    <m/>
    <x v="0"/>
    <m/>
    <x v="0"/>
    <d v="2014-08-06T00:00:00"/>
    <x v="5"/>
    <x v="2"/>
    <s v="A"/>
    <x v="3"/>
    <x v="0"/>
    <x v="108"/>
    <s v=""/>
    <x v="4"/>
    <x v="2"/>
    <x v="4"/>
    <x v="3"/>
    <x v="0"/>
    <d v="1899-12-30T00:00:00"/>
    <d v="1899-12-30T00:00:00"/>
  </r>
  <r>
    <n v="1037"/>
    <x v="0"/>
    <x v="98"/>
    <x v="850"/>
    <m/>
    <x v="4"/>
    <m/>
    <m/>
    <x v="1"/>
    <d v="2013-01-31T00:00:00"/>
    <x v="11"/>
    <d v="2013-02-21T00:00:00"/>
    <d v="2013-06-13T00:00:00"/>
    <x v="11"/>
    <x v="4"/>
    <x v="6"/>
    <x v="24"/>
    <x v="0"/>
    <m/>
    <d v="2013-07-31T00:00:00"/>
    <x v="192"/>
    <m/>
    <m/>
    <x v="0"/>
    <x v="0"/>
    <n v="38000"/>
    <m/>
    <x v="1"/>
    <n v="0"/>
    <x v="0"/>
    <x v="0"/>
    <m/>
    <m/>
    <x v="0"/>
    <m/>
    <x v="0"/>
    <s v="09/06/20174"/>
    <x v="5"/>
    <x v="2"/>
    <s v="C"/>
    <x v="3"/>
    <x v="0"/>
    <x v="108"/>
    <s v=""/>
    <x v="4"/>
    <x v="2"/>
    <x v="4"/>
    <x v="3"/>
    <x v="0"/>
    <d v="1899-12-30T00:00:00"/>
    <d v="1899-12-30T00:00:00"/>
  </r>
  <r>
    <n v="1038"/>
    <x v="0"/>
    <x v="79"/>
    <x v="851"/>
    <m/>
    <x v="4"/>
    <m/>
    <m/>
    <x v="1"/>
    <d v="2013-01-31T00:00:00"/>
    <x v="11"/>
    <d v="2013-02-21T00:00:00"/>
    <d v="2013-06-13T00:00:00"/>
    <x v="11"/>
    <x v="4"/>
    <x v="6"/>
    <x v="24"/>
    <x v="0"/>
    <m/>
    <d v="2013-07-31T00:00:00"/>
    <x v="80"/>
    <m/>
    <m/>
    <x v="0"/>
    <x v="0"/>
    <n v="50000"/>
    <m/>
    <x v="1"/>
    <n v="0"/>
    <x v="0"/>
    <x v="0"/>
    <m/>
    <m/>
    <x v="0"/>
    <m/>
    <x v="0"/>
    <d v="2014-10-06T00:00:00"/>
    <x v="5"/>
    <x v="0"/>
    <s v="P"/>
    <x v="3"/>
    <x v="0"/>
    <x v="108"/>
    <s v=""/>
    <x v="4"/>
    <x v="2"/>
    <x v="4"/>
    <x v="3"/>
    <x v="0"/>
    <d v="1899-12-30T00:00:00"/>
    <d v="1899-12-30T00:00:00"/>
  </r>
  <r>
    <n v="1039"/>
    <x v="0"/>
    <x v="83"/>
    <x v="852"/>
    <m/>
    <x v="4"/>
    <m/>
    <m/>
    <x v="1"/>
    <d v="2013-01-31T00:00:00"/>
    <x v="11"/>
    <d v="2013-01-21T00:00:00"/>
    <d v="2013-06-13T00:00:00"/>
    <x v="11"/>
    <x v="4"/>
    <x v="6"/>
    <x v="24"/>
    <x v="0"/>
    <m/>
    <d v="2013-07-31T00:00:00"/>
    <x v="75"/>
    <m/>
    <m/>
    <x v="0"/>
    <x v="0"/>
    <n v="40000"/>
    <m/>
    <x v="1"/>
    <n v="0"/>
    <x v="0"/>
    <x v="0"/>
    <m/>
    <m/>
    <x v="0"/>
    <m/>
    <x v="0"/>
    <d v="2014-08-06T00:00:00"/>
    <x v="5"/>
    <x v="16"/>
    <s v="Z"/>
    <x v="3"/>
    <x v="0"/>
    <x v="108"/>
    <s v=""/>
    <x v="4"/>
    <x v="2"/>
    <x v="4"/>
    <x v="3"/>
    <x v="0"/>
    <d v="1899-12-30T00:00:00"/>
    <d v="1899-12-30T00:00:00"/>
  </r>
  <r>
    <n v="1040"/>
    <x v="0"/>
    <x v="42"/>
    <x v="853"/>
    <m/>
    <x v="4"/>
    <s v="DocLisboa"/>
    <s v="Juventude Brava"/>
    <x v="1"/>
    <d v="2013-01-31T00:00:00"/>
    <x v="11"/>
    <d v="2013-10-31T00:00:00"/>
    <d v="2013-12-13T00:00:00"/>
    <x v="11"/>
    <x v="3"/>
    <x v="4"/>
    <x v="21"/>
    <x v="0"/>
    <m/>
    <m/>
    <x v="102"/>
    <n v="588.9"/>
    <m/>
    <x v="0"/>
    <x v="0"/>
    <n v="588.9"/>
    <m/>
    <x v="1"/>
    <n v="0"/>
    <x v="0"/>
    <x v="0"/>
    <m/>
    <m/>
    <x v="0"/>
    <m/>
    <x v="0"/>
    <d v="2014-03-04T00:00:00"/>
    <x v="5"/>
    <x v="14"/>
    <s v="C"/>
    <x v="3"/>
    <x v="0"/>
    <x v="108"/>
    <s v=""/>
    <x v="4"/>
    <x v="2"/>
    <x v="4"/>
    <x v="3"/>
    <x v="0"/>
    <d v="1899-12-30T00:00:00"/>
    <d v="1899-12-30T00:00:00"/>
  </r>
  <r>
    <n v="1041"/>
    <x v="1"/>
    <x v="76"/>
    <x v="854"/>
    <m/>
    <x v="4"/>
    <m/>
    <m/>
    <x v="1"/>
    <d v="2013-01-31T00:00:00"/>
    <x v="11"/>
    <d v="2013-03-03T00:00:00"/>
    <d v="2013-10-07T00:00:00"/>
    <x v="11"/>
    <x v="3"/>
    <x v="4"/>
    <x v="20"/>
    <x v="0"/>
    <m/>
    <d v="2014-05-15T00:00:00"/>
    <x v="9"/>
    <m/>
    <m/>
    <x v="0"/>
    <x v="0"/>
    <n v="45000"/>
    <n v="9000"/>
    <x v="1"/>
    <n v="9000"/>
    <x v="9"/>
    <x v="0"/>
    <m/>
    <m/>
    <x v="0"/>
    <m/>
    <x v="0"/>
    <d v="2015-03-02T00:00:00"/>
    <x v="5"/>
    <x v="18"/>
    <s v="C"/>
    <x v="3"/>
    <x v="0"/>
    <x v="108"/>
    <s v=""/>
    <x v="4"/>
    <x v="2"/>
    <x v="4"/>
    <x v="3"/>
    <x v="0"/>
    <d v="1899-12-30T00:00:00"/>
    <d v="1899-12-30T00:00:00"/>
  </r>
  <r>
    <n v="1042"/>
    <x v="1"/>
    <x v="79"/>
    <x v="855"/>
    <m/>
    <x v="4"/>
    <m/>
    <m/>
    <x v="1"/>
    <d v="2013-01-31T00:00:00"/>
    <x v="11"/>
    <d v="2013-03-03T00:00:00"/>
    <d v="2013-10-07T00:00:00"/>
    <x v="11"/>
    <x v="3"/>
    <x v="4"/>
    <x v="20"/>
    <x v="0"/>
    <m/>
    <d v="2014-05-15T00:00:00"/>
    <x v="24"/>
    <m/>
    <m/>
    <x v="0"/>
    <x v="0"/>
    <n v="100000"/>
    <n v="20000"/>
    <x v="1"/>
    <n v="20000"/>
    <x v="9"/>
    <x v="0"/>
    <m/>
    <m/>
    <x v="0"/>
    <m/>
    <x v="0"/>
    <d v="2015-02-03T00:00:00"/>
    <x v="5"/>
    <x v="0"/>
    <s v="D"/>
    <x v="3"/>
    <x v="0"/>
    <x v="108"/>
    <s v=""/>
    <x v="4"/>
    <x v="2"/>
    <x v="4"/>
    <x v="3"/>
    <x v="0"/>
    <d v="1899-12-30T00:00:00"/>
    <d v="1899-12-30T00:00:00"/>
  </r>
  <r>
    <n v="1043"/>
    <x v="0"/>
    <x v="80"/>
    <x v="856"/>
    <m/>
    <x v="4"/>
    <m/>
    <m/>
    <x v="1"/>
    <d v="2013-01-31T00:00:00"/>
    <x v="11"/>
    <d v="2013-03-03T00:00:00"/>
    <d v="2013-10-07T00:00:00"/>
    <x v="11"/>
    <x v="3"/>
    <x v="4"/>
    <x v="20"/>
    <x v="0"/>
    <m/>
    <d v="2014-01-24T00:00:00"/>
    <x v="80"/>
    <m/>
    <m/>
    <x v="0"/>
    <x v="0"/>
    <n v="50000"/>
    <m/>
    <x v="1"/>
    <n v="0"/>
    <x v="0"/>
    <x v="0"/>
    <m/>
    <m/>
    <x v="0"/>
    <m/>
    <x v="0"/>
    <d v="2014-06-09T00:00:00"/>
    <x v="5"/>
    <x v="2"/>
    <s v="F"/>
    <x v="3"/>
    <x v="0"/>
    <x v="108"/>
    <s v=""/>
    <x v="4"/>
    <x v="2"/>
    <x v="4"/>
    <x v="3"/>
    <x v="0"/>
    <d v="1899-12-30T00:00:00"/>
    <d v="1899-12-30T00:00:00"/>
  </r>
  <r>
    <n v="1044"/>
    <x v="0"/>
    <x v="200"/>
    <x v="857"/>
    <m/>
    <x v="4"/>
    <m/>
    <m/>
    <x v="1"/>
    <d v="2013-01-31T00:00:00"/>
    <x v="11"/>
    <d v="2013-03-03T00:00:00"/>
    <d v="2013-10-07T00:00:00"/>
    <x v="11"/>
    <x v="3"/>
    <x v="4"/>
    <x v="20"/>
    <x v="0"/>
    <m/>
    <d v="2014-03-14T00:00:00"/>
    <x v="261"/>
    <m/>
    <m/>
    <x v="0"/>
    <x v="0"/>
    <n v="47500"/>
    <m/>
    <x v="1"/>
    <n v="0"/>
    <x v="0"/>
    <x v="0"/>
    <m/>
    <m/>
    <x v="0"/>
    <m/>
    <x v="0"/>
    <d v="2015-01-16T00:00:00"/>
    <x v="5"/>
    <x v="4"/>
    <s v="F"/>
    <x v="3"/>
    <x v="0"/>
    <x v="108"/>
    <s v=""/>
    <x v="4"/>
    <x v="2"/>
    <x v="4"/>
    <x v="3"/>
    <x v="0"/>
    <d v="1899-12-30T00:00:00"/>
    <d v="1899-12-30T00:00:00"/>
  </r>
  <r>
    <n v="1045"/>
    <x v="0"/>
    <x v="201"/>
    <x v="858"/>
    <m/>
    <x v="4"/>
    <s v="DocLisboa"/>
    <m/>
    <x v="1"/>
    <d v="2013-01-31T00:00:00"/>
    <x v="11"/>
    <d v="2013-10-25T00:00:00"/>
    <d v="2013-12-13T00:00:00"/>
    <x v="11"/>
    <x v="3"/>
    <x v="4"/>
    <x v="21"/>
    <x v="0"/>
    <m/>
    <m/>
    <x v="103"/>
    <m/>
    <m/>
    <x v="0"/>
    <x v="0"/>
    <n v="300"/>
    <m/>
    <x v="1"/>
    <n v="0"/>
    <x v="0"/>
    <x v="0"/>
    <m/>
    <m/>
    <x v="0"/>
    <m/>
    <x v="0"/>
    <d v="2014-04-08T00:00:00"/>
    <x v="5"/>
    <x v="10"/>
    <s v="F"/>
    <x v="3"/>
    <x v="0"/>
    <x v="108"/>
    <s v=""/>
    <x v="4"/>
    <x v="2"/>
    <x v="4"/>
    <x v="3"/>
    <x v="0"/>
    <d v="1899-12-30T00:00:00"/>
    <d v="1899-12-30T00:00:00"/>
  </r>
  <r>
    <n v="1046"/>
    <x v="1"/>
    <x v="37"/>
    <x v="859"/>
    <m/>
    <x v="4"/>
    <m/>
    <m/>
    <x v="1"/>
    <d v="2013-01-31T00:00:00"/>
    <x v="11"/>
    <d v="2013-03-03T00:00:00"/>
    <d v="2013-10-07T00:00:00"/>
    <x v="11"/>
    <x v="3"/>
    <x v="4"/>
    <x v="20"/>
    <x v="0"/>
    <m/>
    <d v="2014-08-19T00:00:00"/>
    <x v="122"/>
    <m/>
    <m/>
    <x v="0"/>
    <x v="0"/>
    <n v="5000"/>
    <n v="2500"/>
    <x v="1"/>
    <n v="2500"/>
    <x v="9"/>
    <x v="0"/>
    <m/>
    <m/>
    <x v="0"/>
    <m/>
    <x v="0"/>
    <d v="2015-01-16T00:00:00"/>
    <x v="5"/>
    <x v="3"/>
    <s v="F"/>
    <x v="3"/>
    <x v="0"/>
    <x v="108"/>
    <s v=""/>
    <x v="4"/>
    <x v="2"/>
    <x v="4"/>
    <x v="3"/>
    <x v="0"/>
    <d v="1899-12-30T00:00:00"/>
    <d v="1899-12-30T00:00:00"/>
  </r>
  <r>
    <n v="1047"/>
    <x v="0"/>
    <x v="83"/>
    <x v="860"/>
    <m/>
    <x v="4"/>
    <m/>
    <m/>
    <x v="1"/>
    <d v="2013-01-31T00:00:00"/>
    <x v="11"/>
    <d v="2013-03-03T00:00:00"/>
    <d v="2013-10-07T00:00:00"/>
    <x v="11"/>
    <x v="3"/>
    <x v="4"/>
    <x v="20"/>
    <x v="0"/>
    <m/>
    <d v="2014-04-14T00:00:00"/>
    <x v="24"/>
    <m/>
    <m/>
    <x v="0"/>
    <x v="0"/>
    <n v="100000"/>
    <m/>
    <x v="1"/>
    <n v="0"/>
    <x v="0"/>
    <x v="0"/>
    <m/>
    <m/>
    <x v="0"/>
    <m/>
    <x v="0"/>
    <d v="2014-11-06T00:00:00"/>
    <x v="5"/>
    <x v="16"/>
    <s v="I"/>
    <x v="3"/>
    <x v="0"/>
    <x v="108"/>
    <s v=""/>
    <x v="4"/>
    <x v="2"/>
    <x v="4"/>
    <x v="3"/>
    <x v="0"/>
    <d v="1899-12-30T00:00:00"/>
    <d v="1899-12-30T00:00:00"/>
  </r>
  <r>
    <n v="1048"/>
    <x v="0"/>
    <x v="84"/>
    <x v="861"/>
    <m/>
    <x v="4"/>
    <m/>
    <m/>
    <x v="1"/>
    <d v="2013-01-31T00:00:00"/>
    <x v="11"/>
    <d v="2013-03-03T00:00:00"/>
    <d v="2013-10-07T00:00:00"/>
    <x v="11"/>
    <x v="3"/>
    <x v="4"/>
    <x v="20"/>
    <x v="0"/>
    <m/>
    <d v="2014-02-18T00:00:00"/>
    <x v="150"/>
    <m/>
    <m/>
    <x v="0"/>
    <x v="0"/>
    <n v="52500"/>
    <m/>
    <x v="1"/>
    <n v="0"/>
    <x v="9"/>
    <x v="0"/>
    <m/>
    <m/>
    <x v="0"/>
    <m/>
    <x v="0"/>
    <d v="2015-03-02T00:00:00"/>
    <x v="5"/>
    <x v="13"/>
    <s v="M"/>
    <x v="3"/>
    <x v="0"/>
    <x v="108"/>
    <s v=""/>
    <x v="4"/>
    <x v="2"/>
    <x v="4"/>
    <x v="3"/>
    <x v="0"/>
    <d v="1899-12-30T00:00:00"/>
    <d v="1899-12-30T00:00:00"/>
  </r>
  <r>
    <n v="1049"/>
    <x v="0"/>
    <x v="201"/>
    <x v="862"/>
    <m/>
    <x v="4"/>
    <s v="Roma"/>
    <m/>
    <x v="1"/>
    <d v="2013-01-31T00:00:00"/>
    <x v="11"/>
    <d v="2013-10-25T00:00:00"/>
    <d v="2013-12-13T00:00:00"/>
    <x v="11"/>
    <x v="3"/>
    <x v="4"/>
    <x v="21"/>
    <x v="0"/>
    <m/>
    <m/>
    <x v="103"/>
    <m/>
    <m/>
    <x v="0"/>
    <x v="0"/>
    <n v="300"/>
    <m/>
    <x v="1"/>
    <n v="0"/>
    <x v="0"/>
    <x v="0"/>
    <m/>
    <m/>
    <x v="0"/>
    <m/>
    <x v="0"/>
    <d v="2014-04-08T00:00:00"/>
    <x v="5"/>
    <x v="10"/>
    <s v="O"/>
    <x v="3"/>
    <x v="0"/>
    <x v="108"/>
    <s v=""/>
    <x v="4"/>
    <x v="2"/>
    <x v="4"/>
    <x v="3"/>
    <x v="0"/>
    <d v="1899-12-30T00:00:00"/>
    <d v="1899-12-30T00:00:00"/>
  </r>
  <r>
    <n v="1050"/>
    <x v="0"/>
    <x v="201"/>
    <x v="862"/>
    <m/>
    <x v="4"/>
    <s v="Roma"/>
    <m/>
    <x v="1"/>
    <d v="2013-01-31T00:00:00"/>
    <x v="11"/>
    <d v="2013-10-25T00:00:00"/>
    <d v="2013-12-13T00:00:00"/>
    <x v="11"/>
    <x v="3"/>
    <x v="4"/>
    <x v="21"/>
    <x v="0"/>
    <m/>
    <m/>
    <x v="49"/>
    <m/>
    <m/>
    <x v="0"/>
    <x v="0"/>
    <n v="2000"/>
    <m/>
    <x v="1"/>
    <n v="0"/>
    <x v="0"/>
    <x v="0"/>
    <m/>
    <m/>
    <x v="0"/>
    <m/>
    <x v="0"/>
    <d v="2014-03-04T00:00:00"/>
    <x v="5"/>
    <x v="10"/>
    <s v="O"/>
    <x v="3"/>
    <x v="0"/>
    <x v="108"/>
    <s v=""/>
    <x v="4"/>
    <x v="2"/>
    <x v="4"/>
    <x v="3"/>
    <x v="0"/>
    <d v="1899-12-30T00:00:00"/>
    <d v="1899-12-30T00:00:00"/>
  </r>
  <r>
    <n v="1052"/>
    <x v="1"/>
    <x v="5"/>
    <x v="863"/>
    <m/>
    <x v="4"/>
    <s v="Curtas de Vila do Conde"/>
    <m/>
    <x v="1"/>
    <d v="2013-12-31T00:00:00"/>
    <x v="11"/>
    <d v="2013-11-05T00:00:00"/>
    <d v="2013-12-13T00:00:00"/>
    <x v="11"/>
    <x v="3"/>
    <x v="4"/>
    <x v="21"/>
    <x v="0"/>
    <m/>
    <m/>
    <x v="101"/>
    <m/>
    <m/>
    <x v="0"/>
    <x v="0"/>
    <n v="500"/>
    <n v="500"/>
    <x v="1"/>
    <n v="500"/>
    <x v="9"/>
    <x v="0"/>
    <m/>
    <m/>
    <x v="0"/>
    <m/>
    <x v="0"/>
    <d v="2014-01-23T00:00:00"/>
    <x v="5"/>
    <x v="1"/>
    <s v="O"/>
    <x v="3"/>
    <x v="0"/>
    <x v="108"/>
    <s v=""/>
    <x v="4"/>
    <x v="2"/>
    <x v="4"/>
    <x v="3"/>
    <x v="0"/>
    <d v="1899-12-30T00:00:00"/>
    <d v="1899-12-30T00:00:00"/>
  </r>
  <r>
    <n v="1053"/>
    <x v="0"/>
    <x v="32"/>
    <x v="864"/>
    <m/>
    <x v="4"/>
    <s v="DocLisboa"/>
    <m/>
    <x v="1"/>
    <d v="2013-01-31T00:00:00"/>
    <x v="11"/>
    <d v="2013-12-19T00:00:00"/>
    <d v="2014-01-21T00:00:00"/>
    <x v="16"/>
    <x v="3"/>
    <x v="4"/>
    <x v="21"/>
    <x v="0"/>
    <m/>
    <m/>
    <x v="102"/>
    <m/>
    <m/>
    <x v="0"/>
    <x v="0"/>
    <n v="750"/>
    <m/>
    <x v="1"/>
    <n v="0"/>
    <x v="0"/>
    <x v="0"/>
    <m/>
    <m/>
    <x v="0"/>
    <m/>
    <x v="0"/>
    <d v="2014-03-04T00:00:00"/>
    <x v="5"/>
    <x v="13"/>
    <s v="V"/>
    <x v="3"/>
    <x v="0"/>
    <x v="108"/>
    <s v=""/>
    <x v="4"/>
    <x v="2"/>
    <x v="4"/>
    <x v="3"/>
    <x v="0"/>
    <d v="1899-12-30T00:00:00"/>
    <d v="1899-12-30T00:00:00"/>
  </r>
  <r>
    <n v="1054"/>
    <x v="0"/>
    <x v="78"/>
    <x v="865"/>
    <m/>
    <x v="4"/>
    <s v="Roma"/>
    <m/>
    <x v="1"/>
    <d v="2013-01-31T00:00:00"/>
    <x v="11"/>
    <d v="2013-12-12T00:00:00"/>
    <d v="2014-01-21T00:00:00"/>
    <x v="16"/>
    <x v="3"/>
    <x v="4"/>
    <x v="21"/>
    <x v="0"/>
    <m/>
    <m/>
    <x v="262"/>
    <m/>
    <m/>
    <x v="0"/>
    <x v="0"/>
    <n v="1461.52"/>
    <m/>
    <x v="1"/>
    <n v="0"/>
    <x v="0"/>
    <x v="0"/>
    <m/>
    <m/>
    <x v="0"/>
    <m/>
    <x v="0"/>
    <d v="2014-05-06T00:00:00"/>
    <x v="5"/>
    <x v="2"/>
    <s v="A"/>
    <x v="3"/>
    <x v="0"/>
    <x v="108"/>
    <s v=""/>
    <x v="4"/>
    <x v="2"/>
    <x v="4"/>
    <x v="3"/>
    <x v="0"/>
    <d v="1899-12-30T00:00:00"/>
    <d v="1899-12-30T00:00:00"/>
  </r>
  <r>
    <n v="1055"/>
    <x v="1"/>
    <x v="108"/>
    <x v="866"/>
    <m/>
    <x v="4"/>
    <s v="Berlinale Shorts"/>
    <m/>
    <x v="1"/>
    <d v="2013-01-31T00:00:00"/>
    <x v="11"/>
    <d v="2013-12-31T00:00:00"/>
    <d v="2014-01-28T00:00:00"/>
    <x v="16"/>
    <x v="3"/>
    <x v="4"/>
    <x v="21"/>
    <x v="0"/>
    <m/>
    <m/>
    <x v="122"/>
    <m/>
    <m/>
    <x v="0"/>
    <x v="0"/>
    <n v="5000"/>
    <n v="5000"/>
    <x v="1"/>
    <n v="5000"/>
    <x v="12"/>
    <x v="0"/>
    <m/>
    <m/>
    <x v="0"/>
    <m/>
    <x v="0"/>
    <d v="2014-01-30T00:00:00"/>
    <x v="5"/>
    <x v="8"/>
    <s v="T"/>
    <x v="3"/>
    <x v="0"/>
    <x v="108"/>
    <s v=""/>
    <x v="4"/>
    <x v="2"/>
    <x v="4"/>
    <x v="3"/>
    <x v="0"/>
    <d v="1899-12-30T00:00:00"/>
    <d v="1899-12-30T00:00:00"/>
  </r>
  <r>
    <n v="1056"/>
    <x v="1"/>
    <x v="108"/>
    <x v="866"/>
    <m/>
    <x v="4"/>
    <s v="Berlinale Shorts"/>
    <m/>
    <x v="1"/>
    <d v="2013-01-31T00:00:00"/>
    <x v="11"/>
    <d v="2013-12-31T00:00:00"/>
    <d v="2014-01-28T00:00:00"/>
    <x v="16"/>
    <x v="3"/>
    <x v="4"/>
    <x v="21"/>
    <x v="0"/>
    <m/>
    <m/>
    <x v="103"/>
    <m/>
    <m/>
    <x v="0"/>
    <x v="0"/>
    <n v="300"/>
    <n v="300"/>
    <x v="1"/>
    <n v="300"/>
    <x v="12"/>
    <x v="0"/>
    <m/>
    <m/>
    <x v="0"/>
    <m/>
    <x v="0"/>
    <d v="2014-01-30T00:00:00"/>
    <x v="5"/>
    <x v="8"/>
    <s v="T"/>
    <x v="3"/>
    <x v="0"/>
    <x v="108"/>
    <s v=""/>
    <x v="4"/>
    <x v="2"/>
    <x v="4"/>
    <x v="3"/>
    <x v="0"/>
    <d v="1899-12-30T00:00:00"/>
    <d v="1899-12-30T00:00:00"/>
  </r>
  <r>
    <n v="1057"/>
    <x v="0"/>
    <x v="40"/>
    <x v="106"/>
    <m/>
    <x v="4"/>
    <m/>
    <m/>
    <x v="1"/>
    <d v="2013-01-31T00:00:00"/>
    <x v="11"/>
    <d v="2013-12-23T00:00:00"/>
    <d v="2014-01-21T00:00:00"/>
    <x v="16"/>
    <x v="1"/>
    <x v="2"/>
    <x v="13"/>
    <x v="0"/>
    <m/>
    <m/>
    <x v="49"/>
    <m/>
    <m/>
    <x v="0"/>
    <x v="0"/>
    <n v="2000"/>
    <m/>
    <x v="1"/>
    <n v="0"/>
    <x v="0"/>
    <x v="0"/>
    <m/>
    <m/>
    <x v="0"/>
    <m/>
    <x v="0"/>
    <d v="2014-04-08T00:00:00"/>
    <x v="5"/>
    <x v="10"/>
    <s v="A"/>
    <x v="3"/>
    <x v="0"/>
    <x v="108"/>
    <s v=""/>
    <x v="4"/>
    <x v="2"/>
    <x v="4"/>
    <x v="3"/>
    <x v="0"/>
    <d v="1899-12-30T00:00:00"/>
    <d v="1899-12-30T00:00:00"/>
  </r>
  <r>
    <n v="1058"/>
    <x v="1"/>
    <x v="4"/>
    <x v="867"/>
    <m/>
    <x v="4"/>
    <m/>
    <m/>
    <x v="1"/>
    <d v="2013-01-31T00:00:00"/>
    <x v="11"/>
    <d v="2013-06-19T00:00:00"/>
    <d v="2014-01-24T00:00:00"/>
    <x v="16"/>
    <x v="0"/>
    <x v="1"/>
    <x v="2"/>
    <x v="1"/>
    <m/>
    <d v="2014-07-15T00:00:00"/>
    <x v="263"/>
    <m/>
    <m/>
    <x v="0"/>
    <x v="0"/>
    <n v="18000"/>
    <n v="3600"/>
    <x v="1"/>
    <n v="3600"/>
    <x v="8"/>
    <x v="0"/>
    <m/>
    <m/>
    <x v="0"/>
    <m/>
    <x v="0"/>
    <d v="2014-09-09T00:00:00"/>
    <x v="5"/>
    <x v="1"/>
    <s v="S"/>
    <x v="3"/>
    <x v="0"/>
    <x v="378"/>
    <s v=""/>
    <x v="4"/>
    <x v="2"/>
    <x v="4"/>
    <x v="3"/>
    <x v="0"/>
    <d v="1899-12-30T00:00:00"/>
    <d v="1899-12-30T00:00:00"/>
  </r>
  <r>
    <n v="1059"/>
    <x v="1"/>
    <x v="193"/>
    <x v="868"/>
    <m/>
    <x v="4"/>
    <m/>
    <m/>
    <x v="1"/>
    <d v="2013-01-31T00:00:00"/>
    <x v="11"/>
    <d v="2013-06-19T00:00:00"/>
    <d v="2014-01-24T00:00:00"/>
    <x v="16"/>
    <x v="0"/>
    <x v="1"/>
    <x v="2"/>
    <x v="1"/>
    <m/>
    <d v="2014-03-14T00:00:00"/>
    <x v="263"/>
    <m/>
    <m/>
    <x v="0"/>
    <x v="0"/>
    <n v="18000"/>
    <n v="3600"/>
    <x v="1"/>
    <n v="3600"/>
    <x v="8"/>
    <x v="0"/>
    <m/>
    <m/>
    <x v="0"/>
    <m/>
    <x v="0"/>
    <d v="2014-05-06T00:00:00"/>
    <x v="5"/>
    <x v="10"/>
    <s v="A"/>
    <x v="3"/>
    <x v="0"/>
    <x v="64"/>
    <s v=""/>
    <x v="4"/>
    <x v="2"/>
    <x v="4"/>
    <x v="3"/>
    <x v="0"/>
    <d v="1899-12-30T00:00:00"/>
    <d v="1899-12-30T00:00:00"/>
  </r>
  <r>
    <n v="1060"/>
    <x v="1"/>
    <x v="32"/>
    <x v="869"/>
    <m/>
    <x v="4"/>
    <m/>
    <m/>
    <x v="1"/>
    <d v="2013-01-31T00:00:00"/>
    <x v="11"/>
    <d v="2013-06-19T00:00:00"/>
    <d v="2014-01-24T00:00:00"/>
    <x v="16"/>
    <x v="0"/>
    <x v="1"/>
    <x v="2"/>
    <x v="1"/>
    <m/>
    <d v="2014-04-14T00:00:00"/>
    <x v="13"/>
    <m/>
    <m/>
    <x v="0"/>
    <x v="0"/>
    <n v="8000"/>
    <n v="1600"/>
    <x v="1"/>
    <n v="1600"/>
    <x v="8"/>
    <x v="0"/>
    <m/>
    <m/>
    <x v="0"/>
    <m/>
    <x v="0"/>
    <d v="2014-05-06T00:00:00"/>
    <x v="5"/>
    <x v="13"/>
    <s v="A"/>
    <x v="3"/>
    <x v="0"/>
    <x v="223"/>
    <s v=""/>
    <x v="4"/>
    <x v="2"/>
    <x v="4"/>
    <x v="3"/>
    <x v="0"/>
    <d v="1899-12-30T00:00:00"/>
    <d v="1899-12-30T00:00:00"/>
  </r>
  <r>
    <n v="1061"/>
    <x v="1"/>
    <x v="2"/>
    <x v="870"/>
    <m/>
    <x v="4"/>
    <m/>
    <m/>
    <x v="1"/>
    <d v="2013-01-31T00:00:00"/>
    <x v="11"/>
    <d v="2013-06-19T00:00:00"/>
    <d v="2014-01-24T00:00:00"/>
    <x v="16"/>
    <x v="0"/>
    <x v="1"/>
    <x v="2"/>
    <x v="1"/>
    <m/>
    <d v="2014-04-14T00:00:00"/>
    <x v="70"/>
    <m/>
    <m/>
    <x v="0"/>
    <x v="0"/>
    <n v="6000"/>
    <n v="1200"/>
    <x v="1"/>
    <n v="1200"/>
    <x v="8"/>
    <x v="0"/>
    <m/>
    <m/>
    <x v="0"/>
    <m/>
    <x v="0"/>
    <d v="2014-05-06T00:00:00"/>
    <x v="5"/>
    <x v="0"/>
    <s v="O"/>
    <x v="3"/>
    <x v="0"/>
    <x v="379"/>
    <s v=""/>
    <x v="4"/>
    <x v="2"/>
    <x v="4"/>
    <x v="3"/>
    <x v="0"/>
    <d v="1899-12-30T00:00:00"/>
    <d v="1899-12-30T00:00:00"/>
  </r>
  <r>
    <n v="1062"/>
    <x v="1"/>
    <x v="42"/>
    <x v="871"/>
    <m/>
    <x v="4"/>
    <m/>
    <m/>
    <x v="1"/>
    <d v="2013-01-31T00:00:00"/>
    <x v="11"/>
    <d v="2013-07-03T00:00:00"/>
    <d v="2014-01-24T00:00:00"/>
    <x v="16"/>
    <x v="0"/>
    <x v="0"/>
    <x v="8"/>
    <x v="0"/>
    <m/>
    <d v="2014-02-13T00:00:00"/>
    <x v="137"/>
    <m/>
    <m/>
    <x v="0"/>
    <x v="0"/>
    <n v="400000"/>
    <n v="320000"/>
    <x v="1"/>
    <n v="320000"/>
    <x v="6"/>
    <x v="0"/>
    <m/>
    <m/>
    <x v="0"/>
    <m/>
    <x v="0"/>
    <d v="2014-03-03T00:00:00"/>
    <x v="0"/>
    <x v="14"/>
    <s v="C"/>
    <x v="3"/>
    <x v="0"/>
    <x v="151"/>
    <s v=""/>
    <x v="4"/>
    <x v="2"/>
    <x v="0"/>
    <x v="0"/>
    <x v="0"/>
    <d v="1899-12-30T00:00:00"/>
    <d v="1899-12-30T00:00:00"/>
  </r>
  <r>
    <n v="1063"/>
    <x v="0"/>
    <x v="4"/>
    <x v="872"/>
    <n v="13341"/>
    <x v="553"/>
    <m/>
    <m/>
    <x v="1"/>
    <d v="2013-01-31T00:00:00"/>
    <x v="11"/>
    <d v="2013-07-03T00:00:00"/>
    <d v="2014-01-24T00:00:00"/>
    <x v="16"/>
    <x v="0"/>
    <x v="0"/>
    <x v="8"/>
    <x v="0"/>
    <m/>
    <d v="2014-02-12T00:00:00"/>
    <x v="3"/>
    <m/>
    <m/>
    <x v="0"/>
    <x v="0"/>
    <n v="20000"/>
    <m/>
    <x v="1"/>
    <n v="0"/>
    <x v="0"/>
    <x v="0"/>
    <d v="2014-03-30T00:00:00"/>
    <m/>
    <x v="0"/>
    <d v="2014-11-17T00:00:00"/>
    <x v="0"/>
    <d v="2015-01-16T00:00:00"/>
    <x v="3"/>
    <x v="1"/>
    <s v="N"/>
    <x v="4"/>
    <x v="0"/>
    <x v="11"/>
    <s v="Rodrigo Areias"/>
    <x v="241"/>
    <x v="1"/>
    <x v="2"/>
    <x v="0"/>
    <x v="0"/>
    <d v="2014-03-30T00:00:00"/>
    <d v="1899-12-30T00:00:00"/>
  </r>
  <r>
    <n v="1064"/>
    <x v="1"/>
    <x v="25"/>
    <x v="873"/>
    <m/>
    <x v="4"/>
    <m/>
    <m/>
    <x v="1"/>
    <d v="2013-01-31T00:00:00"/>
    <x v="11"/>
    <d v="2013-07-03T00:00:00"/>
    <d v="2014-01-24T00:00:00"/>
    <x v="16"/>
    <x v="0"/>
    <x v="0"/>
    <x v="8"/>
    <x v="0"/>
    <m/>
    <d v="2014-02-12T00:00:00"/>
    <x v="3"/>
    <m/>
    <m/>
    <x v="0"/>
    <x v="0"/>
    <n v="20000"/>
    <n v="2000"/>
    <x v="1"/>
    <n v="2000"/>
    <x v="1"/>
    <x v="0"/>
    <m/>
    <m/>
    <x v="0"/>
    <m/>
    <x v="0"/>
    <d v="2014-06-09T00:00:00"/>
    <x v="3"/>
    <x v="10"/>
    <s v="O"/>
    <x v="3"/>
    <x v="0"/>
    <x v="231"/>
    <s v=""/>
    <x v="4"/>
    <x v="2"/>
    <x v="2"/>
    <x v="1"/>
    <x v="0"/>
    <d v="1899-12-30T00:00:00"/>
    <d v="1899-12-30T00:00:00"/>
  </r>
  <r>
    <n v="1065"/>
    <x v="1"/>
    <x v="10"/>
    <x v="874"/>
    <m/>
    <x v="4"/>
    <m/>
    <m/>
    <x v="1"/>
    <d v="2013-01-31T00:00:00"/>
    <x v="11"/>
    <d v="2013-07-03T00:00:00"/>
    <d v="2014-01-24T00:00:00"/>
    <x v="16"/>
    <x v="0"/>
    <x v="0"/>
    <x v="8"/>
    <x v="0"/>
    <m/>
    <d v="2014-02-12T00:00:00"/>
    <x v="45"/>
    <m/>
    <m/>
    <x v="0"/>
    <x v="0"/>
    <n v="10000"/>
    <n v="9000"/>
    <x v="1"/>
    <n v="9000"/>
    <x v="6"/>
    <x v="0"/>
    <m/>
    <m/>
    <x v="0"/>
    <m/>
    <x v="0"/>
    <d v="2014-03-04T00:00:00"/>
    <x v="3"/>
    <x v="4"/>
    <s v=" "/>
    <x v="3"/>
    <x v="0"/>
    <x v="380"/>
    <s v=""/>
    <x v="4"/>
    <x v="2"/>
    <x v="2"/>
    <x v="1"/>
    <x v="0"/>
    <d v="1899-12-30T00:00:00"/>
    <d v="1899-12-30T00:00:00"/>
  </r>
  <r>
    <n v="1066"/>
    <x v="0"/>
    <x v="17"/>
    <x v="875"/>
    <n v="13617"/>
    <x v="554"/>
    <m/>
    <m/>
    <x v="1"/>
    <d v="2013-01-31T00:00:00"/>
    <x v="11"/>
    <d v="2013-07-03T00:00:00"/>
    <d v="2014-01-24T00:00:00"/>
    <x v="16"/>
    <x v="0"/>
    <x v="0"/>
    <x v="8"/>
    <x v="0"/>
    <m/>
    <d v="2014-06-16T00:00:00"/>
    <x v="45"/>
    <m/>
    <m/>
    <x v="0"/>
    <x v="0"/>
    <n v="10000"/>
    <n v="1000"/>
    <x v="1"/>
    <n v="1000"/>
    <x v="4"/>
    <x v="0"/>
    <m/>
    <m/>
    <x v="0"/>
    <d v="2015-03-26T00:00:00"/>
    <x v="0"/>
    <d v="2015-03-26T00:00:00"/>
    <x v="3"/>
    <x v="7"/>
    <s v="B"/>
    <x v="5"/>
    <x v="0"/>
    <x v="381"/>
    <s v="Sana Na N'Hada"/>
    <x v="195"/>
    <x v="4"/>
    <x v="2"/>
    <x v="1"/>
    <x v="0"/>
    <d v="1899-12-30T00:00:00"/>
    <d v="1899-12-30T00:00:00"/>
  </r>
  <r>
    <n v="1067"/>
    <x v="1"/>
    <x v="28"/>
    <x v="876"/>
    <m/>
    <x v="4"/>
    <m/>
    <m/>
    <x v="1"/>
    <d v="2013-01-31T00:00:00"/>
    <x v="11"/>
    <d v="2013-07-03T00:00:00"/>
    <d v="2014-01-24T00:00:00"/>
    <x v="16"/>
    <x v="0"/>
    <x v="0"/>
    <x v="8"/>
    <x v="0"/>
    <m/>
    <d v="2014-02-12T00:00:00"/>
    <x v="45"/>
    <m/>
    <m/>
    <x v="0"/>
    <x v="0"/>
    <n v="10000"/>
    <n v="9000"/>
    <x v="1"/>
    <n v="9000"/>
    <x v="6"/>
    <x v="0"/>
    <m/>
    <m/>
    <x v="0"/>
    <m/>
    <x v="0"/>
    <d v="2014-03-04T00:00:00"/>
    <x v="3"/>
    <x v="11"/>
    <s v="C"/>
    <x v="3"/>
    <x v="0"/>
    <x v="62"/>
    <s v=""/>
    <x v="4"/>
    <x v="2"/>
    <x v="2"/>
    <x v="1"/>
    <x v="0"/>
    <d v="1899-12-30T00:00:00"/>
    <d v="1899-12-30T00:00:00"/>
  </r>
  <r>
    <n v="1068"/>
    <x v="1"/>
    <x v="8"/>
    <x v="877"/>
    <m/>
    <x v="4"/>
    <m/>
    <m/>
    <x v="1"/>
    <d v="2013-01-31T00:00:00"/>
    <x v="11"/>
    <d v="2013-07-03T00:00:00"/>
    <d v="2014-01-24T00:00:00"/>
    <x v="16"/>
    <x v="0"/>
    <x v="0"/>
    <x v="8"/>
    <x v="0"/>
    <m/>
    <m/>
    <x v="45"/>
    <m/>
    <m/>
    <x v="0"/>
    <x v="0"/>
    <n v="10000"/>
    <n v="10000"/>
    <x v="1"/>
    <n v="10000"/>
    <x v="12"/>
    <x v="0"/>
    <m/>
    <m/>
    <x v="0"/>
    <m/>
    <x v="0"/>
    <d v="2014-01-30T00:00:00"/>
    <x v="3"/>
    <x v="2"/>
    <s v="N"/>
    <x v="3"/>
    <x v="0"/>
    <x v="382"/>
    <s v=""/>
    <x v="4"/>
    <x v="2"/>
    <x v="2"/>
    <x v="1"/>
    <x v="0"/>
    <d v="1899-12-30T00:00:00"/>
    <d v="1899-12-30T00:00:00"/>
  </r>
  <r>
    <n v="1069"/>
    <x v="1"/>
    <x v="14"/>
    <x v="878"/>
    <m/>
    <x v="4"/>
    <m/>
    <m/>
    <x v="1"/>
    <d v="2013-01-31T00:00:00"/>
    <x v="11"/>
    <d v="2013-07-03T00:00:00"/>
    <d v="2014-01-24T00:00:00"/>
    <x v="16"/>
    <x v="0"/>
    <x v="0"/>
    <x v="8"/>
    <x v="0"/>
    <m/>
    <m/>
    <x v="45"/>
    <m/>
    <m/>
    <x v="0"/>
    <x v="0"/>
    <n v="10000"/>
    <n v="10000"/>
    <x v="1"/>
    <n v="10000"/>
    <x v="12"/>
    <x v="0"/>
    <m/>
    <m/>
    <x v="0"/>
    <m/>
    <x v="0"/>
    <d v="2014-01-30T00:00:00"/>
    <x v="3"/>
    <x v="4"/>
    <s v="S"/>
    <x v="3"/>
    <x v="0"/>
    <x v="383"/>
    <s v=""/>
    <x v="4"/>
    <x v="2"/>
    <x v="2"/>
    <x v="1"/>
    <x v="0"/>
    <d v="1899-12-30T00:00:00"/>
    <d v="1899-12-30T00:00:00"/>
  </r>
  <r>
    <n v="1070"/>
    <x v="1"/>
    <x v="23"/>
    <x v="879"/>
    <m/>
    <x v="4"/>
    <m/>
    <m/>
    <x v="1"/>
    <d v="2013-01-31T00:00:00"/>
    <x v="11"/>
    <d v="2014-05-29T00:00:00"/>
    <d v="2014-01-24T00:00:00"/>
    <x v="16"/>
    <x v="0"/>
    <x v="0"/>
    <x v="3"/>
    <x v="0"/>
    <m/>
    <d v="2014-02-12T00:00:00"/>
    <x v="9"/>
    <m/>
    <m/>
    <x v="0"/>
    <x v="0"/>
    <n v="45000"/>
    <n v="4500"/>
    <x v="1"/>
    <n v="4500"/>
    <x v="3"/>
    <x v="0"/>
    <d v="2014-09-30T00:00:00"/>
    <m/>
    <x v="0"/>
    <m/>
    <x v="0"/>
    <d v="2015-01-27T00:00:00"/>
    <x v="2"/>
    <x v="9"/>
    <s v="C"/>
    <x v="3"/>
    <x v="0"/>
    <x v="53"/>
    <s v=""/>
    <x v="4"/>
    <x v="2"/>
    <x v="0"/>
    <x v="1"/>
    <x v="0"/>
    <d v="2014-09-30T00:00:00"/>
    <d v="1899-12-30T00:00:00"/>
  </r>
  <r>
    <n v="1071"/>
    <x v="1"/>
    <x v="18"/>
    <x v="880"/>
    <m/>
    <x v="4"/>
    <m/>
    <m/>
    <x v="1"/>
    <d v="2013-01-31T00:00:00"/>
    <x v="11"/>
    <d v="2014-05-29T00:00:00"/>
    <d v="2014-01-24T00:00:00"/>
    <x v="16"/>
    <x v="0"/>
    <x v="0"/>
    <x v="3"/>
    <x v="0"/>
    <m/>
    <d v="2014-02-12T00:00:00"/>
    <x v="9"/>
    <m/>
    <m/>
    <x v="0"/>
    <x v="0"/>
    <n v="45000"/>
    <n v="45000"/>
    <x v="1"/>
    <n v="45000"/>
    <x v="3"/>
    <x v="0"/>
    <m/>
    <m/>
    <x v="0"/>
    <m/>
    <x v="0"/>
    <d v="2014-04-08T00:00:00"/>
    <x v="2"/>
    <x v="8"/>
    <s v="O"/>
    <x v="3"/>
    <x v="0"/>
    <x v="384"/>
    <s v=""/>
    <x v="4"/>
    <x v="2"/>
    <x v="0"/>
    <x v="1"/>
    <x v="0"/>
    <d v="1899-12-30T00:00:00"/>
    <d v="1899-12-30T00:00:00"/>
  </r>
  <r>
    <n v="1072"/>
    <x v="1"/>
    <x v="4"/>
    <x v="881"/>
    <m/>
    <x v="4"/>
    <m/>
    <m/>
    <x v="1"/>
    <d v="2013-01-31T00:00:00"/>
    <x v="11"/>
    <d v="2014-05-29T00:00:00"/>
    <d v="2014-01-24T00:00:00"/>
    <x v="16"/>
    <x v="0"/>
    <x v="0"/>
    <x v="3"/>
    <x v="0"/>
    <m/>
    <d v="2014-02-12T00:00:00"/>
    <x v="10"/>
    <m/>
    <m/>
    <x v="0"/>
    <x v="0"/>
    <n v="44500"/>
    <n v="13350"/>
    <x v="1"/>
    <n v="13350"/>
    <x v="1"/>
    <x v="0"/>
    <d v="2014-08-30T00:00:00"/>
    <m/>
    <x v="0"/>
    <m/>
    <x v="0"/>
    <d v="2014-10-06T00:00:00"/>
    <x v="2"/>
    <x v="1"/>
    <s v="A"/>
    <x v="3"/>
    <x v="0"/>
    <x v="176"/>
    <s v=""/>
    <x v="4"/>
    <x v="2"/>
    <x v="0"/>
    <x v="1"/>
    <x v="0"/>
    <d v="2014-08-30T00:00:00"/>
    <d v="1899-12-30T00:00:00"/>
  </r>
  <r>
    <n v="1073"/>
    <x v="1"/>
    <x v="37"/>
    <x v="882"/>
    <m/>
    <x v="4"/>
    <m/>
    <m/>
    <x v="1"/>
    <d v="2013-01-31T00:00:00"/>
    <x v="11"/>
    <d v="2014-05-29T00:00:00"/>
    <d v="2014-01-24T00:00:00"/>
    <x v="16"/>
    <x v="0"/>
    <x v="0"/>
    <x v="3"/>
    <x v="0"/>
    <m/>
    <d v="2014-02-12T00:00:00"/>
    <x v="55"/>
    <m/>
    <m/>
    <x v="0"/>
    <x v="0"/>
    <n v="44000"/>
    <n v="39600"/>
    <x v="1"/>
    <n v="39600"/>
    <x v="6"/>
    <x v="0"/>
    <d v="2014-06-01T00:00:00"/>
    <d v="2014-06-30T00:00:00"/>
    <x v="0"/>
    <m/>
    <x v="0"/>
    <d v="2014-03-04T00:00:00"/>
    <x v="2"/>
    <x v="3"/>
    <s v="F"/>
    <x v="3"/>
    <x v="0"/>
    <x v="254"/>
    <s v=""/>
    <x v="4"/>
    <x v="2"/>
    <x v="0"/>
    <x v="1"/>
    <x v="0"/>
    <d v="2014-06-01T00:00:00"/>
    <d v="2014-06-30T00:00:00"/>
  </r>
  <r>
    <n v="1074"/>
    <x v="0"/>
    <x v="6"/>
    <x v="883"/>
    <n v="13618"/>
    <x v="555"/>
    <m/>
    <m/>
    <x v="1"/>
    <d v="2013-01-31T00:00:00"/>
    <x v="11"/>
    <d v="2014-05-29T00:00:00"/>
    <d v="2014-01-24T00:00:00"/>
    <x v="16"/>
    <x v="0"/>
    <x v="0"/>
    <x v="3"/>
    <x v="0"/>
    <m/>
    <d v="2014-02-18T00:00:00"/>
    <x v="105"/>
    <m/>
    <m/>
    <x v="0"/>
    <x v="0"/>
    <n v="43500"/>
    <n v="4350"/>
    <x v="1"/>
    <n v="4350"/>
    <x v="4"/>
    <x v="0"/>
    <d v="2014-10-03T00:00:00"/>
    <d v="2014-10-09T00:00:00"/>
    <x v="0"/>
    <d v="2015-03-26T00:00:00"/>
    <x v="0"/>
    <d v="2015-03-26T00:00:00"/>
    <x v="2"/>
    <x v="2"/>
    <s v="O"/>
    <x v="5"/>
    <x v="0"/>
    <x v="201"/>
    <s v="Jorge Cramez"/>
    <x v="139"/>
    <x v="4"/>
    <x v="0"/>
    <x v="1"/>
    <x v="0"/>
    <d v="2014-10-03T00:00:00"/>
    <d v="2014-10-09T00:00:00"/>
  </r>
  <r>
    <n v="1075"/>
    <x v="1"/>
    <x v="6"/>
    <x v="884"/>
    <m/>
    <x v="4"/>
    <m/>
    <m/>
    <x v="1"/>
    <d v="2013-01-31T00:00:00"/>
    <x v="11"/>
    <d v="2014-05-29T00:00:00"/>
    <d v="2014-01-24T00:00:00"/>
    <x v="16"/>
    <x v="0"/>
    <x v="0"/>
    <x v="3"/>
    <x v="0"/>
    <m/>
    <d v="2014-02-18T00:00:00"/>
    <x v="52"/>
    <m/>
    <m/>
    <x v="0"/>
    <x v="0"/>
    <n v="43000"/>
    <n v="12900"/>
    <x v="1"/>
    <n v="12900"/>
    <x v="1"/>
    <x v="0"/>
    <d v="2014-05-31T00:00:00"/>
    <m/>
    <x v="0"/>
    <m/>
    <x v="0"/>
    <d v="2014-06-09T00:00:00"/>
    <x v="2"/>
    <x v="2"/>
    <s v="P"/>
    <x v="3"/>
    <x v="0"/>
    <x v="385"/>
    <s v=""/>
    <x v="4"/>
    <x v="2"/>
    <x v="0"/>
    <x v="1"/>
    <x v="0"/>
    <d v="2014-05-31T00:00:00"/>
    <d v="1899-12-30T00:00:00"/>
  </r>
  <r>
    <n v="1076"/>
    <x v="1"/>
    <x v="32"/>
    <x v="885"/>
    <m/>
    <x v="4"/>
    <m/>
    <s v="Noite, Madrugada"/>
    <x v="1"/>
    <d v="2013-01-31T00:00:00"/>
    <x v="11"/>
    <d v="2014-05-29T00:00:00"/>
    <d v="2014-01-24T00:00:00"/>
    <x v="16"/>
    <x v="0"/>
    <x v="0"/>
    <x v="3"/>
    <x v="0"/>
    <m/>
    <d v="2014-04-15T00:00:00"/>
    <x v="264"/>
    <m/>
    <m/>
    <x v="0"/>
    <x v="0"/>
    <n v="42500"/>
    <n v="4250"/>
    <x v="1"/>
    <n v="4250"/>
    <x v="1"/>
    <x v="0"/>
    <d v="2014-06-29T00:00:00"/>
    <d v="2014-07-18T00:00:00"/>
    <x v="0"/>
    <m/>
    <x v="0"/>
    <d v="2014-10-06T00:00:00"/>
    <x v="2"/>
    <x v="13"/>
    <s v="A"/>
    <x v="3"/>
    <x v="0"/>
    <x v="16"/>
    <s v=""/>
    <x v="4"/>
    <x v="2"/>
    <x v="0"/>
    <x v="1"/>
    <x v="0"/>
    <d v="2014-06-29T00:00:00"/>
    <d v="2014-07-18T00:00:00"/>
  </r>
  <r>
    <n v="1077"/>
    <x v="0"/>
    <x v="196"/>
    <x v="886"/>
    <n v="13460"/>
    <x v="556"/>
    <m/>
    <m/>
    <x v="1"/>
    <d v="2013-01-31T00:00:00"/>
    <x v="11"/>
    <d v="2014-05-29T00:00:00"/>
    <d v="2014-01-24T00:00:00"/>
    <x v="16"/>
    <x v="0"/>
    <x v="0"/>
    <x v="3"/>
    <x v="0"/>
    <m/>
    <d v="2014-02-12T00:00:00"/>
    <x v="11"/>
    <m/>
    <m/>
    <x v="0"/>
    <x v="0"/>
    <n v="42000"/>
    <n v="4200"/>
    <x v="1"/>
    <n v="4200"/>
    <x v="4"/>
    <x v="0"/>
    <d v="2014-06-23T00:00:00"/>
    <m/>
    <x v="0"/>
    <d v="2015-01-14T00:00:00"/>
    <x v="0"/>
    <d v="2015-02-03T00:00:00"/>
    <x v="2"/>
    <x v="13"/>
    <s v="B"/>
    <x v="5"/>
    <x v="0"/>
    <x v="133"/>
    <s v="Marta Pessoa"/>
    <x v="245"/>
    <x v="4"/>
    <x v="0"/>
    <x v="1"/>
    <x v="0"/>
    <d v="2014-06-23T00:00:00"/>
    <d v="1899-12-30T00:00:00"/>
  </r>
  <r>
    <n v="1078"/>
    <x v="1"/>
    <x v="9"/>
    <x v="887"/>
    <m/>
    <x v="4"/>
    <m/>
    <m/>
    <x v="1"/>
    <d v="2013-01-31T00:00:00"/>
    <x v="11"/>
    <d v="2014-05-29T00:00:00"/>
    <d v="2014-01-24T00:00:00"/>
    <x v="16"/>
    <x v="0"/>
    <x v="0"/>
    <x v="3"/>
    <x v="0"/>
    <m/>
    <d v="2014-02-12T00:00:00"/>
    <x v="11"/>
    <m/>
    <m/>
    <x v="0"/>
    <x v="0"/>
    <n v="42000"/>
    <n v="4200"/>
    <x v="1"/>
    <n v="4200"/>
    <x v="3"/>
    <x v="0"/>
    <d v="2014-08-01T00:00:00"/>
    <m/>
    <x v="0"/>
    <m/>
    <x v="0"/>
    <d v="2014-11-06T00:00:00"/>
    <x v="2"/>
    <x v="3"/>
    <s v="E"/>
    <x v="3"/>
    <x v="0"/>
    <x v="264"/>
    <s v=""/>
    <x v="4"/>
    <x v="2"/>
    <x v="0"/>
    <x v="1"/>
    <x v="0"/>
    <d v="2014-08-01T00:00:00"/>
    <d v="1899-12-30T00:00:00"/>
  </r>
  <r>
    <n v="1079"/>
    <x v="1"/>
    <x v="23"/>
    <x v="888"/>
    <m/>
    <x v="4"/>
    <m/>
    <m/>
    <x v="1"/>
    <d v="2013-01-31T00:00:00"/>
    <x v="11"/>
    <d v="2014-05-29T00:00:00"/>
    <d v="2014-01-24T00:00:00"/>
    <x v="16"/>
    <x v="0"/>
    <x v="0"/>
    <x v="3"/>
    <x v="0"/>
    <m/>
    <d v="2014-02-12T00:00:00"/>
    <x v="11"/>
    <m/>
    <m/>
    <x v="0"/>
    <x v="0"/>
    <n v="42000"/>
    <n v="12600"/>
    <x v="1"/>
    <n v="12600"/>
    <x v="1"/>
    <x v="0"/>
    <d v="2014-09-02T00:00:00"/>
    <m/>
    <x v="0"/>
    <m/>
    <x v="0"/>
    <d v="2014-03-04T00:00:00"/>
    <x v="2"/>
    <x v="9"/>
    <s v="M"/>
    <x v="3"/>
    <x v="0"/>
    <x v="49"/>
    <s v=""/>
    <x v="4"/>
    <x v="2"/>
    <x v="0"/>
    <x v="1"/>
    <x v="0"/>
    <d v="2014-09-02T00:00:00"/>
    <d v="1899-12-30T00:00:00"/>
  </r>
  <r>
    <n v="1080"/>
    <x v="0"/>
    <x v="202"/>
    <x v="889"/>
    <n v="13333"/>
    <x v="557"/>
    <m/>
    <m/>
    <x v="1"/>
    <d v="2013-01-31T00:00:00"/>
    <x v="11"/>
    <d v="2014-05-29T00:00:00"/>
    <d v="2014-01-24T00:00:00"/>
    <x v="16"/>
    <x v="0"/>
    <x v="0"/>
    <x v="3"/>
    <x v="0"/>
    <m/>
    <d v="2014-02-12T00:00:00"/>
    <x v="11"/>
    <m/>
    <m/>
    <x v="0"/>
    <x v="0"/>
    <n v="42000"/>
    <m/>
    <x v="1"/>
    <n v="0"/>
    <x v="0"/>
    <x v="0"/>
    <m/>
    <m/>
    <x v="0"/>
    <d v="2014-11-13T00:00:00"/>
    <x v="0"/>
    <d v="2015-03-02T00:00:00"/>
    <x v="2"/>
    <x v="2"/>
    <s v="P"/>
    <x v="4"/>
    <x v="0"/>
    <x v="78"/>
    <s v="Pedro Caldas"/>
    <x v="246"/>
    <x v="1"/>
    <x v="0"/>
    <x v="1"/>
    <x v="0"/>
    <d v="1899-12-30T00:00:00"/>
    <d v="1899-12-30T00:00:00"/>
  </r>
  <r>
    <n v="1081"/>
    <x v="0"/>
    <x v="196"/>
    <x v="890"/>
    <n v="13395"/>
    <x v="558"/>
    <m/>
    <m/>
    <x v="1"/>
    <d v="2013-01-31T00:00:00"/>
    <x v="11"/>
    <d v="2014-05-29T00:00:00"/>
    <d v="2014-01-24T00:00:00"/>
    <x v="16"/>
    <x v="0"/>
    <x v="0"/>
    <x v="3"/>
    <x v="0"/>
    <m/>
    <d v="2014-02-12T00:00:00"/>
    <x v="11"/>
    <m/>
    <m/>
    <x v="0"/>
    <x v="0"/>
    <n v="42000"/>
    <m/>
    <x v="1"/>
    <n v="0"/>
    <x v="0"/>
    <x v="0"/>
    <d v="2014-07-20T00:00:00"/>
    <m/>
    <x v="0"/>
    <d v="2014-12-17T00:00:00"/>
    <x v="0"/>
    <d v="2015-01-16T00:00:00"/>
    <x v="2"/>
    <x v="13"/>
    <s v="S"/>
    <x v="4"/>
    <x v="0"/>
    <x v="319"/>
    <s v="Rosa Coutinho Cabral"/>
    <x v="216"/>
    <x v="1"/>
    <x v="0"/>
    <x v="1"/>
    <x v="0"/>
    <d v="2014-07-20T00:00:00"/>
    <d v="1899-12-30T00:00:00"/>
  </r>
  <r>
    <n v="1082"/>
    <x v="1"/>
    <x v="141"/>
    <x v="891"/>
    <m/>
    <x v="4"/>
    <m/>
    <m/>
    <x v="1"/>
    <d v="2013-01-31T00:00:00"/>
    <x v="11"/>
    <d v="2014-05-29T00:00:00"/>
    <d v="2014-01-24T00:00:00"/>
    <x v="16"/>
    <x v="0"/>
    <x v="0"/>
    <x v="3"/>
    <x v="0"/>
    <m/>
    <d v="2014-02-12T00:00:00"/>
    <x v="265"/>
    <m/>
    <m/>
    <x v="0"/>
    <x v="0"/>
    <n v="41500"/>
    <n v="4150"/>
    <x v="1"/>
    <n v="4150"/>
    <x v="3"/>
    <x v="0"/>
    <d v="2014-10-08T00:00:00"/>
    <d v="2014-11-04T00:00:00"/>
    <x v="0"/>
    <m/>
    <x v="0"/>
    <d v="2015-01-16T00:00:00"/>
    <x v="2"/>
    <x v="13"/>
    <s v="T"/>
    <x v="3"/>
    <x v="0"/>
    <x v="344"/>
    <s v=""/>
    <x v="4"/>
    <x v="2"/>
    <x v="0"/>
    <x v="1"/>
    <x v="0"/>
    <d v="2014-10-08T00:00:00"/>
    <d v="2014-11-04T00:00:00"/>
  </r>
  <r>
    <n v="1083"/>
    <x v="1"/>
    <x v="108"/>
    <x v="892"/>
    <m/>
    <x v="4"/>
    <m/>
    <m/>
    <x v="1"/>
    <d v="2013-01-31T00:00:00"/>
    <x v="11"/>
    <d v="2014-05-29T00:00:00"/>
    <d v="2014-01-24T00:00:00"/>
    <x v="16"/>
    <x v="0"/>
    <x v="0"/>
    <x v="3"/>
    <x v="0"/>
    <m/>
    <d v="2014-05-15T00:00:00"/>
    <x v="12"/>
    <m/>
    <m/>
    <x v="0"/>
    <x v="0"/>
    <n v="41000"/>
    <n v="18450"/>
    <x v="1"/>
    <n v="18450"/>
    <x v="1"/>
    <x v="0"/>
    <m/>
    <m/>
    <x v="0"/>
    <m/>
    <x v="0"/>
    <d v="2014-08-06T00:00:00"/>
    <x v="2"/>
    <x v="8"/>
    <s v="O"/>
    <x v="3"/>
    <x v="0"/>
    <x v="386"/>
    <s v=""/>
    <x v="4"/>
    <x v="2"/>
    <x v="0"/>
    <x v="1"/>
    <x v="0"/>
    <d v="1899-12-30T00:00:00"/>
    <d v="1899-12-30T00:00:00"/>
  </r>
  <r>
    <n v="1084"/>
    <x v="0"/>
    <x v="109"/>
    <x v="266"/>
    <m/>
    <x v="4"/>
    <m/>
    <m/>
    <x v="1"/>
    <d v="2011-01-03T00:00:00"/>
    <x v="1"/>
    <d v="2013-12-30T00:00:00"/>
    <m/>
    <x v="8"/>
    <x v="1"/>
    <x v="2"/>
    <x v="13"/>
    <x v="0"/>
    <m/>
    <m/>
    <x v="137"/>
    <m/>
    <m/>
    <x v="0"/>
    <x v="0"/>
    <n v="400000"/>
    <m/>
    <x v="1"/>
    <n v="0"/>
    <x v="10"/>
    <x v="0"/>
    <m/>
    <m/>
    <x v="0"/>
    <m/>
    <x v="0"/>
    <m/>
    <x v="5"/>
    <x v="21"/>
    <s v="C"/>
    <x v="3"/>
    <x v="0"/>
    <x v="108"/>
    <s v=""/>
    <x v="4"/>
    <x v="2"/>
    <x v="4"/>
    <x v="3"/>
    <x v="0"/>
    <d v="1899-12-30T00:00:00"/>
    <d v="1899-12-30T00:00:00"/>
  </r>
  <r>
    <n v="1085"/>
    <x v="0"/>
    <x v="109"/>
    <x v="266"/>
    <m/>
    <x v="4"/>
    <m/>
    <m/>
    <x v="0"/>
    <d v="2011-01-03T00:00:00"/>
    <x v="1"/>
    <d v="2011-05-15T00:00:00"/>
    <d v="2011-08-19T00:00:00"/>
    <x v="1"/>
    <x v="1"/>
    <x v="2"/>
    <x v="17"/>
    <x v="0"/>
    <m/>
    <m/>
    <x v="24"/>
    <m/>
    <m/>
    <x v="0"/>
    <x v="0"/>
    <n v="100000"/>
    <m/>
    <x v="1"/>
    <n v="0"/>
    <x v="10"/>
    <x v="0"/>
    <m/>
    <m/>
    <x v="0"/>
    <m/>
    <x v="0"/>
    <m/>
    <x v="5"/>
    <x v="21"/>
    <s v="C"/>
    <x v="3"/>
    <x v="0"/>
    <x v="108"/>
    <s v=""/>
    <x v="4"/>
    <x v="2"/>
    <x v="4"/>
    <x v="3"/>
    <x v="0"/>
    <d v="1899-12-30T00:00:00"/>
    <d v="1899-12-30T00:00:00"/>
  </r>
  <r>
    <n v="1086"/>
    <x v="0"/>
    <x v="109"/>
    <x v="266"/>
    <m/>
    <x v="4"/>
    <m/>
    <m/>
    <x v="2"/>
    <d v="2011-01-03T00:00:00"/>
    <x v="1"/>
    <d v="2011-08-10T00:00:00"/>
    <d v="2011-12-28T00:00:00"/>
    <x v="1"/>
    <x v="1"/>
    <x v="2"/>
    <x v="17"/>
    <x v="0"/>
    <m/>
    <m/>
    <x v="24"/>
    <m/>
    <m/>
    <x v="0"/>
    <x v="0"/>
    <n v="100000"/>
    <m/>
    <x v="1"/>
    <n v="0"/>
    <x v="10"/>
    <x v="0"/>
    <m/>
    <m/>
    <x v="0"/>
    <m/>
    <x v="0"/>
    <m/>
    <x v="5"/>
    <x v="21"/>
    <s v="C"/>
    <x v="3"/>
    <x v="0"/>
    <x v="108"/>
    <s v=""/>
    <x v="4"/>
    <x v="2"/>
    <x v="4"/>
    <x v="3"/>
    <x v="0"/>
    <d v="1899-12-30T00:00:00"/>
    <d v="1899-12-30T00:00:00"/>
  </r>
  <r>
    <n v="1087"/>
    <x v="0"/>
    <x v="109"/>
    <x v="266"/>
    <m/>
    <x v="4"/>
    <m/>
    <m/>
    <x v="1"/>
    <d v="2011-01-03T00:00:00"/>
    <x v="1"/>
    <d v="2011-12-30T00:00:00"/>
    <m/>
    <x v="8"/>
    <x v="1"/>
    <x v="2"/>
    <x v="16"/>
    <x v="0"/>
    <m/>
    <m/>
    <x v="24"/>
    <m/>
    <m/>
    <x v="0"/>
    <x v="0"/>
    <n v="100000"/>
    <m/>
    <x v="1"/>
    <n v="0"/>
    <x v="10"/>
    <x v="0"/>
    <m/>
    <m/>
    <x v="0"/>
    <m/>
    <x v="0"/>
    <m/>
    <x v="5"/>
    <x v="21"/>
    <s v="C"/>
    <x v="3"/>
    <x v="0"/>
    <x v="108"/>
    <s v=""/>
    <x v="4"/>
    <x v="2"/>
    <x v="4"/>
    <x v="3"/>
    <x v="0"/>
    <d v="1899-12-30T00:00:00"/>
    <d v="1899-12-30T00:00:00"/>
  </r>
  <r>
    <n v="1088"/>
    <x v="0"/>
    <x v="109"/>
    <x v="266"/>
    <m/>
    <x v="4"/>
    <m/>
    <m/>
    <x v="1"/>
    <d v="2011-01-03T00:00:00"/>
    <x v="1"/>
    <d v="2012-01-31T00:00:00"/>
    <d v="2013-01-28T00:00:00"/>
    <x v="11"/>
    <x v="2"/>
    <x v="3"/>
    <x v="19"/>
    <x v="0"/>
    <m/>
    <m/>
    <x v="99"/>
    <m/>
    <m/>
    <x v="0"/>
    <x v="0"/>
    <n v="150000"/>
    <m/>
    <x v="1"/>
    <n v="0"/>
    <x v="10"/>
    <x v="0"/>
    <m/>
    <m/>
    <x v="0"/>
    <m/>
    <x v="0"/>
    <m/>
    <x v="5"/>
    <x v="21"/>
    <s v="C"/>
    <x v="3"/>
    <x v="0"/>
    <x v="108"/>
    <s v=""/>
    <x v="4"/>
    <x v="2"/>
    <x v="4"/>
    <x v="3"/>
    <x v="0"/>
    <d v="1899-12-30T00:00:00"/>
    <d v="1899-12-30T00:00:00"/>
  </r>
  <r>
    <n v="1089"/>
    <x v="0"/>
    <x v="109"/>
    <x v="266"/>
    <m/>
    <x v="4"/>
    <m/>
    <m/>
    <x v="1"/>
    <d v="2011-01-03T00:00:00"/>
    <x v="1"/>
    <d v="2011-02-02T00:00:00"/>
    <d v="2013-05-18T00:00:00"/>
    <x v="11"/>
    <x v="2"/>
    <x v="3"/>
    <x v="18"/>
    <x v="0"/>
    <m/>
    <m/>
    <x v="24"/>
    <m/>
    <m/>
    <x v="0"/>
    <x v="0"/>
    <n v="100000"/>
    <m/>
    <x v="1"/>
    <n v="0"/>
    <x v="10"/>
    <x v="0"/>
    <m/>
    <m/>
    <x v="0"/>
    <m/>
    <x v="0"/>
    <m/>
    <x v="5"/>
    <x v="21"/>
    <s v="C"/>
    <x v="3"/>
    <x v="0"/>
    <x v="108"/>
    <s v=""/>
    <x v="4"/>
    <x v="2"/>
    <x v="4"/>
    <x v="3"/>
    <x v="0"/>
    <d v="1899-12-30T00:00:00"/>
    <d v="1899-12-30T00:00:00"/>
  </r>
  <r>
    <n v="1090"/>
    <x v="0"/>
    <x v="109"/>
    <x v="266"/>
    <m/>
    <x v="4"/>
    <m/>
    <m/>
    <x v="1"/>
    <d v="2011-01-03T00:00:00"/>
    <x v="1"/>
    <d v="2011-10-26T00:00:00"/>
    <m/>
    <x v="8"/>
    <x v="2"/>
    <x v="3"/>
    <x v="29"/>
    <x v="0"/>
    <m/>
    <m/>
    <x v="80"/>
    <m/>
    <m/>
    <x v="0"/>
    <x v="0"/>
    <n v="50000"/>
    <m/>
    <x v="1"/>
    <n v="0"/>
    <x v="10"/>
    <x v="0"/>
    <m/>
    <m/>
    <x v="0"/>
    <m/>
    <x v="0"/>
    <m/>
    <x v="5"/>
    <x v="21"/>
    <s v="C"/>
    <x v="3"/>
    <x v="0"/>
    <x v="108"/>
    <s v=""/>
    <x v="4"/>
    <x v="2"/>
    <x v="4"/>
    <x v="3"/>
    <x v="0"/>
    <d v="1899-12-30T00:00:00"/>
    <d v="1899-12-30T00:00:00"/>
  </r>
  <r>
    <n v="1091"/>
    <x v="0"/>
    <x v="109"/>
    <x v="266"/>
    <m/>
    <x v="4"/>
    <m/>
    <m/>
    <x v="1"/>
    <d v="2011-01-03T00:00:00"/>
    <x v="1"/>
    <d v="2011-03-02T00:00:00"/>
    <d v="2011-08-19T00:00:00"/>
    <x v="1"/>
    <x v="3"/>
    <x v="4"/>
    <x v="20"/>
    <x v="0"/>
    <m/>
    <m/>
    <x v="266"/>
    <m/>
    <m/>
    <x v="0"/>
    <x v="0"/>
    <n v="750000"/>
    <m/>
    <x v="1"/>
    <n v="0"/>
    <x v="10"/>
    <x v="0"/>
    <m/>
    <m/>
    <x v="0"/>
    <m/>
    <x v="0"/>
    <m/>
    <x v="5"/>
    <x v="21"/>
    <s v="C"/>
    <x v="3"/>
    <x v="0"/>
    <x v="108"/>
    <s v=""/>
    <x v="4"/>
    <x v="2"/>
    <x v="4"/>
    <x v="3"/>
    <x v="0"/>
    <d v="1899-12-30T00:00:00"/>
    <d v="1899-12-30T00:00:00"/>
  </r>
  <r>
    <n v="1092"/>
    <x v="0"/>
    <x v="109"/>
    <x v="266"/>
    <m/>
    <x v="4"/>
    <m/>
    <m/>
    <x v="1"/>
    <d v="2011-01-03T00:00:00"/>
    <x v="1"/>
    <d v="2011-12-30T00:00:00"/>
    <m/>
    <x v="8"/>
    <x v="3"/>
    <x v="4"/>
    <x v="21"/>
    <x v="0"/>
    <m/>
    <m/>
    <x v="98"/>
    <m/>
    <m/>
    <x v="0"/>
    <x v="0"/>
    <n v="300000"/>
    <m/>
    <x v="1"/>
    <n v="0"/>
    <x v="10"/>
    <x v="0"/>
    <m/>
    <m/>
    <x v="0"/>
    <m/>
    <x v="0"/>
    <m/>
    <x v="5"/>
    <x v="21"/>
    <s v="C"/>
    <x v="3"/>
    <x v="0"/>
    <x v="108"/>
    <s v=""/>
    <x v="4"/>
    <x v="2"/>
    <x v="4"/>
    <x v="3"/>
    <x v="0"/>
    <d v="1899-12-30T00:00:00"/>
    <d v="1899-12-30T00:00:00"/>
  </r>
  <r>
    <n v="1093"/>
    <x v="0"/>
    <x v="109"/>
    <x v="266"/>
    <m/>
    <x v="4"/>
    <m/>
    <m/>
    <x v="1"/>
    <d v="2011-01-03T00:00:00"/>
    <x v="1"/>
    <d v="2011-02-16T00:00:00"/>
    <d v="2011-07-12T00:00:00"/>
    <x v="1"/>
    <x v="4"/>
    <x v="5"/>
    <x v="22"/>
    <x v="0"/>
    <m/>
    <m/>
    <x v="24"/>
    <m/>
    <m/>
    <x v="0"/>
    <x v="0"/>
    <n v="100000"/>
    <m/>
    <x v="1"/>
    <n v="0"/>
    <x v="10"/>
    <x v="0"/>
    <m/>
    <m/>
    <x v="0"/>
    <m/>
    <x v="0"/>
    <m/>
    <x v="5"/>
    <x v="21"/>
    <s v="C"/>
    <x v="3"/>
    <x v="0"/>
    <x v="108"/>
    <s v=""/>
    <x v="4"/>
    <x v="2"/>
    <x v="4"/>
    <x v="3"/>
    <x v="0"/>
    <d v="1899-12-30T00:00:00"/>
    <d v="1899-12-30T00:00:00"/>
  </r>
  <r>
    <n v="1094"/>
    <x v="0"/>
    <x v="109"/>
    <x v="266"/>
    <m/>
    <x v="4"/>
    <m/>
    <m/>
    <x v="1"/>
    <d v="2010-01-04T00:00:00"/>
    <x v="3"/>
    <d v="2010-04-06T00:00:00"/>
    <d v="2010-08-05T00:00:00"/>
    <x v="2"/>
    <x v="0"/>
    <x v="1"/>
    <x v="7"/>
    <x v="0"/>
    <m/>
    <m/>
    <x v="80"/>
    <m/>
    <m/>
    <x v="0"/>
    <x v="0"/>
    <n v="50000"/>
    <m/>
    <x v="1"/>
    <n v="0"/>
    <x v="10"/>
    <x v="0"/>
    <m/>
    <m/>
    <x v="0"/>
    <m/>
    <x v="0"/>
    <m/>
    <x v="5"/>
    <x v="21"/>
    <s v="C"/>
    <x v="3"/>
    <x v="0"/>
    <x v="108"/>
    <s v=""/>
    <x v="4"/>
    <x v="2"/>
    <x v="4"/>
    <x v="3"/>
    <x v="0"/>
    <d v="1899-12-30T00:00:00"/>
    <d v="1899-12-30T00:00:00"/>
  </r>
  <r>
    <n v="1095"/>
    <x v="0"/>
    <x v="109"/>
    <x v="266"/>
    <m/>
    <x v="4"/>
    <m/>
    <m/>
    <x v="1"/>
    <d v="2010-01-04T00:00:00"/>
    <x v="3"/>
    <d v="2010-06-22T00:00:00"/>
    <d v="2010-10-18T00:00:00"/>
    <x v="2"/>
    <x v="0"/>
    <x v="1"/>
    <x v="2"/>
    <x v="0"/>
    <m/>
    <m/>
    <x v="80"/>
    <m/>
    <m/>
    <x v="0"/>
    <x v="0"/>
    <n v="50000"/>
    <m/>
    <x v="1"/>
    <n v="0"/>
    <x v="10"/>
    <x v="0"/>
    <m/>
    <m/>
    <x v="0"/>
    <m/>
    <x v="0"/>
    <m/>
    <x v="5"/>
    <x v="21"/>
    <s v="C"/>
    <x v="3"/>
    <x v="0"/>
    <x v="108"/>
    <s v=""/>
    <x v="4"/>
    <x v="2"/>
    <x v="4"/>
    <x v="3"/>
    <x v="0"/>
    <d v="1899-12-30T00:00:00"/>
    <d v="1899-12-30T00:00:00"/>
  </r>
  <r>
    <n v="1096"/>
    <x v="0"/>
    <x v="109"/>
    <x v="266"/>
    <m/>
    <x v="4"/>
    <m/>
    <m/>
    <x v="1"/>
    <d v="2010-01-04T00:00:00"/>
    <x v="3"/>
    <d v="2010-05-04T00:00:00"/>
    <d v="2011-01-03T00:00:00"/>
    <x v="1"/>
    <x v="0"/>
    <x v="1"/>
    <x v="5"/>
    <x v="0"/>
    <m/>
    <m/>
    <x v="80"/>
    <m/>
    <m/>
    <x v="0"/>
    <x v="0"/>
    <n v="50000"/>
    <m/>
    <x v="1"/>
    <n v="0"/>
    <x v="10"/>
    <x v="0"/>
    <m/>
    <m/>
    <x v="0"/>
    <m/>
    <x v="0"/>
    <m/>
    <x v="5"/>
    <x v="21"/>
    <s v="C"/>
    <x v="3"/>
    <x v="0"/>
    <x v="108"/>
    <s v=""/>
    <x v="4"/>
    <x v="2"/>
    <x v="4"/>
    <x v="3"/>
    <x v="0"/>
    <d v="1899-12-30T00:00:00"/>
    <d v="1899-12-30T00:00:00"/>
  </r>
  <r>
    <n v="1097"/>
    <x v="0"/>
    <x v="109"/>
    <x v="266"/>
    <m/>
    <x v="4"/>
    <m/>
    <m/>
    <x v="0"/>
    <d v="2010-01-04T00:00:00"/>
    <x v="3"/>
    <d v="2010-04-27T00:00:00"/>
    <d v="2010-11-16T00:00:00"/>
    <x v="2"/>
    <x v="0"/>
    <x v="0"/>
    <x v="0"/>
    <x v="0"/>
    <m/>
    <m/>
    <x v="139"/>
    <m/>
    <m/>
    <x v="0"/>
    <x v="0"/>
    <n v="1200000"/>
    <m/>
    <x v="1"/>
    <n v="0"/>
    <x v="10"/>
    <x v="0"/>
    <m/>
    <m/>
    <x v="0"/>
    <m/>
    <x v="0"/>
    <m/>
    <x v="5"/>
    <x v="21"/>
    <s v="C"/>
    <x v="3"/>
    <x v="0"/>
    <x v="108"/>
    <s v=""/>
    <x v="4"/>
    <x v="2"/>
    <x v="4"/>
    <x v="3"/>
    <x v="0"/>
    <d v="1899-12-30T00:00:00"/>
    <d v="1899-12-30T00:00:00"/>
  </r>
  <r>
    <n v="1098"/>
    <x v="0"/>
    <x v="109"/>
    <x v="266"/>
    <m/>
    <x v="4"/>
    <m/>
    <m/>
    <x v="2"/>
    <d v="2010-01-04T00:00:00"/>
    <x v="3"/>
    <d v="2010-11-09T00:00:00"/>
    <d v="2011-04-27T00:00:00"/>
    <x v="1"/>
    <x v="0"/>
    <x v="0"/>
    <x v="0"/>
    <x v="0"/>
    <m/>
    <m/>
    <x v="139"/>
    <m/>
    <m/>
    <x v="0"/>
    <x v="0"/>
    <n v="1200000"/>
    <m/>
    <x v="1"/>
    <n v="0"/>
    <x v="10"/>
    <x v="0"/>
    <m/>
    <m/>
    <x v="0"/>
    <m/>
    <x v="0"/>
    <m/>
    <x v="5"/>
    <x v="21"/>
    <s v="C"/>
    <x v="3"/>
    <x v="0"/>
    <x v="108"/>
    <s v=""/>
    <x v="4"/>
    <x v="2"/>
    <x v="4"/>
    <x v="3"/>
    <x v="0"/>
    <d v="1899-12-30T00:00:00"/>
    <d v="1899-12-30T00:00:00"/>
  </r>
  <r>
    <n v="1099"/>
    <x v="0"/>
    <x v="109"/>
    <x v="266"/>
    <m/>
    <x v="4"/>
    <m/>
    <m/>
    <x v="1"/>
    <d v="2010-01-04T00:00:00"/>
    <x v="3"/>
    <d v="2010-03-16T00:00:00"/>
    <d v="2010-10-11T00:00:00"/>
    <x v="2"/>
    <x v="0"/>
    <x v="0"/>
    <x v="11"/>
    <x v="0"/>
    <m/>
    <m/>
    <x v="138"/>
    <m/>
    <m/>
    <x v="0"/>
    <x v="0"/>
    <n v="1000000"/>
    <m/>
    <x v="1"/>
    <n v="0"/>
    <x v="10"/>
    <x v="0"/>
    <m/>
    <m/>
    <x v="0"/>
    <m/>
    <x v="0"/>
    <m/>
    <x v="5"/>
    <x v="21"/>
    <s v="C"/>
    <x v="3"/>
    <x v="0"/>
    <x v="108"/>
    <s v=""/>
    <x v="4"/>
    <x v="2"/>
    <x v="4"/>
    <x v="3"/>
    <x v="0"/>
    <d v="1899-12-30T00:00:00"/>
    <d v="1899-12-30T00:00:00"/>
  </r>
  <r>
    <n v="1100"/>
    <x v="0"/>
    <x v="109"/>
    <x v="266"/>
    <m/>
    <x v="4"/>
    <m/>
    <m/>
    <x v="1"/>
    <d v="2010-01-04T00:00:00"/>
    <x v="3"/>
    <d v="2010-05-25T00:00:00"/>
    <d v="2010-10-08T00:00:00"/>
    <x v="2"/>
    <x v="0"/>
    <x v="0"/>
    <x v="12"/>
    <x v="0"/>
    <m/>
    <m/>
    <x v="199"/>
    <m/>
    <m/>
    <x v="0"/>
    <x v="0"/>
    <n v="1400000"/>
    <m/>
    <x v="1"/>
    <n v="0"/>
    <x v="10"/>
    <x v="0"/>
    <m/>
    <m/>
    <x v="0"/>
    <m/>
    <x v="0"/>
    <m/>
    <x v="5"/>
    <x v="21"/>
    <s v="C"/>
    <x v="3"/>
    <x v="0"/>
    <x v="108"/>
    <s v=""/>
    <x v="4"/>
    <x v="2"/>
    <x v="4"/>
    <x v="3"/>
    <x v="0"/>
    <d v="1899-12-30T00:00:00"/>
    <d v="1899-12-30T00:00:00"/>
  </r>
  <r>
    <n v="1101"/>
    <x v="0"/>
    <x v="109"/>
    <x v="266"/>
    <m/>
    <x v="4"/>
    <m/>
    <m/>
    <x v="1"/>
    <d v="2010-01-04T00:00:00"/>
    <x v="3"/>
    <d v="2010-06-06T00:00:00"/>
    <d v="2010-12-13T00:00:00"/>
    <x v="2"/>
    <x v="0"/>
    <x v="0"/>
    <x v="10"/>
    <x v="0"/>
    <m/>
    <m/>
    <x v="137"/>
    <m/>
    <m/>
    <x v="0"/>
    <x v="0"/>
    <n v="400000"/>
    <m/>
    <x v="1"/>
    <n v="0"/>
    <x v="10"/>
    <x v="0"/>
    <m/>
    <m/>
    <x v="0"/>
    <m/>
    <x v="0"/>
    <m/>
    <x v="5"/>
    <x v="21"/>
    <s v="C"/>
    <x v="3"/>
    <x v="0"/>
    <x v="108"/>
    <s v=""/>
    <x v="4"/>
    <x v="2"/>
    <x v="4"/>
    <x v="3"/>
    <x v="0"/>
    <d v="1899-12-30T00:00:00"/>
    <d v="1899-12-30T00:00:00"/>
  </r>
  <r>
    <n v="1102"/>
    <x v="0"/>
    <x v="109"/>
    <x v="266"/>
    <m/>
    <x v="4"/>
    <m/>
    <m/>
    <x v="1"/>
    <d v="2010-01-04T00:00:00"/>
    <x v="3"/>
    <d v="2010-07-27T00:00:00"/>
    <d v="2011-01-03T00:00:00"/>
    <x v="1"/>
    <x v="0"/>
    <x v="0"/>
    <x v="8"/>
    <x v="0"/>
    <m/>
    <m/>
    <x v="267"/>
    <m/>
    <m/>
    <x v="0"/>
    <x v="0"/>
    <n v="490000"/>
    <m/>
    <x v="1"/>
    <n v="0"/>
    <x v="10"/>
    <x v="0"/>
    <m/>
    <m/>
    <x v="0"/>
    <m/>
    <x v="0"/>
    <m/>
    <x v="5"/>
    <x v="21"/>
    <s v="C"/>
    <x v="3"/>
    <x v="0"/>
    <x v="108"/>
    <s v=""/>
    <x v="4"/>
    <x v="2"/>
    <x v="4"/>
    <x v="3"/>
    <x v="0"/>
    <d v="1899-12-30T00:00:00"/>
    <d v="1899-12-30T00:00:00"/>
  </r>
  <r>
    <n v="1103"/>
    <x v="0"/>
    <x v="109"/>
    <x v="266"/>
    <m/>
    <x v="4"/>
    <m/>
    <m/>
    <x v="1"/>
    <d v="2010-01-04T00:00:00"/>
    <x v="3"/>
    <d v="2010-09-07T00:00:00"/>
    <d v="2011-03-24T00:00:00"/>
    <x v="1"/>
    <x v="0"/>
    <x v="0"/>
    <x v="3"/>
    <x v="0"/>
    <m/>
    <m/>
    <x v="27"/>
    <m/>
    <m/>
    <x v="0"/>
    <x v="0"/>
    <n v="500000"/>
    <m/>
    <x v="1"/>
    <n v="0"/>
    <x v="10"/>
    <x v="0"/>
    <m/>
    <m/>
    <x v="0"/>
    <m/>
    <x v="0"/>
    <m/>
    <x v="5"/>
    <x v="21"/>
    <s v="C"/>
    <x v="3"/>
    <x v="0"/>
    <x v="108"/>
    <s v=""/>
    <x v="4"/>
    <x v="2"/>
    <x v="4"/>
    <x v="3"/>
    <x v="0"/>
    <d v="1899-12-30T00:00:00"/>
    <d v="1899-12-30T00:00:00"/>
  </r>
  <r>
    <n v="1104"/>
    <x v="0"/>
    <x v="109"/>
    <x v="266"/>
    <m/>
    <x v="4"/>
    <m/>
    <m/>
    <x v="0"/>
    <d v="2010-01-04T00:00:00"/>
    <x v="3"/>
    <d v="2010-06-08T00:00:00"/>
    <d v="2010-12-14T00:00:00"/>
    <x v="2"/>
    <x v="0"/>
    <x v="0"/>
    <x v="4"/>
    <x v="0"/>
    <m/>
    <m/>
    <x v="98"/>
    <m/>
    <m/>
    <x v="0"/>
    <x v="0"/>
    <n v="300000"/>
    <m/>
    <x v="1"/>
    <n v="0"/>
    <x v="10"/>
    <x v="0"/>
    <m/>
    <m/>
    <x v="0"/>
    <m/>
    <x v="0"/>
    <m/>
    <x v="5"/>
    <x v="21"/>
    <s v="C"/>
    <x v="3"/>
    <x v="0"/>
    <x v="108"/>
    <s v=""/>
    <x v="4"/>
    <x v="2"/>
    <x v="4"/>
    <x v="3"/>
    <x v="0"/>
    <d v="1899-12-30T00:00:00"/>
    <d v="1899-12-30T00:00:00"/>
  </r>
  <r>
    <n v="1105"/>
    <x v="0"/>
    <x v="109"/>
    <x v="266"/>
    <m/>
    <x v="4"/>
    <m/>
    <m/>
    <x v="2"/>
    <d v="2010-01-04T00:00:00"/>
    <x v="3"/>
    <d v="2010-12-06T00:00:00"/>
    <d v="2011-04-27T00:00:00"/>
    <x v="1"/>
    <x v="0"/>
    <x v="0"/>
    <x v="4"/>
    <x v="0"/>
    <m/>
    <m/>
    <x v="98"/>
    <m/>
    <m/>
    <x v="0"/>
    <x v="0"/>
    <n v="300000"/>
    <m/>
    <x v="1"/>
    <n v="0"/>
    <x v="10"/>
    <x v="0"/>
    <m/>
    <m/>
    <x v="0"/>
    <m/>
    <x v="0"/>
    <m/>
    <x v="5"/>
    <x v="21"/>
    <s v="C"/>
    <x v="3"/>
    <x v="0"/>
    <x v="108"/>
    <s v=""/>
    <x v="4"/>
    <x v="2"/>
    <x v="4"/>
    <x v="3"/>
    <x v="0"/>
    <d v="1899-12-30T00:00:00"/>
    <d v="1899-12-30T00:00:00"/>
  </r>
  <r>
    <n v="1106"/>
    <x v="0"/>
    <x v="109"/>
    <x v="266"/>
    <m/>
    <x v="4"/>
    <m/>
    <m/>
    <x v="1"/>
    <d v="2010-01-04T00:00:00"/>
    <x v="3"/>
    <d v="2010-05-18T00:00:00"/>
    <d v="2010-11-02T00:00:00"/>
    <x v="2"/>
    <x v="0"/>
    <x v="1"/>
    <x v="2"/>
    <x v="0"/>
    <m/>
    <m/>
    <x v="27"/>
    <m/>
    <m/>
    <x v="0"/>
    <x v="0"/>
    <n v="500000"/>
    <m/>
    <x v="1"/>
    <n v="0"/>
    <x v="10"/>
    <x v="0"/>
    <m/>
    <m/>
    <x v="0"/>
    <m/>
    <x v="0"/>
    <m/>
    <x v="5"/>
    <x v="21"/>
    <s v="C"/>
    <x v="3"/>
    <x v="0"/>
    <x v="108"/>
    <s v=""/>
    <x v="4"/>
    <x v="2"/>
    <x v="4"/>
    <x v="3"/>
    <x v="0"/>
    <d v="1899-12-30T00:00:00"/>
    <d v="1899-12-30T00:00:00"/>
  </r>
  <r>
    <n v="1107"/>
    <x v="0"/>
    <x v="109"/>
    <x v="266"/>
    <m/>
    <x v="4"/>
    <m/>
    <m/>
    <x v="1"/>
    <d v="2010-01-04T00:00:00"/>
    <x v="3"/>
    <d v="2010-05-24T00:00:00"/>
    <d v="2010-09-03T00:00:00"/>
    <x v="2"/>
    <x v="0"/>
    <x v="0"/>
    <x v="6"/>
    <x v="0"/>
    <m/>
    <m/>
    <x v="98"/>
    <m/>
    <m/>
    <x v="0"/>
    <x v="0"/>
    <n v="300000"/>
    <m/>
    <x v="1"/>
    <n v="0"/>
    <x v="10"/>
    <x v="0"/>
    <m/>
    <m/>
    <x v="0"/>
    <m/>
    <x v="0"/>
    <m/>
    <x v="5"/>
    <x v="21"/>
    <s v="C"/>
    <x v="3"/>
    <x v="0"/>
    <x v="108"/>
    <s v=""/>
    <x v="4"/>
    <x v="2"/>
    <x v="4"/>
    <x v="3"/>
    <x v="0"/>
    <d v="1899-12-30T00:00:00"/>
    <d v="1899-12-30T00:00:00"/>
  </r>
  <r>
    <n v="1108"/>
    <x v="0"/>
    <x v="109"/>
    <x v="266"/>
    <m/>
    <x v="4"/>
    <m/>
    <m/>
    <x v="1"/>
    <d v="2010-01-04T00:00:00"/>
    <x v="3"/>
    <d v="2010-01-29T00:00:00"/>
    <d v="2011-02-18T00:00:00"/>
    <x v="1"/>
    <x v="0"/>
    <x v="0"/>
    <x v="14"/>
    <x v="0"/>
    <m/>
    <m/>
    <x v="98"/>
    <m/>
    <m/>
    <x v="0"/>
    <x v="0"/>
    <n v="300000"/>
    <m/>
    <x v="1"/>
    <n v="0"/>
    <x v="10"/>
    <x v="0"/>
    <m/>
    <m/>
    <x v="0"/>
    <m/>
    <x v="0"/>
    <m/>
    <x v="5"/>
    <x v="21"/>
    <s v="C"/>
    <x v="3"/>
    <x v="0"/>
    <x v="108"/>
    <s v=""/>
    <x v="4"/>
    <x v="2"/>
    <x v="4"/>
    <x v="3"/>
    <x v="0"/>
    <d v="1899-12-30T00:00:00"/>
    <d v="1899-12-30T00:00:00"/>
  </r>
  <r>
    <n v="1109"/>
    <x v="0"/>
    <x v="109"/>
    <x v="266"/>
    <m/>
    <x v="4"/>
    <m/>
    <m/>
    <x v="1"/>
    <d v="2010-01-04T00:00:00"/>
    <x v="3"/>
    <d v="2010-12-31T00:00:00"/>
    <m/>
    <x v="8"/>
    <x v="1"/>
    <x v="2"/>
    <x v="13"/>
    <x v="0"/>
    <m/>
    <m/>
    <x v="137"/>
    <m/>
    <m/>
    <x v="0"/>
    <x v="0"/>
    <n v="400000"/>
    <m/>
    <x v="1"/>
    <n v="0"/>
    <x v="10"/>
    <x v="0"/>
    <m/>
    <m/>
    <x v="0"/>
    <m/>
    <x v="0"/>
    <m/>
    <x v="5"/>
    <x v="21"/>
    <s v="C"/>
    <x v="3"/>
    <x v="0"/>
    <x v="108"/>
    <s v=""/>
    <x v="4"/>
    <x v="2"/>
    <x v="4"/>
    <x v="3"/>
    <x v="0"/>
    <d v="1899-12-30T00:00:00"/>
    <d v="1899-12-30T00:00:00"/>
  </r>
  <r>
    <n v="1110"/>
    <x v="0"/>
    <x v="109"/>
    <x v="266"/>
    <m/>
    <x v="4"/>
    <m/>
    <m/>
    <x v="0"/>
    <d v="2010-01-04T00:00:00"/>
    <x v="3"/>
    <d v="2010-02-25T00:00:00"/>
    <d v="2010-08-05T00:00:00"/>
    <x v="2"/>
    <x v="1"/>
    <x v="2"/>
    <x v="17"/>
    <x v="0"/>
    <m/>
    <m/>
    <x v="156"/>
    <m/>
    <m/>
    <x v="0"/>
    <x v="0"/>
    <n v="200000"/>
    <m/>
    <x v="1"/>
    <n v="0"/>
    <x v="10"/>
    <x v="0"/>
    <m/>
    <m/>
    <x v="0"/>
    <m/>
    <x v="0"/>
    <m/>
    <x v="5"/>
    <x v="21"/>
    <s v="C"/>
    <x v="3"/>
    <x v="0"/>
    <x v="108"/>
    <s v=""/>
    <x v="4"/>
    <x v="2"/>
    <x v="4"/>
    <x v="3"/>
    <x v="0"/>
    <d v="1899-12-30T00:00:00"/>
    <d v="1899-12-30T00:00:00"/>
  </r>
  <r>
    <n v="1111"/>
    <x v="0"/>
    <x v="109"/>
    <x v="266"/>
    <m/>
    <x v="4"/>
    <m/>
    <m/>
    <x v="2"/>
    <d v="2010-01-04T00:00:00"/>
    <x v="3"/>
    <d v="2010-07-30T00:00:00"/>
    <d v="2010-12-13T00:00:00"/>
    <x v="2"/>
    <x v="1"/>
    <x v="2"/>
    <x v="17"/>
    <x v="0"/>
    <m/>
    <m/>
    <x v="156"/>
    <m/>
    <m/>
    <x v="0"/>
    <x v="0"/>
    <n v="200000"/>
    <m/>
    <x v="1"/>
    <n v="0"/>
    <x v="10"/>
    <x v="0"/>
    <m/>
    <m/>
    <x v="0"/>
    <m/>
    <x v="0"/>
    <m/>
    <x v="5"/>
    <x v="21"/>
    <s v="C"/>
    <x v="3"/>
    <x v="0"/>
    <x v="108"/>
    <s v=""/>
    <x v="4"/>
    <x v="2"/>
    <x v="4"/>
    <x v="3"/>
    <x v="0"/>
    <d v="1899-12-30T00:00:00"/>
    <d v="1899-12-30T00:00:00"/>
  </r>
  <r>
    <n v="1112"/>
    <x v="0"/>
    <x v="109"/>
    <x v="266"/>
    <m/>
    <x v="4"/>
    <m/>
    <m/>
    <x v="4"/>
    <d v="2010-01-04T00:00:00"/>
    <x v="3"/>
    <d v="2010-12-31T00:00:00"/>
    <d v="2011-04-27T00:00:00"/>
    <x v="1"/>
    <x v="1"/>
    <x v="2"/>
    <x v="17"/>
    <x v="0"/>
    <m/>
    <m/>
    <x v="156"/>
    <m/>
    <m/>
    <x v="0"/>
    <x v="0"/>
    <n v="200000"/>
    <m/>
    <x v="1"/>
    <n v="0"/>
    <x v="10"/>
    <x v="0"/>
    <m/>
    <m/>
    <x v="0"/>
    <m/>
    <x v="0"/>
    <m/>
    <x v="5"/>
    <x v="21"/>
    <s v="C"/>
    <x v="3"/>
    <x v="0"/>
    <x v="108"/>
    <s v=""/>
    <x v="4"/>
    <x v="2"/>
    <x v="4"/>
    <x v="3"/>
    <x v="0"/>
    <d v="1899-12-30T00:00:00"/>
    <d v="1899-12-30T00:00:00"/>
  </r>
  <r>
    <n v="1113"/>
    <x v="0"/>
    <x v="109"/>
    <x v="266"/>
    <m/>
    <x v="4"/>
    <m/>
    <m/>
    <x v="1"/>
    <d v="2010-01-04T00:00:00"/>
    <x v="3"/>
    <d v="2010-12-31T00:00:00"/>
    <m/>
    <x v="8"/>
    <x v="1"/>
    <x v="2"/>
    <x v="16"/>
    <x v="0"/>
    <m/>
    <m/>
    <x v="24"/>
    <m/>
    <m/>
    <x v="0"/>
    <x v="0"/>
    <n v="100000"/>
    <m/>
    <x v="1"/>
    <n v="0"/>
    <x v="10"/>
    <x v="0"/>
    <m/>
    <m/>
    <x v="0"/>
    <m/>
    <x v="0"/>
    <m/>
    <x v="5"/>
    <x v="21"/>
    <s v="C"/>
    <x v="3"/>
    <x v="0"/>
    <x v="108"/>
    <s v=""/>
    <x v="4"/>
    <x v="2"/>
    <x v="4"/>
    <x v="3"/>
    <x v="0"/>
    <d v="1899-12-30T00:00:00"/>
    <d v="1899-12-30T00:00:00"/>
  </r>
  <r>
    <n v="1114"/>
    <x v="0"/>
    <x v="109"/>
    <x v="266"/>
    <m/>
    <x v="4"/>
    <m/>
    <m/>
    <x v="1"/>
    <d v="2010-01-04T00:00:00"/>
    <x v="3"/>
    <d v="2011-01-31T00:00:00"/>
    <d v="2011-04-27T00:00:00"/>
    <x v="1"/>
    <x v="2"/>
    <x v="3"/>
    <x v="19"/>
    <x v="0"/>
    <m/>
    <m/>
    <x v="99"/>
    <m/>
    <m/>
    <x v="0"/>
    <x v="0"/>
    <n v="150000"/>
    <m/>
    <x v="1"/>
    <n v="0"/>
    <x v="10"/>
    <x v="0"/>
    <m/>
    <m/>
    <x v="0"/>
    <m/>
    <x v="0"/>
    <m/>
    <x v="5"/>
    <x v="21"/>
    <s v="C"/>
    <x v="3"/>
    <x v="0"/>
    <x v="108"/>
    <s v=""/>
    <x v="4"/>
    <x v="2"/>
    <x v="4"/>
    <x v="3"/>
    <x v="0"/>
    <d v="1899-12-30T00:00:00"/>
    <d v="1899-12-30T00:00:00"/>
  </r>
  <r>
    <n v="1115"/>
    <x v="0"/>
    <x v="109"/>
    <x v="266"/>
    <m/>
    <x v="4"/>
    <m/>
    <m/>
    <x v="1"/>
    <d v="2010-01-04T00:00:00"/>
    <x v="3"/>
    <d v="2010-10-30T00:00:00"/>
    <m/>
    <x v="8"/>
    <x v="2"/>
    <x v="3"/>
    <x v="29"/>
    <x v="0"/>
    <m/>
    <m/>
    <x v="80"/>
    <m/>
    <m/>
    <x v="0"/>
    <x v="0"/>
    <n v="50000"/>
    <m/>
    <x v="1"/>
    <n v="0"/>
    <x v="10"/>
    <x v="0"/>
    <m/>
    <m/>
    <x v="0"/>
    <m/>
    <x v="0"/>
    <m/>
    <x v="5"/>
    <x v="21"/>
    <s v="C"/>
    <x v="3"/>
    <x v="0"/>
    <x v="108"/>
    <s v=""/>
    <x v="4"/>
    <x v="2"/>
    <x v="4"/>
    <x v="3"/>
    <x v="0"/>
    <d v="1899-12-30T00:00:00"/>
    <d v="1899-12-30T00:00:00"/>
  </r>
  <r>
    <n v="1116"/>
    <x v="0"/>
    <x v="109"/>
    <x v="266"/>
    <m/>
    <x v="4"/>
    <m/>
    <m/>
    <x v="1"/>
    <d v="2010-01-04T00:00:00"/>
    <x v="3"/>
    <d v="2010-02-02T00:00:00"/>
    <d v="2010-08-05T00:00:00"/>
    <x v="2"/>
    <x v="2"/>
    <x v="3"/>
    <x v="18"/>
    <x v="0"/>
    <m/>
    <m/>
    <x v="24"/>
    <m/>
    <m/>
    <x v="0"/>
    <x v="0"/>
    <n v="100000"/>
    <m/>
    <x v="1"/>
    <n v="0"/>
    <x v="10"/>
    <x v="0"/>
    <m/>
    <m/>
    <x v="0"/>
    <m/>
    <x v="0"/>
    <m/>
    <x v="5"/>
    <x v="21"/>
    <s v="C"/>
    <x v="3"/>
    <x v="0"/>
    <x v="108"/>
    <s v=""/>
    <x v="4"/>
    <x v="2"/>
    <x v="4"/>
    <x v="3"/>
    <x v="0"/>
    <d v="1899-12-30T00:00:00"/>
    <d v="1899-12-30T00:00:00"/>
  </r>
  <r>
    <n v="1117"/>
    <x v="0"/>
    <x v="109"/>
    <x v="266"/>
    <m/>
    <x v="4"/>
    <m/>
    <m/>
    <x v="1"/>
    <d v="2010-01-04T00:00:00"/>
    <x v="3"/>
    <d v="2010-03-02T00:00:00"/>
    <d v="2010-09-03T00:00:00"/>
    <x v="2"/>
    <x v="3"/>
    <x v="4"/>
    <x v="20"/>
    <x v="0"/>
    <m/>
    <m/>
    <x v="266"/>
    <m/>
    <m/>
    <x v="0"/>
    <x v="0"/>
    <n v="750000"/>
    <m/>
    <x v="1"/>
    <n v="0"/>
    <x v="10"/>
    <x v="0"/>
    <m/>
    <m/>
    <x v="0"/>
    <m/>
    <x v="0"/>
    <m/>
    <x v="5"/>
    <x v="21"/>
    <s v="C"/>
    <x v="3"/>
    <x v="0"/>
    <x v="108"/>
    <s v=""/>
    <x v="4"/>
    <x v="2"/>
    <x v="4"/>
    <x v="3"/>
    <x v="0"/>
    <d v="1899-12-30T00:00:00"/>
    <d v="1899-12-30T00:00:00"/>
  </r>
  <r>
    <n v="1118"/>
    <x v="0"/>
    <x v="109"/>
    <x v="266"/>
    <m/>
    <x v="4"/>
    <m/>
    <m/>
    <x v="1"/>
    <d v="2010-01-04T00:00:00"/>
    <x v="3"/>
    <d v="2010-12-31T00:00:00"/>
    <m/>
    <x v="8"/>
    <x v="3"/>
    <x v="4"/>
    <x v="21"/>
    <x v="0"/>
    <m/>
    <m/>
    <x v="98"/>
    <m/>
    <m/>
    <x v="0"/>
    <x v="0"/>
    <n v="300000"/>
    <m/>
    <x v="1"/>
    <n v="0"/>
    <x v="10"/>
    <x v="0"/>
    <m/>
    <m/>
    <x v="0"/>
    <m/>
    <x v="0"/>
    <m/>
    <x v="5"/>
    <x v="21"/>
    <s v="C"/>
    <x v="3"/>
    <x v="0"/>
    <x v="108"/>
    <s v=""/>
    <x v="4"/>
    <x v="2"/>
    <x v="4"/>
    <x v="3"/>
    <x v="0"/>
    <d v="1899-12-30T00:00:00"/>
    <d v="1899-12-30T00:00:00"/>
  </r>
  <r>
    <n v="1119"/>
    <x v="0"/>
    <x v="109"/>
    <x v="266"/>
    <m/>
    <x v="4"/>
    <m/>
    <m/>
    <x v="1"/>
    <d v="2010-01-04T00:00:00"/>
    <x v="3"/>
    <d v="2010-02-18T00:00:00"/>
    <d v="2010-08-02T00:00:00"/>
    <x v="2"/>
    <x v="4"/>
    <x v="5"/>
    <x v="22"/>
    <x v="0"/>
    <m/>
    <m/>
    <x v="24"/>
    <m/>
    <m/>
    <x v="0"/>
    <x v="0"/>
    <n v="100000"/>
    <m/>
    <x v="1"/>
    <n v="0"/>
    <x v="10"/>
    <x v="0"/>
    <m/>
    <m/>
    <x v="0"/>
    <m/>
    <x v="0"/>
    <m/>
    <x v="5"/>
    <x v="21"/>
    <s v="C"/>
    <x v="3"/>
    <x v="0"/>
    <x v="108"/>
    <s v=""/>
    <x v="4"/>
    <x v="2"/>
    <x v="4"/>
    <x v="3"/>
    <x v="0"/>
    <d v="1899-12-30T00:00:00"/>
    <d v="1899-12-30T00:00:00"/>
  </r>
  <r>
    <n v="1120"/>
    <x v="1"/>
    <x v="65"/>
    <x v="893"/>
    <m/>
    <x v="4"/>
    <m/>
    <m/>
    <x v="1"/>
    <d v="2013-01-31T00:00:00"/>
    <x v="11"/>
    <d v="2013-02-28T00:00:00"/>
    <d v="2013-07-03T00:00:00"/>
    <x v="11"/>
    <x v="2"/>
    <x v="3"/>
    <x v="18"/>
    <x v="0"/>
    <m/>
    <d v="2014-02-03T00:00:00"/>
    <x v="268"/>
    <m/>
    <m/>
    <x v="0"/>
    <x v="0"/>
    <n v="4900"/>
    <n v="980"/>
    <x v="1"/>
    <n v="980"/>
    <x v="9"/>
    <x v="0"/>
    <m/>
    <m/>
    <x v="0"/>
    <m/>
    <x v="0"/>
    <d v="2014-04-08T00:00:00"/>
    <x v="5"/>
    <x v="2"/>
    <s v="R"/>
    <x v="3"/>
    <x v="0"/>
    <x v="108"/>
    <s v=""/>
    <x v="4"/>
    <x v="2"/>
    <x v="4"/>
    <x v="3"/>
    <x v="0"/>
    <d v="1899-12-30T00:00:00"/>
    <d v="1899-12-30T00:00:00"/>
  </r>
  <r>
    <n v="1121"/>
    <x v="0"/>
    <x v="200"/>
    <x v="894"/>
    <m/>
    <x v="4"/>
    <m/>
    <m/>
    <x v="1"/>
    <d v="2007-04-30T00:00:00"/>
    <x v="7"/>
    <d v="2007-07-23T00:00:00"/>
    <d v="2007-12-21T00:00:00"/>
    <x v="3"/>
    <x v="3"/>
    <x v="4"/>
    <x v="20"/>
    <x v="0"/>
    <m/>
    <m/>
    <x v="2"/>
    <m/>
    <m/>
    <x v="0"/>
    <x v="0"/>
    <n v="75000"/>
    <m/>
    <x v="1"/>
    <n v="0"/>
    <x v="0"/>
    <x v="0"/>
    <m/>
    <m/>
    <x v="0"/>
    <m/>
    <x v="0"/>
    <m/>
    <x v="5"/>
    <x v="4"/>
    <s v="2"/>
    <x v="3"/>
    <x v="0"/>
    <x v="108"/>
    <s v=""/>
    <x v="4"/>
    <x v="2"/>
    <x v="4"/>
    <x v="3"/>
    <x v="0"/>
    <d v="1899-12-30T00:00:00"/>
    <d v="1899-12-30T00:00:00"/>
  </r>
  <r>
    <n v="1122"/>
    <x v="0"/>
    <x v="203"/>
    <x v="895"/>
    <m/>
    <x v="4"/>
    <m/>
    <m/>
    <x v="1"/>
    <d v="2007-04-30T00:00:00"/>
    <x v="7"/>
    <d v="2007-07-23T00:00:00"/>
    <d v="2007-12-21T00:00:00"/>
    <x v="3"/>
    <x v="3"/>
    <x v="4"/>
    <x v="20"/>
    <x v="0"/>
    <m/>
    <m/>
    <x v="122"/>
    <m/>
    <m/>
    <x v="0"/>
    <x v="0"/>
    <n v="5000"/>
    <m/>
    <x v="1"/>
    <n v="0"/>
    <x v="0"/>
    <x v="0"/>
    <m/>
    <m/>
    <x v="0"/>
    <m/>
    <x v="0"/>
    <m/>
    <x v="5"/>
    <x v="16"/>
    <s v="A"/>
    <x v="3"/>
    <x v="0"/>
    <x v="108"/>
    <s v=""/>
    <x v="4"/>
    <x v="2"/>
    <x v="4"/>
    <x v="3"/>
    <x v="0"/>
    <d v="1899-12-30T00:00:00"/>
    <d v="1899-12-30T00:00:00"/>
  </r>
  <r>
    <n v="1123"/>
    <x v="0"/>
    <x v="67"/>
    <x v="896"/>
    <m/>
    <x v="4"/>
    <m/>
    <m/>
    <x v="1"/>
    <d v="2007-04-30T00:00:00"/>
    <x v="7"/>
    <d v="2007-07-23T00:00:00"/>
    <d v="2007-12-21T00:00:00"/>
    <x v="3"/>
    <x v="3"/>
    <x v="4"/>
    <x v="20"/>
    <x v="0"/>
    <m/>
    <m/>
    <x v="116"/>
    <m/>
    <m/>
    <x v="0"/>
    <x v="0"/>
    <n v="30000"/>
    <m/>
    <x v="1"/>
    <n v="0"/>
    <x v="0"/>
    <x v="0"/>
    <m/>
    <m/>
    <x v="0"/>
    <m/>
    <x v="0"/>
    <m/>
    <x v="5"/>
    <x v="2"/>
    <s v="A"/>
    <x v="3"/>
    <x v="0"/>
    <x v="108"/>
    <s v=""/>
    <x v="4"/>
    <x v="2"/>
    <x v="4"/>
    <x v="3"/>
    <x v="0"/>
    <d v="1899-12-30T00:00:00"/>
    <d v="1899-12-30T00:00:00"/>
  </r>
  <r>
    <n v="1124"/>
    <x v="0"/>
    <x v="77"/>
    <x v="897"/>
    <m/>
    <x v="4"/>
    <m/>
    <m/>
    <x v="1"/>
    <d v="2007-04-30T00:00:00"/>
    <x v="7"/>
    <d v="2007-07-23T00:00:00"/>
    <d v="2007-12-21T00:00:00"/>
    <x v="3"/>
    <x v="3"/>
    <x v="4"/>
    <x v="20"/>
    <x v="0"/>
    <m/>
    <m/>
    <x v="61"/>
    <m/>
    <m/>
    <x v="0"/>
    <x v="0"/>
    <n v="2500"/>
    <m/>
    <x v="1"/>
    <n v="0"/>
    <x v="0"/>
    <x v="0"/>
    <m/>
    <m/>
    <x v="0"/>
    <m/>
    <x v="0"/>
    <m/>
    <x v="5"/>
    <x v="19"/>
    <s v="C"/>
    <x v="3"/>
    <x v="0"/>
    <x v="108"/>
    <s v=""/>
    <x v="4"/>
    <x v="2"/>
    <x v="4"/>
    <x v="3"/>
    <x v="0"/>
    <d v="1899-12-30T00:00:00"/>
    <d v="1899-12-30T00:00:00"/>
  </r>
  <r>
    <n v="1125"/>
    <x v="0"/>
    <x v="87"/>
    <x v="898"/>
    <m/>
    <x v="4"/>
    <m/>
    <m/>
    <x v="1"/>
    <d v="2007-04-30T00:00:00"/>
    <x v="7"/>
    <d v="2007-07-23T00:00:00"/>
    <d v="2007-12-21T00:00:00"/>
    <x v="3"/>
    <x v="3"/>
    <x v="4"/>
    <x v="20"/>
    <x v="0"/>
    <m/>
    <m/>
    <x v="31"/>
    <m/>
    <m/>
    <x v="0"/>
    <x v="0"/>
    <n v="7500"/>
    <m/>
    <x v="1"/>
    <n v="0"/>
    <x v="7"/>
    <x v="0"/>
    <m/>
    <m/>
    <x v="0"/>
    <m/>
    <x v="0"/>
    <m/>
    <x v="5"/>
    <x v="4"/>
    <s v="F"/>
    <x v="3"/>
    <x v="0"/>
    <x v="108"/>
    <s v=""/>
    <x v="4"/>
    <x v="2"/>
    <x v="4"/>
    <x v="3"/>
    <x v="0"/>
    <d v="1899-12-30T00:00:00"/>
    <d v="1899-12-30T00:00:00"/>
  </r>
  <r>
    <n v="1126"/>
    <x v="0"/>
    <x v="37"/>
    <x v="899"/>
    <m/>
    <x v="4"/>
    <m/>
    <m/>
    <x v="1"/>
    <d v="2007-04-30T00:00:00"/>
    <x v="7"/>
    <d v="2007-07-23T00:00:00"/>
    <d v="2007-12-21T00:00:00"/>
    <x v="3"/>
    <x v="3"/>
    <x v="4"/>
    <x v="20"/>
    <x v="0"/>
    <m/>
    <m/>
    <x v="78"/>
    <m/>
    <m/>
    <x v="0"/>
    <x v="0"/>
    <n v="12500"/>
    <m/>
    <x v="1"/>
    <n v="0"/>
    <x v="0"/>
    <x v="0"/>
    <m/>
    <m/>
    <x v="0"/>
    <m/>
    <x v="0"/>
    <m/>
    <x v="5"/>
    <x v="3"/>
    <s v="F"/>
    <x v="3"/>
    <x v="0"/>
    <x v="108"/>
    <s v=""/>
    <x v="4"/>
    <x v="2"/>
    <x v="4"/>
    <x v="3"/>
    <x v="0"/>
    <d v="1899-12-30T00:00:00"/>
    <d v="1899-12-30T00:00:00"/>
  </r>
  <r>
    <n v="1127"/>
    <x v="0"/>
    <x v="204"/>
    <x v="900"/>
    <m/>
    <x v="4"/>
    <m/>
    <m/>
    <x v="1"/>
    <d v="2007-04-30T00:00:00"/>
    <x v="7"/>
    <d v="2007-07-23T00:00:00"/>
    <d v="2007-12-21T00:00:00"/>
    <x v="3"/>
    <x v="3"/>
    <x v="4"/>
    <x v="20"/>
    <x v="0"/>
    <m/>
    <m/>
    <x v="78"/>
    <m/>
    <m/>
    <x v="0"/>
    <x v="0"/>
    <n v="12500"/>
    <m/>
    <x v="1"/>
    <n v="0"/>
    <x v="0"/>
    <x v="0"/>
    <m/>
    <m/>
    <x v="0"/>
    <m/>
    <x v="0"/>
    <m/>
    <x v="5"/>
    <x v="4"/>
    <s v="F"/>
    <x v="3"/>
    <x v="0"/>
    <x v="108"/>
    <s v=""/>
    <x v="4"/>
    <x v="2"/>
    <x v="4"/>
    <x v="3"/>
    <x v="0"/>
    <d v="1899-12-30T00:00:00"/>
    <d v="1899-12-30T00:00:00"/>
  </r>
  <r>
    <n v="1128"/>
    <x v="0"/>
    <x v="74"/>
    <x v="901"/>
    <m/>
    <x v="4"/>
    <m/>
    <m/>
    <x v="1"/>
    <d v="2007-04-30T00:00:00"/>
    <x v="7"/>
    <d v="2007-07-23T00:00:00"/>
    <d v="2007-12-21T00:00:00"/>
    <x v="3"/>
    <x v="3"/>
    <x v="4"/>
    <x v="20"/>
    <x v="0"/>
    <m/>
    <m/>
    <x v="81"/>
    <m/>
    <m/>
    <x v="0"/>
    <x v="0"/>
    <n v="15000"/>
    <m/>
    <x v="1"/>
    <n v="0"/>
    <x v="0"/>
    <x v="0"/>
    <m/>
    <m/>
    <x v="0"/>
    <m/>
    <x v="0"/>
    <m/>
    <x v="5"/>
    <x v="12"/>
    <s v="F"/>
    <x v="3"/>
    <x v="0"/>
    <x v="108"/>
    <s v=""/>
    <x v="4"/>
    <x v="2"/>
    <x v="4"/>
    <x v="3"/>
    <x v="0"/>
    <d v="1899-12-30T00:00:00"/>
    <d v="1899-12-30T00:00:00"/>
  </r>
  <r>
    <n v="1129"/>
    <x v="0"/>
    <x v="205"/>
    <x v="902"/>
    <m/>
    <x v="4"/>
    <m/>
    <m/>
    <x v="1"/>
    <d v="2007-04-30T00:00:00"/>
    <x v="7"/>
    <d v="2007-07-23T00:00:00"/>
    <d v="2007-12-21T00:00:00"/>
    <x v="3"/>
    <x v="3"/>
    <x v="4"/>
    <x v="20"/>
    <x v="0"/>
    <m/>
    <m/>
    <x v="80"/>
    <m/>
    <m/>
    <x v="0"/>
    <x v="0"/>
    <n v="50000"/>
    <m/>
    <x v="1"/>
    <n v="0"/>
    <x v="0"/>
    <x v="0"/>
    <m/>
    <m/>
    <x v="0"/>
    <m/>
    <x v="0"/>
    <m/>
    <x v="5"/>
    <x v="2"/>
    <s v="I"/>
    <x v="3"/>
    <x v="0"/>
    <x v="108"/>
    <s v=""/>
    <x v="4"/>
    <x v="2"/>
    <x v="4"/>
    <x v="3"/>
    <x v="0"/>
    <d v="1899-12-30T00:00:00"/>
    <d v="1899-12-30T00:00:00"/>
  </r>
  <r>
    <n v="1130"/>
    <x v="0"/>
    <x v="82"/>
    <x v="184"/>
    <m/>
    <x v="4"/>
    <m/>
    <m/>
    <x v="1"/>
    <d v="2007-04-30T00:00:00"/>
    <x v="7"/>
    <d v="2007-07-23T00:00:00"/>
    <d v="2007-12-21T00:00:00"/>
    <x v="3"/>
    <x v="3"/>
    <x v="4"/>
    <x v="20"/>
    <x v="0"/>
    <m/>
    <m/>
    <x v="78"/>
    <m/>
    <m/>
    <x v="0"/>
    <x v="0"/>
    <n v="12500"/>
    <m/>
    <x v="1"/>
    <n v="0"/>
    <x v="0"/>
    <x v="0"/>
    <m/>
    <m/>
    <x v="0"/>
    <m/>
    <x v="0"/>
    <m/>
    <x v="5"/>
    <x v="6"/>
    <s v="Q"/>
    <x v="3"/>
    <x v="0"/>
    <x v="108"/>
    <s v=""/>
    <x v="4"/>
    <x v="2"/>
    <x v="4"/>
    <x v="3"/>
    <x v="0"/>
    <d v="1899-12-30T00:00:00"/>
    <d v="1899-12-30T00:00:00"/>
  </r>
  <r>
    <n v="1131"/>
    <x v="0"/>
    <x v="191"/>
    <x v="903"/>
    <m/>
    <x v="4"/>
    <m/>
    <m/>
    <x v="1"/>
    <d v="2007-04-30T00:00:00"/>
    <x v="7"/>
    <d v="2007-07-23T00:00:00"/>
    <d v="2007-12-21T00:00:00"/>
    <x v="3"/>
    <x v="3"/>
    <x v="4"/>
    <x v="20"/>
    <x v="0"/>
    <m/>
    <m/>
    <x v="61"/>
    <m/>
    <m/>
    <x v="0"/>
    <x v="0"/>
    <n v="2500"/>
    <m/>
    <x v="1"/>
    <n v="0"/>
    <x v="0"/>
    <x v="0"/>
    <m/>
    <m/>
    <x v="0"/>
    <m/>
    <x v="0"/>
    <m/>
    <x v="5"/>
    <x v="0"/>
    <s v="X"/>
    <x v="3"/>
    <x v="0"/>
    <x v="108"/>
    <s v=""/>
    <x v="4"/>
    <x v="2"/>
    <x v="4"/>
    <x v="3"/>
    <x v="0"/>
    <d v="1899-12-30T00:00:00"/>
    <d v="1899-12-30T00:00:00"/>
  </r>
  <r>
    <n v="1132"/>
    <x v="0"/>
    <x v="83"/>
    <x v="904"/>
    <m/>
    <x v="4"/>
    <m/>
    <m/>
    <x v="1"/>
    <d v="2007-04-30T00:00:00"/>
    <x v="7"/>
    <d v="2007-07-23T00:00:00"/>
    <d v="2007-12-21T00:00:00"/>
    <x v="3"/>
    <x v="3"/>
    <x v="4"/>
    <x v="20"/>
    <x v="0"/>
    <m/>
    <m/>
    <x v="269"/>
    <m/>
    <m/>
    <x v="0"/>
    <x v="0"/>
    <n v="345000"/>
    <m/>
    <x v="1"/>
    <n v="0"/>
    <x v="0"/>
    <x v="0"/>
    <m/>
    <m/>
    <x v="0"/>
    <m/>
    <x v="0"/>
    <m/>
    <x v="5"/>
    <x v="16"/>
    <s v="5"/>
    <x v="3"/>
    <x v="0"/>
    <x v="108"/>
    <s v=""/>
    <x v="4"/>
    <x v="2"/>
    <x v="4"/>
    <x v="3"/>
    <x v="0"/>
    <d v="1899-12-30T00:00:00"/>
    <d v="1899-12-30T00:00:00"/>
  </r>
  <r>
    <n v="1133"/>
    <x v="0"/>
    <x v="79"/>
    <x v="905"/>
    <m/>
    <x v="4"/>
    <m/>
    <m/>
    <x v="1"/>
    <d v="2007-04-30T00:00:00"/>
    <x v="7"/>
    <d v="2007-07-23T00:00:00"/>
    <d v="2007-12-21T00:00:00"/>
    <x v="3"/>
    <x v="3"/>
    <x v="4"/>
    <x v="20"/>
    <x v="0"/>
    <m/>
    <m/>
    <x v="269"/>
    <m/>
    <m/>
    <x v="0"/>
    <x v="0"/>
    <n v="345000"/>
    <m/>
    <x v="1"/>
    <n v="0"/>
    <x v="0"/>
    <x v="0"/>
    <m/>
    <m/>
    <x v="0"/>
    <m/>
    <x v="0"/>
    <m/>
    <x v="5"/>
    <x v="0"/>
    <s v="D"/>
    <x v="3"/>
    <x v="0"/>
    <x v="108"/>
    <s v=""/>
    <x v="4"/>
    <x v="2"/>
    <x v="4"/>
    <x v="3"/>
    <x v="0"/>
    <d v="1899-12-30T00:00:00"/>
    <d v="1899-12-30T00:00:00"/>
  </r>
  <r>
    <n v="1134"/>
    <x v="0"/>
    <x v="80"/>
    <x v="906"/>
    <m/>
    <x v="4"/>
    <m/>
    <m/>
    <x v="1"/>
    <d v="2007-04-30T00:00:00"/>
    <x v="7"/>
    <d v="2007-07-23T00:00:00"/>
    <d v="2007-12-21T00:00:00"/>
    <x v="3"/>
    <x v="3"/>
    <x v="4"/>
    <x v="20"/>
    <x v="0"/>
    <m/>
    <m/>
    <x v="270"/>
    <m/>
    <m/>
    <x v="0"/>
    <x v="0"/>
    <n v="375000"/>
    <m/>
    <x v="1"/>
    <n v="0"/>
    <x v="0"/>
    <x v="0"/>
    <m/>
    <m/>
    <x v="0"/>
    <m/>
    <x v="0"/>
    <m/>
    <x v="5"/>
    <x v="2"/>
    <s v="F"/>
    <x v="3"/>
    <x v="0"/>
    <x v="108"/>
    <s v=""/>
    <x v="4"/>
    <x v="2"/>
    <x v="4"/>
    <x v="3"/>
    <x v="0"/>
    <d v="1899-12-30T00:00:00"/>
    <d v="1899-12-30T00:00:00"/>
  </r>
  <r>
    <n v="1135"/>
    <x v="0"/>
    <x v="78"/>
    <x v="907"/>
    <m/>
    <x v="4"/>
    <m/>
    <m/>
    <x v="1"/>
    <d v="2007-04-30T00:00:00"/>
    <x v="7"/>
    <d v="2007-07-23T00:00:00"/>
    <d v="2007-12-21T00:00:00"/>
    <x v="3"/>
    <x v="3"/>
    <x v="4"/>
    <x v="20"/>
    <x v="0"/>
    <m/>
    <m/>
    <x v="271"/>
    <m/>
    <m/>
    <x v="0"/>
    <x v="0"/>
    <n v="340000"/>
    <m/>
    <x v="1"/>
    <n v="0"/>
    <x v="0"/>
    <x v="0"/>
    <m/>
    <m/>
    <x v="0"/>
    <m/>
    <x v="0"/>
    <m/>
    <x v="5"/>
    <x v="2"/>
    <s v="C"/>
    <x v="3"/>
    <x v="0"/>
    <x v="108"/>
    <s v=""/>
    <x v="4"/>
    <x v="2"/>
    <x v="4"/>
    <x v="3"/>
    <x v="0"/>
    <d v="1899-12-30T00:00:00"/>
    <d v="1899-12-30T00:00:00"/>
  </r>
  <r>
    <n v="1136"/>
    <x v="0"/>
    <x v="76"/>
    <x v="908"/>
    <m/>
    <x v="4"/>
    <m/>
    <m/>
    <x v="1"/>
    <d v="2007-04-30T00:00:00"/>
    <x v="7"/>
    <d v="2007-07-23T00:00:00"/>
    <d v="2007-12-21T00:00:00"/>
    <x v="3"/>
    <x v="3"/>
    <x v="4"/>
    <x v="20"/>
    <x v="0"/>
    <m/>
    <m/>
    <x v="272"/>
    <m/>
    <m/>
    <x v="0"/>
    <x v="0"/>
    <n v="233000"/>
    <m/>
    <x v="1"/>
    <n v="0"/>
    <x v="0"/>
    <x v="0"/>
    <m/>
    <m/>
    <x v="0"/>
    <m/>
    <x v="0"/>
    <m/>
    <x v="5"/>
    <x v="18"/>
    <s v="C"/>
    <x v="3"/>
    <x v="0"/>
    <x v="108"/>
    <s v=""/>
    <x v="4"/>
    <x v="2"/>
    <x v="4"/>
    <x v="3"/>
    <x v="0"/>
    <d v="1899-12-30T00:00:00"/>
    <d v="1899-12-30T00:00:00"/>
  </r>
  <r>
    <n v="1137"/>
    <x v="0"/>
    <x v="75"/>
    <x v="909"/>
    <m/>
    <x v="4"/>
    <m/>
    <m/>
    <x v="1"/>
    <d v="2007-04-30T00:00:00"/>
    <x v="7"/>
    <d v="2008-01-31T00:00:00"/>
    <d v="2008-12-23T00:00:00"/>
    <x v="7"/>
    <x v="2"/>
    <x v="3"/>
    <x v="19"/>
    <x v="0"/>
    <m/>
    <m/>
    <x v="95"/>
    <m/>
    <m/>
    <x v="0"/>
    <x v="0"/>
    <n v="25000"/>
    <m/>
    <x v="1"/>
    <n v="0"/>
    <x v="0"/>
    <x v="0"/>
    <m/>
    <m/>
    <x v="0"/>
    <m/>
    <x v="0"/>
    <m/>
    <x v="5"/>
    <x v="8"/>
    <s v="S"/>
    <x v="3"/>
    <x v="0"/>
    <x v="108"/>
    <s v=""/>
    <x v="4"/>
    <x v="2"/>
    <x v="4"/>
    <x v="3"/>
    <x v="0"/>
    <d v="1899-12-30T00:00:00"/>
    <d v="1899-12-30T00:00:00"/>
  </r>
  <r>
    <n v="1138"/>
    <x v="0"/>
    <x v="75"/>
    <x v="910"/>
    <m/>
    <x v="4"/>
    <m/>
    <m/>
    <x v="1"/>
    <d v="2007-04-30T00:00:00"/>
    <x v="7"/>
    <d v="2008-01-31T00:00:00"/>
    <d v="2008-12-23T00:00:00"/>
    <x v="7"/>
    <x v="2"/>
    <x v="3"/>
    <x v="19"/>
    <x v="0"/>
    <m/>
    <m/>
    <x v="78"/>
    <m/>
    <m/>
    <x v="0"/>
    <x v="0"/>
    <n v="12500"/>
    <m/>
    <x v="1"/>
    <n v="0"/>
    <x v="0"/>
    <x v="0"/>
    <m/>
    <m/>
    <x v="0"/>
    <m/>
    <x v="0"/>
    <m/>
    <x v="5"/>
    <x v="8"/>
    <s v="S"/>
    <x v="3"/>
    <x v="0"/>
    <x v="108"/>
    <s v=""/>
    <x v="4"/>
    <x v="2"/>
    <x v="4"/>
    <x v="3"/>
    <x v="0"/>
    <d v="1899-12-30T00:00:00"/>
    <d v="1899-12-30T00:00:00"/>
  </r>
  <r>
    <n v="1139"/>
    <x v="0"/>
    <x v="60"/>
    <x v="911"/>
    <m/>
    <x v="4"/>
    <m/>
    <m/>
    <x v="1"/>
    <d v="2007-04-30T00:00:00"/>
    <x v="7"/>
    <d v="2007-05-21T00:00:00"/>
    <d v="2007-09-13T00:00:00"/>
    <x v="3"/>
    <x v="2"/>
    <x v="3"/>
    <x v="18"/>
    <x v="0"/>
    <m/>
    <m/>
    <x v="70"/>
    <m/>
    <m/>
    <x v="0"/>
    <x v="0"/>
    <n v="6000"/>
    <m/>
    <x v="1"/>
    <n v="0"/>
    <x v="0"/>
    <x v="0"/>
    <m/>
    <m/>
    <x v="0"/>
    <m/>
    <x v="0"/>
    <m/>
    <x v="5"/>
    <x v="2"/>
    <s v="C"/>
    <x v="3"/>
    <x v="0"/>
    <x v="108"/>
    <s v=""/>
    <x v="4"/>
    <x v="2"/>
    <x v="4"/>
    <x v="3"/>
    <x v="0"/>
    <d v="1899-12-30T00:00:00"/>
    <d v="1899-12-30T00:00:00"/>
  </r>
  <r>
    <n v="1140"/>
    <x v="0"/>
    <x v="59"/>
    <x v="912"/>
    <m/>
    <x v="4"/>
    <m/>
    <m/>
    <x v="1"/>
    <d v="2007-04-30T00:00:00"/>
    <x v="7"/>
    <d v="2007-05-21T00:00:00"/>
    <d v="2007-09-13T00:00:00"/>
    <x v="3"/>
    <x v="2"/>
    <x v="3"/>
    <x v="18"/>
    <x v="0"/>
    <m/>
    <m/>
    <x v="70"/>
    <m/>
    <m/>
    <x v="0"/>
    <x v="0"/>
    <n v="6000"/>
    <m/>
    <x v="1"/>
    <n v="0"/>
    <x v="0"/>
    <x v="0"/>
    <m/>
    <m/>
    <x v="0"/>
    <m/>
    <x v="0"/>
    <m/>
    <x v="5"/>
    <x v="0"/>
    <s v="A"/>
    <x v="3"/>
    <x v="0"/>
    <x v="108"/>
    <s v=""/>
    <x v="4"/>
    <x v="2"/>
    <x v="4"/>
    <x v="3"/>
    <x v="0"/>
    <d v="1899-12-30T00:00:00"/>
    <d v="1899-12-30T00:00:00"/>
  </r>
  <r>
    <n v="1141"/>
    <x v="0"/>
    <x v="67"/>
    <x v="913"/>
    <m/>
    <x v="4"/>
    <m/>
    <m/>
    <x v="1"/>
    <d v="2007-04-30T00:00:00"/>
    <x v="7"/>
    <d v="2007-05-21T00:00:00"/>
    <d v="2007-09-13T00:00:00"/>
    <x v="3"/>
    <x v="2"/>
    <x v="3"/>
    <x v="18"/>
    <x v="0"/>
    <m/>
    <m/>
    <x v="70"/>
    <m/>
    <m/>
    <x v="0"/>
    <x v="0"/>
    <n v="6000"/>
    <m/>
    <x v="1"/>
    <n v="0"/>
    <x v="0"/>
    <x v="0"/>
    <m/>
    <m/>
    <x v="0"/>
    <m/>
    <x v="0"/>
    <m/>
    <x v="5"/>
    <x v="2"/>
    <s v="C"/>
    <x v="3"/>
    <x v="0"/>
    <x v="108"/>
    <s v=""/>
    <x v="4"/>
    <x v="2"/>
    <x v="4"/>
    <x v="3"/>
    <x v="0"/>
    <d v="1899-12-30T00:00:00"/>
    <d v="1899-12-30T00:00:00"/>
  </r>
  <r>
    <n v="1142"/>
    <x v="0"/>
    <x v="63"/>
    <x v="914"/>
    <m/>
    <x v="4"/>
    <m/>
    <m/>
    <x v="1"/>
    <d v="2007-04-30T00:00:00"/>
    <x v="7"/>
    <d v="2007-05-21T00:00:00"/>
    <d v="2007-09-13T00:00:00"/>
    <x v="3"/>
    <x v="2"/>
    <x v="3"/>
    <x v="18"/>
    <x v="0"/>
    <m/>
    <m/>
    <x v="273"/>
    <m/>
    <m/>
    <x v="0"/>
    <x v="0"/>
    <n v="4452"/>
    <m/>
    <x v="1"/>
    <n v="0"/>
    <x v="0"/>
    <x v="0"/>
    <m/>
    <m/>
    <x v="0"/>
    <m/>
    <x v="0"/>
    <m/>
    <x v="5"/>
    <x v="2"/>
    <s v="E"/>
    <x v="3"/>
    <x v="0"/>
    <x v="108"/>
    <s v=""/>
    <x v="4"/>
    <x v="2"/>
    <x v="4"/>
    <x v="3"/>
    <x v="0"/>
    <d v="1899-12-30T00:00:00"/>
    <d v="1899-12-30T00:00:00"/>
  </r>
  <r>
    <n v="1143"/>
    <x v="0"/>
    <x v="54"/>
    <x v="915"/>
    <m/>
    <x v="4"/>
    <m/>
    <m/>
    <x v="1"/>
    <d v="2007-04-30T00:00:00"/>
    <x v="7"/>
    <d v="2007-05-21T00:00:00"/>
    <d v="2007-09-13T00:00:00"/>
    <x v="3"/>
    <x v="2"/>
    <x v="3"/>
    <x v="18"/>
    <x v="0"/>
    <m/>
    <m/>
    <x v="70"/>
    <m/>
    <m/>
    <x v="0"/>
    <x v="0"/>
    <n v="6000"/>
    <m/>
    <x v="1"/>
    <n v="0"/>
    <x v="0"/>
    <x v="0"/>
    <m/>
    <m/>
    <x v="0"/>
    <m/>
    <x v="0"/>
    <m/>
    <x v="5"/>
    <x v="2"/>
    <s v="R"/>
    <x v="3"/>
    <x v="0"/>
    <x v="108"/>
    <s v=""/>
    <x v="4"/>
    <x v="2"/>
    <x v="4"/>
    <x v="3"/>
    <x v="0"/>
    <d v="1899-12-30T00:00:00"/>
    <d v="1899-12-30T00:00:00"/>
  </r>
  <r>
    <n v="1144"/>
    <x v="0"/>
    <x v="74"/>
    <x v="916"/>
    <m/>
    <x v="4"/>
    <m/>
    <m/>
    <x v="1"/>
    <d v="2007-04-30T00:00:00"/>
    <x v="7"/>
    <d v="2007-05-21T00:00:00"/>
    <d v="2007-09-13T00:00:00"/>
    <x v="3"/>
    <x v="2"/>
    <x v="3"/>
    <x v="18"/>
    <x v="0"/>
    <m/>
    <m/>
    <x v="239"/>
    <m/>
    <m/>
    <x v="0"/>
    <x v="0"/>
    <n v="5500"/>
    <m/>
    <x v="1"/>
    <n v="0"/>
    <x v="0"/>
    <x v="0"/>
    <m/>
    <m/>
    <x v="0"/>
    <m/>
    <x v="0"/>
    <m/>
    <x v="5"/>
    <x v="12"/>
    <s v="S"/>
    <x v="3"/>
    <x v="0"/>
    <x v="108"/>
    <s v=""/>
    <x v="4"/>
    <x v="2"/>
    <x v="4"/>
    <x v="3"/>
    <x v="0"/>
    <d v="1899-12-30T00:00:00"/>
    <d v="1899-12-30T00:00:00"/>
  </r>
  <r>
    <n v="1145"/>
    <x v="0"/>
    <x v="56"/>
    <x v="917"/>
    <m/>
    <x v="4"/>
    <m/>
    <m/>
    <x v="1"/>
    <d v="2007-04-30T00:00:00"/>
    <x v="7"/>
    <d v="2007-05-21T00:00:00"/>
    <d v="2007-09-13T00:00:00"/>
    <x v="3"/>
    <x v="2"/>
    <x v="3"/>
    <x v="18"/>
    <x v="0"/>
    <m/>
    <m/>
    <x v="239"/>
    <m/>
    <m/>
    <x v="0"/>
    <x v="0"/>
    <n v="5500"/>
    <m/>
    <x v="1"/>
    <n v="0"/>
    <x v="0"/>
    <x v="0"/>
    <m/>
    <m/>
    <x v="0"/>
    <m/>
    <x v="0"/>
    <m/>
    <x v="5"/>
    <x v="2"/>
    <s v="C"/>
    <x v="3"/>
    <x v="0"/>
    <x v="108"/>
    <s v=""/>
    <x v="4"/>
    <x v="2"/>
    <x v="4"/>
    <x v="3"/>
    <x v="0"/>
    <d v="1899-12-30T00:00:00"/>
    <d v="1899-12-30T00:00:00"/>
  </r>
  <r>
    <n v="1146"/>
    <x v="0"/>
    <x v="73"/>
    <x v="918"/>
    <m/>
    <x v="4"/>
    <m/>
    <m/>
    <x v="1"/>
    <d v="2007-04-30T00:00:00"/>
    <x v="7"/>
    <d v="2007-05-21T00:00:00"/>
    <d v="2007-09-13T00:00:00"/>
    <x v="3"/>
    <x v="2"/>
    <x v="3"/>
    <x v="18"/>
    <x v="0"/>
    <m/>
    <m/>
    <x v="239"/>
    <m/>
    <m/>
    <x v="0"/>
    <x v="0"/>
    <n v="5500"/>
    <m/>
    <x v="1"/>
    <n v="0"/>
    <x v="0"/>
    <x v="0"/>
    <m/>
    <m/>
    <x v="0"/>
    <m/>
    <x v="0"/>
    <m/>
    <x v="5"/>
    <x v="0"/>
    <s v="S"/>
    <x v="3"/>
    <x v="0"/>
    <x v="108"/>
    <s v=""/>
    <x v="4"/>
    <x v="2"/>
    <x v="4"/>
    <x v="3"/>
    <x v="0"/>
    <d v="1899-12-30T00:00:00"/>
    <d v="1899-12-30T00:00:00"/>
  </r>
  <r>
    <n v="1147"/>
    <x v="0"/>
    <x v="55"/>
    <x v="919"/>
    <m/>
    <x v="4"/>
    <m/>
    <m/>
    <x v="1"/>
    <d v="2007-04-30T00:00:00"/>
    <x v="7"/>
    <d v="2007-05-21T00:00:00"/>
    <d v="2007-09-13T00:00:00"/>
    <x v="3"/>
    <x v="2"/>
    <x v="3"/>
    <x v="18"/>
    <x v="0"/>
    <m/>
    <m/>
    <x v="239"/>
    <m/>
    <m/>
    <x v="0"/>
    <x v="0"/>
    <n v="5500"/>
    <m/>
    <x v="1"/>
    <n v="0"/>
    <x v="0"/>
    <x v="0"/>
    <m/>
    <m/>
    <x v="0"/>
    <m/>
    <x v="0"/>
    <m/>
    <x v="5"/>
    <x v="2"/>
    <s v="C"/>
    <x v="3"/>
    <x v="0"/>
    <x v="108"/>
    <s v=""/>
    <x v="4"/>
    <x v="2"/>
    <x v="4"/>
    <x v="3"/>
    <x v="0"/>
    <d v="1899-12-30T00:00:00"/>
    <d v="1899-12-30T00:00:00"/>
  </r>
  <r>
    <n v="1148"/>
    <x v="0"/>
    <x v="206"/>
    <x v="920"/>
    <m/>
    <x v="4"/>
    <m/>
    <m/>
    <x v="1"/>
    <d v="2007-04-30T00:00:00"/>
    <x v="7"/>
    <d v="2007-05-21T00:00:00"/>
    <d v="2007-09-13T00:00:00"/>
    <x v="3"/>
    <x v="2"/>
    <x v="3"/>
    <x v="18"/>
    <x v="0"/>
    <m/>
    <m/>
    <x v="239"/>
    <m/>
    <m/>
    <x v="0"/>
    <x v="0"/>
    <n v="5500"/>
    <m/>
    <x v="1"/>
    <n v="0"/>
    <x v="0"/>
    <x v="0"/>
    <m/>
    <m/>
    <x v="0"/>
    <m/>
    <x v="0"/>
    <m/>
    <x v="5"/>
    <x v="16"/>
    <s v="R"/>
    <x v="3"/>
    <x v="0"/>
    <x v="108"/>
    <s v=""/>
    <x v="4"/>
    <x v="2"/>
    <x v="4"/>
    <x v="3"/>
    <x v="0"/>
    <d v="1899-12-30T00:00:00"/>
    <d v="1899-12-30T00:00:00"/>
  </r>
  <r>
    <n v="1149"/>
    <x v="0"/>
    <x v="207"/>
    <x v="921"/>
    <m/>
    <x v="4"/>
    <m/>
    <m/>
    <x v="1"/>
    <d v="2007-04-30T00:00:00"/>
    <x v="7"/>
    <d v="2007-05-21T00:00:00"/>
    <d v="2007-09-13T00:00:00"/>
    <x v="3"/>
    <x v="2"/>
    <x v="3"/>
    <x v="18"/>
    <x v="0"/>
    <m/>
    <m/>
    <x v="274"/>
    <m/>
    <m/>
    <x v="0"/>
    <x v="0"/>
    <n v="4895"/>
    <m/>
    <x v="1"/>
    <n v="0"/>
    <x v="0"/>
    <x v="0"/>
    <m/>
    <m/>
    <x v="0"/>
    <m/>
    <x v="0"/>
    <m/>
    <x v="5"/>
    <x v="20"/>
    <s v="C"/>
    <x v="3"/>
    <x v="0"/>
    <x v="108"/>
    <s v=""/>
    <x v="4"/>
    <x v="2"/>
    <x v="4"/>
    <x v="3"/>
    <x v="0"/>
    <d v="1899-12-30T00:00:00"/>
    <d v="1899-12-30T00:00:00"/>
  </r>
  <r>
    <n v="1150"/>
    <x v="0"/>
    <x v="71"/>
    <x v="922"/>
    <m/>
    <x v="4"/>
    <m/>
    <m/>
    <x v="1"/>
    <d v="2007-04-30T00:00:00"/>
    <x v="7"/>
    <d v="2007-05-21T00:00:00"/>
    <d v="2007-09-13T00:00:00"/>
    <x v="3"/>
    <x v="2"/>
    <x v="3"/>
    <x v="18"/>
    <x v="0"/>
    <m/>
    <m/>
    <x v="274"/>
    <m/>
    <m/>
    <x v="0"/>
    <x v="0"/>
    <n v="4895"/>
    <m/>
    <x v="1"/>
    <n v="0"/>
    <x v="0"/>
    <x v="0"/>
    <m/>
    <m/>
    <x v="0"/>
    <m/>
    <x v="0"/>
    <m/>
    <x v="5"/>
    <x v="10"/>
    <s v="R"/>
    <x v="3"/>
    <x v="0"/>
    <x v="108"/>
    <s v=""/>
    <x v="4"/>
    <x v="2"/>
    <x v="4"/>
    <x v="3"/>
    <x v="0"/>
    <d v="1899-12-30T00:00:00"/>
    <d v="1899-12-30T00:00:00"/>
  </r>
  <r>
    <n v="1151"/>
    <x v="0"/>
    <x v="68"/>
    <x v="923"/>
    <m/>
    <x v="4"/>
    <m/>
    <m/>
    <x v="1"/>
    <d v="2007-04-30T00:00:00"/>
    <x v="7"/>
    <d v="2007-05-21T00:00:00"/>
    <d v="2007-09-13T00:00:00"/>
    <x v="3"/>
    <x v="2"/>
    <x v="3"/>
    <x v="18"/>
    <x v="0"/>
    <m/>
    <m/>
    <x v="275"/>
    <m/>
    <m/>
    <x v="0"/>
    <x v="0"/>
    <n v="4894"/>
    <m/>
    <x v="1"/>
    <n v="0"/>
    <x v="0"/>
    <x v="0"/>
    <m/>
    <m/>
    <x v="0"/>
    <m/>
    <x v="0"/>
    <m/>
    <x v="5"/>
    <x v="2"/>
    <s v="C"/>
    <x v="3"/>
    <x v="0"/>
    <x v="108"/>
    <s v=""/>
    <x v="4"/>
    <x v="2"/>
    <x v="4"/>
    <x v="3"/>
    <x v="0"/>
    <d v="1899-12-30T00:00:00"/>
    <d v="1899-12-30T00:00:00"/>
  </r>
  <r>
    <n v="1152"/>
    <x v="0"/>
    <x v="208"/>
    <x v="924"/>
    <m/>
    <x v="4"/>
    <m/>
    <m/>
    <x v="1"/>
    <d v="2007-04-30T00:00:00"/>
    <x v="7"/>
    <d v="2007-05-21T00:00:00"/>
    <d v="2007-09-13T00:00:00"/>
    <x v="3"/>
    <x v="2"/>
    <x v="3"/>
    <x v="18"/>
    <x v="0"/>
    <m/>
    <m/>
    <x v="275"/>
    <m/>
    <m/>
    <x v="0"/>
    <x v="0"/>
    <n v="4894"/>
    <m/>
    <x v="1"/>
    <n v="0"/>
    <x v="0"/>
    <x v="0"/>
    <m/>
    <m/>
    <x v="0"/>
    <m/>
    <x v="0"/>
    <m/>
    <x v="5"/>
    <x v="0"/>
    <s v="S"/>
    <x v="3"/>
    <x v="0"/>
    <x v="108"/>
    <s v=""/>
    <x v="4"/>
    <x v="2"/>
    <x v="4"/>
    <x v="3"/>
    <x v="0"/>
    <d v="1899-12-30T00:00:00"/>
    <d v="1899-12-30T00:00:00"/>
  </r>
  <r>
    <n v="1153"/>
    <x v="0"/>
    <x v="61"/>
    <x v="925"/>
    <m/>
    <x v="4"/>
    <m/>
    <m/>
    <x v="1"/>
    <d v="2007-04-30T00:00:00"/>
    <x v="7"/>
    <d v="2007-05-21T00:00:00"/>
    <d v="2007-09-13T00:00:00"/>
    <x v="3"/>
    <x v="2"/>
    <x v="3"/>
    <x v="18"/>
    <x v="0"/>
    <m/>
    <m/>
    <x v="275"/>
    <m/>
    <m/>
    <x v="0"/>
    <x v="0"/>
    <n v="4894"/>
    <m/>
    <x v="1"/>
    <n v="0"/>
    <x v="0"/>
    <x v="0"/>
    <m/>
    <m/>
    <x v="0"/>
    <m/>
    <x v="0"/>
    <m/>
    <x v="5"/>
    <x v="2"/>
    <s v="C"/>
    <x v="3"/>
    <x v="0"/>
    <x v="108"/>
    <s v=""/>
    <x v="4"/>
    <x v="2"/>
    <x v="4"/>
    <x v="3"/>
    <x v="0"/>
    <d v="1899-12-30T00:00:00"/>
    <d v="1899-12-30T00:00:00"/>
  </r>
  <r>
    <n v="1154"/>
    <x v="0"/>
    <x v="62"/>
    <x v="926"/>
    <m/>
    <x v="4"/>
    <m/>
    <m/>
    <x v="1"/>
    <d v="2007-04-30T00:00:00"/>
    <x v="7"/>
    <d v="2007-05-21T00:00:00"/>
    <d v="2007-09-13T00:00:00"/>
    <x v="3"/>
    <x v="2"/>
    <x v="3"/>
    <x v="18"/>
    <x v="0"/>
    <m/>
    <m/>
    <x v="276"/>
    <m/>
    <m/>
    <x v="0"/>
    <x v="0"/>
    <n v="4984"/>
    <m/>
    <x v="1"/>
    <n v="0"/>
    <x v="0"/>
    <x v="0"/>
    <m/>
    <m/>
    <x v="0"/>
    <m/>
    <x v="0"/>
    <m/>
    <x v="5"/>
    <x v="2"/>
    <s v="C"/>
    <x v="3"/>
    <x v="0"/>
    <x v="108"/>
    <s v=""/>
    <x v="4"/>
    <x v="2"/>
    <x v="4"/>
    <x v="3"/>
    <x v="0"/>
    <d v="1899-12-30T00:00:00"/>
    <d v="1899-12-30T00:00:00"/>
  </r>
  <r>
    <n v="1155"/>
    <x v="0"/>
    <x v="66"/>
    <x v="927"/>
    <m/>
    <x v="4"/>
    <m/>
    <m/>
    <x v="1"/>
    <d v="2007-04-30T00:00:00"/>
    <x v="7"/>
    <d v="2007-05-21T00:00:00"/>
    <d v="2007-09-13T00:00:00"/>
    <x v="3"/>
    <x v="2"/>
    <x v="3"/>
    <x v="18"/>
    <x v="0"/>
    <m/>
    <m/>
    <x v="276"/>
    <m/>
    <m/>
    <x v="0"/>
    <x v="0"/>
    <n v="4984"/>
    <m/>
    <x v="1"/>
    <n v="0"/>
    <x v="0"/>
    <x v="0"/>
    <m/>
    <m/>
    <x v="0"/>
    <m/>
    <x v="0"/>
    <m/>
    <x v="5"/>
    <x v="2"/>
    <s v="C"/>
    <x v="3"/>
    <x v="0"/>
    <x v="108"/>
    <s v=""/>
    <x v="4"/>
    <x v="2"/>
    <x v="4"/>
    <x v="3"/>
    <x v="0"/>
    <d v="1899-12-30T00:00:00"/>
    <d v="1899-12-30T00:00:00"/>
  </r>
  <r>
    <n v="1156"/>
    <x v="0"/>
    <x v="65"/>
    <x v="928"/>
    <m/>
    <x v="4"/>
    <m/>
    <m/>
    <x v="1"/>
    <d v="2007-04-30T00:00:00"/>
    <x v="7"/>
    <d v="2007-05-21T00:00:00"/>
    <d v="2007-09-13T00:00:00"/>
    <x v="3"/>
    <x v="2"/>
    <x v="3"/>
    <x v="18"/>
    <x v="0"/>
    <m/>
    <m/>
    <x v="276"/>
    <m/>
    <m/>
    <x v="0"/>
    <x v="0"/>
    <n v="4984"/>
    <m/>
    <x v="1"/>
    <n v="0"/>
    <x v="0"/>
    <x v="0"/>
    <m/>
    <m/>
    <x v="0"/>
    <m/>
    <x v="0"/>
    <m/>
    <x v="5"/>
    <x v="2"/>
    <s v="E"/>
    <x v="3"/>
    <x v="0"/>
    <x v="108"/>
    <s v=""/>
    <x v="4"/>
    <x v="2"/>
    <x v="4"/>
    <x v="3"/>
    <x v="0"/>
    <d v="1899-12-30T00:00:00"/>
    <d v="1899-12-30T00:00:00"/>
  </r>
  <r>
    <n v="1157"/>
    <x v="0"/>
    <x v="209"/>
    <x v="929"/>
    <m/>
    <x v="4"/>
    <m/>
    <m/>
    <x v="1"/>
    <d v="2007-04-30T00:00:00"/>
    <x v="7"/>
    <d v="2007-05-21T00:00:00"/>
    <d v="2007-09-13T00:00:00"/>
    <x v="3"/>
    <x v="2"/>
    <x v="3"/>
    <x v="18"/>
    <x v="0"/>
    <m/>
    <m/>
    <x v="276"/>
    <m/>
    <m/>
    <x v="0"/>
    <x v="0"/>
    <n v="4984"/>
    <m/>
    <x v="1"/>
    <n v="0"/>
    <x v="0"/>
    <x v="0"/>
    <m/>
    <m/>
    <x v="0"/>
    <m/>
    <x v="0"/>
    <m/>
    <x v="5"/>
    <x v="2"/>
    <s v="C"/>
    <x v="3"/>
    <x v="0"/>
    <x v="108"/>
    <s v=""/>
    <x v="4"/>
    <x v="2"/>
    <x v="4"/>
    <x v="3"/>
    <x v="0"/>
    <d v="1899-12-30T00:00:00"/>
    <d v="1899-12-30T00:00:00"/>
  </r>
  <r>
    <n v="1158"/>
    <x v="0"/>
    <x v="72"/>
    <x v="208"/>
    <m/>
    <x v="4"/>
    <m/>
    <m/>
    <x v="1"/>
    <d v="2007-04-30T00:00:00"/>
    <x v="7"/>
    <d v="2007-05-14T00:00:00"/>
    <d v="2007-09-13T00:00:00"/>
    <x v="3"/>
    <x v="4"/>
    <x v="5"/>
    <x v="22"/>
    <x v="0"/>
    <m/>
    <m/>
    <x v="3"/>
    <m/>
    <m/>
    <x v="0"/>
    <x v="0"/>
    <n v="20000"/>
    <m/>
    <x v="1"/>
    <n v="0"/>
    <x v="0"/>
    <x v="0"/>
    <m/>
    <m/>
    <x v="0"/>
    <m/>
    <x v="0"/>
    <m/>
    <x v="5"/>
    <x v="9"/>
    <s v="O"/>
    <x v="3"/>
    <x v="0"/>
    <x v="108"/>
    <s v=""/>
    <x v="4"/>
    <x v="2"/>
    <x v="4"/>
    <x v="3"/>
    <x v="0"/>
    <d v="1899-12-30T00:00:00"/>
    <d v="1899-12-30T00:00:00"/>
  </r>
  <r>
    <n v="1159"/>
    <x v="0"/>
    <x v="78"/>
    <x v="930"/>
    <m/>
    <x v="4"/>
    <m/>
    <m/>
    <x v="1"/>
    <d v="2007-04-30T00:00:00"/>
    <x v="7"/>
    <d v="2007-05-14T00:00:00"/>
    <d v="2007-09-13T00:00:00"/>
    <x v="3"/>
    <x v="4"/>
    <x v="5"/>
    <x v="22"/>
    <x v="0"/>
    <m/>
    <m/>
    <x v="3"/>
    <m/>
    <m/>
    <x v="0"/>
    <x v="0"/>
    <n v="20000"/>
    <m/>
    <x v="1"/>
    <n v="0"/>
    <x v="0"/>
    <x v="0"/>
    <m/>
    <m/>
    <x v="0"/>
    <m/>
    <x v="0"/>
    <m/>
    <x v="5"/>
    <x v="2"/>
    <s v="A"/>
    <x v="3"/>
    <x v="0"/>
    <x v="108"/>
    <s v=""/>
    <x v="4"/>
    <x v="2"/>
    <x v="4"/>
    <x v="3"/>
    <x v="0"/>
    <d v="1899-12-30T00:00:00"/>
    <d v="1899-12-30T00:00:00"/>
  </r>
  <r>
    <n v="1160"/>
    <x v="0"/>
    <x v="72"/>
    <x v="203"/>
    <m/>
    <x v="4"/>
    <m/>
    <m/>
    <x v="1"/>
    <d v="2007-04-30T00:00:00"/>
    <x v="7"/>
    <d v="2007-05-14T00:00:00"/>
    <d v="2007-09-13T00:00:00"/>
    <x v="3"/>
    <x v="4"/>
    <x v="5"/>
    <x v="22"/>
    <x v="0"/>
    <m/>
    <m/>
    <x v="277"/>
    <m/>
    <m/>
    <x v="0"/>
    <x v="0"/>
    <n v="6900"/>
    <m/>
    <x v="1"/>
    <n v="0"/>
    <x v="0"/>
    <x v="0"/>
    <m/>
    <m/>
    <x v="0"/>
    <m/>
    <x v="0"/>
    <m/>
    <x v="5"/>
    <x v="9"/>
    <s v="C"/>
    <x v="3"/>
    <x v="0"/>
    <x v="108"/>
    <s v=""/>
    <x v="4"/>
    <x v="2"/>
    <x v="4"/>
    <x v="3"/>
    <x v="0"/>
    <d v="1899-12-30T00:00:00"/>
    <d v="1899-12-30T00:00:00"/>
  </r>
  <r>
    <n v="1161"/>
    <x v="0"/>
    <x v="60"/>
    <x v="931"/>
    <m/>
    <x v="4"/>
    <m/>
    <m/>
    <x v="1"/>
    <d v="2007-04-30T00:00:00"/>
    <x v="7"/>
    <d v="2007-05-14T00:00:00"/>
    <d v="2007-09-13T00:00:00"/>
    <x v="3"/>
    <x v="4"/>
    <x v="5"/>
    <x v="22"/>
    <x v="0"/>
    <m/>
    <m/>
    <x v="278"/>
    <m/>
    <m/>
    <x v="0"/>
    <x v="0"/>
    <n v="15850"/>
    <m/>
    <x v="1"/>
    <n v="0"/>
    <x v="0"/>
    <x v="0"/>
    <m/>
    <m/>
    <x v="0"/>
    <m/>
    <x v="0"/>
    <m/>
    <x v="5"/>
    <x v="2"/>
    <s v="P"/>
    <x v="3"/>
    <x v="0"/>
    <x v="108"/>
    <s v=""/>
    <x v="4"/>
    <x v="2"/>
    <x v="4"/>
    <x v="3"/>
    <x v="0"/>
    <d v="1899-12-30T00:00:00"/>
    <d v="1899-12-30T00:00:00"/>
  </r>
  <r>
    <n v="1162"/>
    <x v="0"/>
    <x v="73"/>
    <x v="205"/>
    <m/>
    <x v="4"/>
    <m/>
    <m/>
    <x v="1"/>
    <d v="2007-04-30T00:00:00"/>
    <x v="7"/>
    <d v="2007-05-14T00:00:00"/>
    <d v="2007-09-13T00:00:00"/>
    <x v="3"/>
    <x v="4"/>
    <x v="5"/>
    <x v="22"/>
    <x v="0"/>
    <m/>
    <m/>
    <x v="279"/>
    <m/>
    <m/>
    <x v="0"/>
    <x v="0"/>
    <n v="13689"/>
    <m/>
    <x v="1"/>
    <n v="0"/>
    <x v="0"/>
    <x v="0"/>
    <m/>
    <m/>
    <x v="0"/>
    <m/>
    <x v="0"/>
    <m/>
    <x v="5"/>
    <x v="0"/>
    <s v="E"/>
    <x v="3"/>
    <x v="0"/>
    <x v="108"/>
    <s v=""/>
    <x v="4"/>
    <x v="2"/>
    <x v="4"/>
    <x v="3"/>
    <x v="0"/>
    <d v="1899-12-30T00:00:00"/>
    <d v="1899-12-30T00:00:00"/>
  </r>
  <r>
    <n v="1163"/>
    <x v="0"/>
    <x v="210"/>
    <x v="932"/>
    <m/>
    <x v="4"/>
    <m/>
    <m/>
    <x v="1"/>
    <d v="2007-04-30T00:00:00"/>
    <x v="7"/>
    <d v="2007-05-14T00:00:00"/>
    <d v="2007-09-13T00:00:00"/>
    <x v="3"/>
    <x v="4"/>
    <x v="5"/>
    <x v="22"/>
    <x v="0"/>
    <m/>
    <m/>
    <x v="280"/>
    <m/>
    <m/>
    <x v="0"/>
    <x v="0"/>
    <n v="12732"/>
    <m/>
    <x v="1"/>
    <n v="0"/>
    <x v="0"/>
    <x v="0"/>
    <m/>
    <m/>
    <x v="0"/>
    <m/>
    <x v="0"/>
    <m/>
    <x v="5"/>
    <x v="0"/>
    <s v="O"/>
    <x v="3"/>
    <x v="0"/>
    <x v="108"/>
    <s v=""/>
    <x v="4"/>
    <x v="2"/>
    <x v="4"/>
    <x v="3"/>
    <x v="0"/>
    <d v="1899-12-30T00:00:00"/>
    <d v="1899-12-30T00:00:00"/>
  </r>
  <r>
    <n v="1164"/>
    <x v="0"/>
    <x v="211"/>
    <x v="933"/>
    <m/>
    <x v="4"/>
    <m/>
    <m/>
    <x v="1"/>
    <d v="2007-04-30T00:00:00"/>
    <x v="7"/>
    <d v="2007-05-14T00:00:00"/>
    <d v="2007-09-13T00:00:00"/>
    <x v="3"/>
    <x v="4"/>
    <x v="5"/>
    <x v="22"/>
    <x v="0"/>
    <m/>
    <m/>
    <x v="281"/>
    <m/>
    <m/>
    <x v="0"/>
    <x v="0"/>
    <n v="10829"/>
    <m/>
    <x v="1"/>
    <n v="0"/>
    <x v="0"/>
    <x v="0"/>
    <m/>
    <m/>
    <x v="0"/>
    <m/>
    <x v="0"/>
    <m/>
    <x v="5"/>
    <x v="3"/>
    <s v="P"/>
    <x v="3"/>
    <x v="0"/>
    <x v="108"/>
    <s v=""/>
    <x v="4"/>
    <x v="2"/>
    <x v="4"/>
    <x v="3"/>
    <x v="0"/>
    <d v="1899-12-30T00:00:00"/>
    <d v="1899-12-30T00:00:00"/>
  </r>
  <r>
    <n v="1165"/>
    <x v="0"/>
    <x v="18"/>
    <x v="934"/>
    <m/>
    <x v="4"/>
    <m/>
    <m/>
    <x v="1"/>
    <d v="2007-04-30T00:00:00"/>
    <x v="7"/>
    <d v="2007-12-31T00:00:00"/>
    <d v="2008-04-29T00:00:00"/>
    <x v="7"/>
    <x v="1"/>
    <x v="2"/>
    <x v="17"/>
    <x v="0"/>
    <m/>
    <m/>
    <x v="100"/>
    <m/>
    <m/>
    <x v="0"/>
    <x v="0"/>
    <n v="37500"/>
    <m/>
    <x v="1"/>
    <n v="0"/>
    <x v="0"/>
    <x v="0"/>
    <m/>
    <m/>
    <x v="0"/>
    <m/>
    <x v="0"/>
    <m/>
    <x v="5"/>
    <x v="8"/>
    <s v="A"/>
    <x v="3"/>
    <x v="0"/>
    <x v="108"/>
    <s v=""/>
    <x v="4"/>
    <x v="2"/>
    <x v="4"/>
    <x v="3"/>
    <x v="0"/>
    <d v="1899-12-30T00:00:00"/>
    <d v="1899-12-30T00:00:00"/>
  </r>
  <r>
    <n v="1166"/>
    <x v="0"/>
    <x v="75"/>
    <x v="909"/>
    <m/>
    <x v="4"/>
    <m/>
    <m/>
    <x v="1"/>
    <d v="2008-01-02T00:00:00"/>
    <x v="2"/>
    <d v="2009-01-31T00:00:00"/>
    <d v="2009-04-28T00:00:00"/>
    <x v="0"/>
    <x v="2"/>
    <x v="3"/>
    <x v="19"/>
    <x v="0"/>
    <m/>
    <m/>
    <x v="95"/>
    <m/>
    <m/>
    <x v="0"/>
    <x v="0"/>
    <n v="25000"/>
    <m/>
    <x v="1"/>
    <n v="0"/>
    <x v="0"/>
    <x v="0"/>
    <m/>
    <m/>
    <x v="0"/>
    <m/>
    <x v="0"/>
    <m/>
    <x v="5"/>
    <x v="8"/>
    <s v="S"/>
    <x v="3"/>
    <x v="0"/>
    <x v="108"/>
    <s v=""/>
    <x v="4"/>
    <x v="2"/>
    <x v="4"/>
    <x v="3"/>
    <x v="0"/>
    <d v="1899-12-30T00:00:00"/>
    <d v="1899-12-30T00:00:00"/>
  </r>
  <r>
    <n v="1167"/>
    <x v="0"/>
    <x v="75"/>
    <x v="910"/>
    <m/>
    <x v="4"/>
    <m/>
    <m/>
    <x v="1"/>
    <d v="2008-01-02T00:00:00"/>
    <x v="2"/>
    <d v="2009-01-31T00:00:00"/>
    <d v="2009-04-28T00:00:00"/>
    <x v="0"/>
    <x v="2"/>
    <x v="3"/>
    <x v="19"/>
    <x v="0"/>
    <m/>
    <m/>
    <x v="95"/>
    <m/>
    <m/>
    <x v="0"/>
    <x v="0"/>
    <n v="25000"/>
    <m/>
    <x v="1"/>
    <n v="0"/>
    <x v="0"/>
    <x v="0"/>
    <m/>
    <m/>
    <x v="0"/>
    <m/>
    <x v="0"/>
    <m/>
    <x v="5"/>
    <x v="8"/>
    <s v="S"/>
    <x v="3"/>
    <x v="0"/>
    <x v="108"/>
    <s v=""/>
    <x v="4"/>
    <x v="2"/>
    <x v="4"/>
    <x v="3"/>
    <x v="0"/>
    <d v="1899-12-30T00:00:00"/>
    <d v="1899-12-30T00:00:00"/>
  </r>
  <r>
    <n v="1168"/>
    <x v="0"/>
    <x v="75"/>
    <x v="935"/>
    <m/>
    <x v="4"/>
    <m/>
    <m/>
    <x v="1"/>
    <d v="2008-01-02T00:00:00"/>
    <x v="2"/>
    <d v="2009-01-31T00:00:00"/>
    <d v="2009-04-28T00:00:00"/>
    <x v="0"/>
    <x v="2"/>
    <x v="3"/>
    <x v="19"/>
    <x v="0"/>
    <m/>
    <m/>
    <x v="95"/>
    <m/>
    <m/>
    <x v="0"/>
    <x v="0"/>
    <n v="25000"/>
    <m/>
    <x v="1"/>
    <n v="0"/>
    <x v="0"/>
    <x v="0"/>
    <m/>
    <m/>
    <x v="0"/>
    <m/>
    <x v="0"/>
    <m/>
    <x v="5"/>
    <x v="8"/>
    <s v="S"/>
    <x v="3"/>
    <x v="0"/>
    <x v="108"/>
    <s v=""/>
    <x v="4"/>
    <x v="2"/>
    <x v="4"/>
    <x v="3"/>
    <x v="0"/>
    <d v="1899-12-30T00:00:00"/>
    <d v="1899-12-30T00:00:00"/>
  </r>
  <r>
    <n v="1169"/>
    <x v="0"/>
    <x v="75"/>
    <x v="936"/>
    <m/>
    <x v="4"/>
    <m/>
    <m/>
    <x v="1"/>
    <d v="2008-01-02T00:00:00"/>
    <x v="2"/>
    <d v="2009-01-31T00:00:00"/>
    <d v="2009-04-28T00:00:00"/>
    <x v="0"/>
    <x v="2"/>
    <x v="3"/>
    <x v="19"/>
    <x v="0"/>
    <m/>
    <m/>
    <x v="95"/>
    <m/>
    <m/>
    <x v="0"/>
    <x v="0"/>
    <n v="25000"/>
    <m/>
    <x v="1"/>
    <n v="0"/>
    <x v="0"/>
    <x v="0"/>
    <m/>
    <m/>
    <x v="0"/>
    <m/>
    <x v="0"/>
    <m/>
    <x v="5"/>
    <x v="8"/>
    <s v="S"/>
    <x v="3"/>
    <x v="0"/>
    <x v="108"/>
    <s v=""/>
    <x v="4"/>
    <x v="2"/>
    <x v="4"/>
    <x v="3"/>
    <x v="0"/>
    <d v="1899-12-30T00:00:00"/>
    <d v="1899-12-30T00:00:00"/>
  </r>
  <r>
    <n v="1170"/>
    <x v="0"/>
    <x v="75"/>
    <x v="937"/>
    <m/>
    <x v="4"/>
    <m/>
    <m/>
    <x v="1"/>
    <d v="2008-01-02T00:00:00"/>
    <x v="2"/>
    <d v="2009-01-31T00:00:00"/>
    <d v="2009-04-28T00:00:00"/>
    <x v="0"/>
    <x v="2"/>
    <x v="3"/>
    <x v="19"/>
    <x v="0"/>
    <m/>
    <m/>
    <x v="95"/>
    <m/>
    <m/>
    <x v="0"/>
    <x v="0"/>
    <n v="25000"/>
    <m/>
    <x v="1"/>
    <n v="0"/>
    <x v="0"/>
    <x v="0"/>
    <m/>
    <m/>
    <x v="0"/>
    <m/>
    <x v="0"/>
    <m/>
    <x v="5"/>
    <x v="8"/>
    <s v="S"/>
    <x v="3"/>
    <x v="0"/>
    <x v="108"/>
    <s v=""/>
    <x v="4"/>
    <x v="2"/>
    <x v="4"/>
    <x v="3"/>
    <x v="0"/>
    <d v="1899-12-30T00:00:00"/>
    <d v="1899-12-30T00:00:00"/>
  </r>
  <r>
    <n v="1171"/>
    <x v="0"/>
    <x v="75"/>
    <x v="938"/>
    <m/>
    <x v="4"/>
    <m/>
    <m/>
    <x v="1"/>
    <d v="2008-01-02T00:00:00"/>
    <x v="2"/>
    <d v="2009-01-31T00:00:00"/>
    <d v="2009-04-28T00:00:00"/>
    <x v="0"/>
    <x v="2"/>
    <x v="3"/>
    <x v="19"/>
    <x v="0"/>
    <m/>
    <m/>
    <x v="95"/>
    <m/>
    <m/>
    <x v="0"/>
    <x v="0"/>
    <n v="25000"/>
    <m/>
    <x v="1"/>
    <n v="0"/>
    <x v="0"/>
    <x v="0"/>
    <m/>
    <m/>
    <x v="0"/>
    <m/>
    <x v="0"/>
    <m/>
    <x v="5"/>
    <x v="8"/>
    <s v="S"/>
    <x v="3"/>
    <x v="0"/>
    <x v="108"/>
    <s v=""/>
    <x v="4"/>
    <x v="2"/>
    <x v="4"/>
    <x v="3"/>
    <x v="0"/>
    <d v="1899-12-30T00:00:00"/>
    <d v="1899-12-30T00:00:00"/>
  </r>
  <r>
    <n v="1172"/>
    <x v="0"/>
    <x v="60"/>
    <x v="939"/>
    <m/>
    <x v="4"/>
    <m/>
    <m/>
    <x v="1"/>
    <d v="2008-01-02T00:00:00"/>
    <x v="2"/>
    <d v="2008-02-13T00:00:00"/>
    <d v="2008-10-01T00:00:00"/>
    <x v="7"/>
    <x v="2"/>
    <x v="3"/>
    <x v="18"/>
    <x v="0"/>
    <m/>
    <m/>
    <x v="282"/>
    <m/>
    <m/>
    <x v="0"/>
    <x v="0"/>
    <n v="6250"/>
    <m/>
    <x v="1"/>
    <n v="0"/>
    <x v="0"/>
    <x v="0"/>
    <m/>
    <m/>
    <x v="0"/>
    <m/>
    <x v="0"/>
    <m/>
    <x v="5"/>
    <x v="2"/>
    <s v="E"/>
    <x v="3"/>
    <x v="0"/>
    <x v="108"/>
    <s v=""/>
    <x v="4"/>
    <x v="2"/>
    <x v="4"/>
    <x v="3"/>
    <x v="0"/>
    <d v="1899-12-30T00:00:00"/>
    <d v="1899-12-30T00:00:00"/>
  </r>
  <r>
    <n v="1173"/>
    <x v="0"/>
    <x v="63"/>
    <x v="940"/>
    <m/>
    <x v="4"/>
    <m/>
    <m/>
    <x v="1"/>
    <d v="2008-01-02T00:00:00"/>
    <x v="2"/>
    <d v="2008-02-13T00:00:00"/>
    <d v="2008-10-01T00:00:00"/>
    <x v="7"/>
    <x v="2"/>
    <x v="3"/>
    <x v="18"/>
    <x v="0"/>
    <m/>
    <m/>
    <x v="239"/>
    <m/>
    <m/>
    <x v="0"/>
    <x v="0"/>
    <n v="5500"/>
    <m/>
    <x v="1"/>
    <n v="0"/>
    <x v="0"/>
    <x v="0"/>
    <m/>
    <m/>
    <x v="0"/>
    <m/>
    <x v="0"/>
    <m/>
    <x v="5"/>
    <x v="2"/>
    <s v="E"/>
    <x v="3"/>
    <x v="0"/>
    <x v="108"/>
    <s v=""/>
    <x v="4"/>
    <x v="2"/>
    <x v="4"/>
    <x v="3"/>
    <x v="0"/>
    <d v="1899-12-30T00:00:00"/>
    <d v="1899-12-30T00:00:00"/>
  </r>
  <r>
    <n v="1174"/>
    <x v="0"/>
    <x v="55"/>
    <x v="941"/>
    <m/>
    <x v="4"/>
    <m/>
    <m/>
    <x v="1"/>
    <d v="2008-01-02T00:00:00"/>
    <x v="2"/>
    <d v="2008-02-13T00:00:00"/>
    <d v="2008-10-01T00:00:00"/>
    <x v="7"/>
    <x v="2"/>
    <x v="3"/>
    <x v="18"/>
    <x v="0"/>
    <m/>
    <m/>
    <x v="70"/>
    <m/>
    <m/>
    <x v="0"/>
    <x v="0"/>
    <n v="6000"/>
    <m/>
    <x v="1"/>
    <n v="0"/>
    <x v="0"/>
    <x v="0"/>
    <m/>
    <m/>
    <x v="0"/>
    <m/>
    <x v="0"/>
    <m/>
    <x v="5"/>
    <x v="2"/>
    <s v="C"/>
    <x v="3"/>
    <x v="0"/>
    <x v="108"/>
    <s v=""/>
    <x v="4"/>
    <x v="2"/>
    <x v="4"/>
    <x v="3"/>
    <x v="0"/>
    <d v="1899-12-30T00:00:00"/>
    <d v="1899-12-30T00:00:00"/>
  </r>
  <r>
    <n v="1175"/>
    <x v="0"/>
    <x v="65"/>
    <x v="928"/>
    <m/>
    <x v="4"/>
    <m/>
    <m/>
    <x v="1"/>
    <d v="2008-01-02T00:00:00"/>
    <x v="2"/>
    <d v="2008-02-13T00:00:00"/>
    <d v="2008-10-01T00:00:00"/>
    <x v="7"/>
    <x v="2"/>
    <x v="3"/>
    <x v="18"/>
    <x v="0"/>
    <m/>
    <m/>
    <x v="70"/>
    <m/>
    <m/>
    <x v="0"/>
    <x v="0"/>
    <n v="6000"/>
    <m/>
    <x v="1"/>
    <n v="0"/>
    <x v="0"/>
    <x v="0"/>
    <m/>
    <m/>
    <x v="0"/>
    <m/>
    <x v="0"/>
    <m/>
    <x v="5"/>
    <x v="2"/>
    <s v="E"/>
    <x v="3"/>
    <x v="0"/>
    <x v="108"/>
    <s v=""/>
    <x v="4"/>
    <x v="2"/>
    <x v="4"/>
    <x v="3"/>
    <x v="0"/>
    <d v="1899-12-30T00:00:00"/>
    <d v="1899-12-30T00:00:00"/>
  </r>
  <r>
    <n v="1176"/>
    <x v="0"/>
    <x v="67"/>
    <x v="913"/>
    <m/>
    <x v="4"/>
    <m/>
    <m/>
    <x v="1"/>
    <d v="2008-01-02T00:00:00"/>
    <x v="2"/>
    <d v="2008-02-13T00:00:00"/>
    <d v="2008-10-01T00:00:00"/>
    <x v="7"/>
    <x v="2"/>
    <x v="3"/>
    <x v="18"/>
    <x v="0"/>
    <m/>
    <m/>
    <x v="70"/>
    <m/>
    <m/>
    <x v="0"/>
    <x v="0"/>
    <n v="6000"/>
    <m/>
    <x v="1"/>
    <n v="0"/>
    <x v="0"/>
    <x v="0"/>
    <m/>
    <m/>
    <x v="0"/>
    <m/>
    <x v="0"/>
    <m/>
    <x v="5"/>
    <x v="2"/>
    <s v="C"/>
    <x v="3"/>
    <x v="0"/>
    <x v="108"/>
    <s v=""/>
    <x v="4"/>
    <x v="2"/>
    <x v="4"/>
    <x v="3"/>
    <x v="0"/>
    <d v="1899-12-30T00:00:00"/>
    <d v="1899-12-30T00:00:00"/>
  </r>
  <r>
    <n v="1177"/>
    <x v="0"/>
    <x v="206"/>
    <x v="942"/>
    <m/>
    <x v="4"/>
    <m/>
    <m/>
    <x v="1"/>
    <d v="2008-01-02T00:00:00"/>
    <x v="2"/>
    <d v="2008-02-13T00:00:00"/>
    <d v="2008-10-01T00:00:00"/>
    <x v="7"/>
    <x v="2"/>
    <x v="3"/>
    <x v="18"/>
    <x v="0"/>
    <m/>
    <m/>
    <x v="283"/>
    <m/>
    <m/>
    <x v="0"/>
    <x v="0"/>
    <n v="5750"/>
    <m/>
    <x v="1"/>
    <n v="0"/>
    <x v="0"/>
    <x v="0"/>
    <m/>
    <m/>
    <x v="0"/>
    <m/>
    <x v="0"/>
    <m/>
    <x v="5"/>
    <x v="16"/>
    <s v="R"/>
    <x v="3"/>
    <x v="0"/>
    <x v="108"/>
    <s v=""/>
    <x v="4"/>
    <x v="2"/>
    <x v="4"/>
    <x v="3"/>
    <x v="0"/>
    <d v="1899-12-30T00:00:00"/>
    <d v="1899-12-30T00:00:00"/>
  </r>
  <r>
    <n v="1178"/>
    <x v="0"/>
    <x v="73"/>
    <x v="918"/>
    <m/>
    <x v="4"/>
    <m/>
    <m/>
    <x v="1"/>
    <d v="2008-01-02T00:00:00"/>
    <x v="2"/>
    <d v="2008-02-13T00:00:00"/>
    <d v="2008-10-01T00:00:00"/>
    <x v="7"/>
    <x v="2"/>
    <x v="3"/>
    <x v="18"/>
    <x v="0"/>
    <m/>
    <m/>
    <x v="283"/>
    <m/>
    <m/>
    <x v="0"/>
    <x v="0"/>
    <n v="5750"/>
    <m/>
    <x v="1"/>
    <n v="0"/>
    <x v="0"/>
    <x v="0"/>
    <m/>
    <m/>
    <x v="0"/>
    <m/>
    <x v="0"/>
    <m/>
    <x v="5"/>
    <x v="0"/>
    <s v="S"/>
    <x v="3"/>
    <x v="0"/>
    <x v="108"/>
    <s v=""/>
    <x v="4"/>
    <x v="2"/>
    <x v="4"/>
    <x v="3"/>
    <x v="0"/>
    <d v="1899-12-30T00:00:00"/>
    <d v="1899-12-30T00:00:00"/>
  </r>
  <r>
    <n v="1179"/>
    <x v="0"/>
    <x v="56"/>
    <x v="943"/>
    <m/>
    <x v="4"/>
    <m/>
    <m/>
    <x v="1"/>
    <d v="2008-01-02T00:00:00"/>
    <x v="2"/>
    <d v="2008-02-13T00:00:00"/>
    <d v="2008-10-01T00:00:00"/>
    <x v="7"/>
    <x v="2"/>
    <x v="3"/>
    <x v="18"/>
    <x v="0"/>
    <m/>
    <m/>
    <x v="239"/>
    <m/>
    <m/>
    <x v="0"/>
    <x v="0"/>
    <n v="5500"/>
    <m/>
    <x v="1"/>
    <n v="0"/>
    <x v="0"/>
    <x v="0"/>
    <m/>
    <m/>
    <x v="0"/>
    <m/>
    <x v="0"/>
    <m/>
    <x v="5"/>
    <x v="2"/>
    <s v="R"/>
    <x v="3"/>
    <x v="0"/>
    <x v="108"/>
    <s v=""/>
    <x v="4"/>
    <x v="2"/>
    <x v="4"/>
    <x v="3"/>
    <x v="0"/>
    <d v="1899-12-30T00:00:00"/>
    <d v="1899-12-30T00:00:00"/>
  </r>
  <r>
    <n v="1180"/>
    <x v="0"/>
    <x v="74"/>
    <x v="944"/>
    <m/>
    <x v="4"/>
    <m/>
    <m/>
    <x v="1"/>
    <d v="2008-01-02T00:00:00"/>
    <x v="2"/>
    <d v="2008-02-13T00:00:00"/>
    <d v="2008-10-01T00:00:00"/>
    <x v="7"/>
    <x v="2"/>
    <x v="3"/>
    <x v="18"/>
    <x v="0"/>
    <m/>
    <m/>
    <x v="239"/>
    <m/>
    <m/>
    <x v="0"/>
    <x v="0"/>
    <n v="5500"/>
    <m/>
    <x v="1"/>
    <n v="0"/>
    <x v="0"/>
    <x v="0"/>
    <m/>
    <m/>
    <x v="0"/>
    <m/>
    <x v="0"/>
    <m/>
    <x v="5"/>
    <x v="12"/>
    <s v="R"/>
    <x v="3"/>
    <x v="0"/>
    <x v="108"/>
    <s v=""/>
    <x v="4"/>
    <x v="2"/>
    <x v="4"/>
    <x v="3"/>
    <x v="0"/>
    <d v="1899-12-30T00:00:00"/>
    <d v="1899-12-30T00:00:00"/>
  </r>
  <r>
    <n v="1181"/>
    <x v="0"/>
    <x v="62"/>
    <x v="945"/>
    <m/>
    <x v="4"/>
    <m/>
    <m/>
    <x v="1"/>
    <d v="2008-01-02T00:00:00"/>
    <x v="2"/>
    <d v="2008-02-13T00:00:00"/>
    <d v="2008-10-01T00:00:00"/>
    <x v="7"/>
    <x v="2"/>
    <x v="3"/>
    <x v="18"/>
    <x v="0"/>
    <m/>
    <m/>
    <x v="122"/>
    <m/>
    <m/>
    <x v="0"/>
    <x v="0"/>
    <n v="5000"/>
    <m/>
    <x v="1"/>
    <n v="0"/>
    <x v="0"/>
    <x v="0"/>
    <m/>
    <m/>
    <x v="0"/>
    <m/>
    <x v="0"/>
    <m/>
    <x v="5"/>
    <x v="2"/>
    <s v="R"/>
    <x v="3"/>
    <x v="0"/>
    <x v="108"/>
    <s v=""/>
    <x v="4"/>
    <x v="2"/>
    <x v="4"/>
    <x v="3"/>
    <x v="0"/>
    <d v="1899-12-30T00:00:00"/>
    <d v="1899-12-30T00:00:00"/>
  </r>
  <r>
    <n v="1182"/>
    <x v="0"/>
    <x v="71"/>
    <x v="922"/>
    <m/>
    <x v="4"/>
    <m/>
    <m/>
    <x v="1"/>
    <d v="2008-01-02T00:00:00"/>
    <x v="2"/>
    <d v="2008-02-13T00:00:00"/>
    <d v="2008-10-01T00:00:00"/>
    <x v="7"/>
    <x v="2"/>
    <x v="3"/>
    <x v="18"/>
    <x v="0"/>
    <m/>
    <m/>
    <x v="122"/>
    <m/>
    <m/>
    <x v="0"/>
    <x v="0"/>
    <n v="5000"/>
    <m/>
    <x v="1"/>
    <n v="0"/>
    <x v="0"/>
    <x v="0"/>
    <m/>
    <m/>
    <x v="0"/>
    <m/>
    <x v="0"/>
    <m/>
    <x v="5"/>
    <x v="10"/>
    <s v="R"/>
    <x v="3"/>
    <x v="0"/>
    <x v="108"/>
    <s v=""/>
    <x v="4"/>
    <x v="2"/>
    <x v="4"/>
    <x v="3"/>
    <x v="0"/>
    <d v="1899-12-30T00:00:00"/>
    <d v="1899-12-30T00:00:00"/>
  </r>
  <r>
    <n v="1183"/>
    <x v="0"/>
    <x v="59"/>
    <x v="946"/>
    <m/>
    <x v="4"/>
    <m/>
    <m/>
    <x v="1"/>
    <d v="2008-01-02T00:00:00"/>
    <x v="2"/>
    <d v="2008-02-13T00:00:00"/>
    <d v="2008-10-01T00:00:00"/>
    <x v="7"/>
    <x v="2"/>
    <x v="3"/>
    <x v="18"/>
    <x v="0"/>
    <m/>
    <m/>
    <x v="122"/>
    <m/>
    <m/>
    <x v="0"/>
    <x v="0"/>
    <n v="5000"/>
    <m/>
    <x v="1"/>
    <n v="0"/>
    <x v="0"/>
    <x v="0"/>
    <m/>
    <m/>
    <x v="0"/>
    <m/>
    <x v="0"/>
    <m/>
    <x v="5"/>
    <x v="0"/>
    <s v="A"/>
    <x v="3"/>
    <x v="0"/>
    <x v="108"/>
    <s v=""/>
    <x v="4"/>
    <x v="2"/>
    <x v="4"/>
    <x v="3"/>
    <x v="0"/>
    <d v="1899-12-30T00:00:00"/>
    <d v="1899-12-30T00:00:00"/>
  </r>
  <r>
    <n v="1184"/>
    <x v="0"/>
    <x v="54"/>
    <x v="947"/>
    <m/>
    <x v="4"/>
    <m/>
    <m/>
    <x v="1"/>
    <d v="2008-01-02T00:00:00"/>
    <x v="2"/>
    <d v="2008-02-13T00:00:00"/>
    <d v="2008-10-01T00:00:00"/>
    <x v="7"/>
    <x v="2"/>
    <x v="3"/>
    <x v="18"/>
    <x v="0"/>
    <m/>
    <m/>
    <x v="122"/>
    <m/>
    <m/>
    <x v="0"/>
    <x v="0"/>
    <n v="5000"/>
    <m/>
    <x v="1"/>
    <n v="0"/>
    <x v="0"/>
    <x v="0"/>
    <m/>
    <m/>
    <x v="0"/>
    <m/>
    <x v="0"/>
    <m/>
    <x v="5"/>
    <x v="2"/>
    <s v="R"/>
    <x v="3"/>
    <x v="0"/>
    <x v="108"/>
    <s v=""/>
    <x v="4"/>
    <x v="2"/>
    <x v="4"/>
    <x v="3"/>
    <x v="0"/>
    <d v="1899-12-30T00:00:00"/>
    <d v="1899-12-30T00:00:00"/>
  </r>
  <r>
    <n v="1185"/>
    <x v="0"/>
    <x v="68"/>
    <x v="923"/>
    <m/>
    <x v="4"/>
    <m/>
    <m/>
    <x v="1"/>
    <d v="2008-01-02T00:00:00"/>
    <x v="2"/>
    <d v="2008-02-13T00:00:00"/>
    <d v="2008-10-01T00:00:00"/>
    <x v="7"/>
    <x v="2"/>
    <x v="3"/>
    <x v="18"/>
    <x v="0"/>
    <m/>
    <m/>
    <x v="284"/>
    <m/>
    <m/>
    <x v="0"/>
    <x v="0"/>
    <n v="4750"/>
    <m/>
    <x v="1"/>
    <n v="0"/>
    <x v="0"/>
    <x v="0"/>
    <m/>
    <m/>
    <x v="0"/>
    <m/>
    <x v="0"/>
    <m/>
    <x v="5"/>
    <x v="2"/>
    <s v="C"/>
    <x v="3"/>
    <x v="0"/>
    <x v="108"/>
    <s v=""/>
    <x v="4"/>
    <x v="2"/>
    <x v="4"/>
    <x v="3"/>
    <x v="0"/>
    <d v="1899-12-30T00:00:00"/>
    <d v="1899-12-30T00:00:00"/>
  </r>
  <r>
    <n v="1186"/>
    <x v="0"/>
    <x v="212"/>
    <x v="948"/>
    <m/>
    <x v="4"/>
    <m/>
    <m/>
    <x v="1"/>
    <d v="2008-01-02T00:00:00"/>
    <x v="2"/>
    <d v="2008-02-13T00:00:00"/>
    <d v="2008-10-01T00:00:00"/>
    <x v="7"/>
    <x v="2"/>
    <x v="3"/>
    <x v="18"/>
    <x v="0"/>
    <m/>
    <m/>
    <x v="284"/>
    <m/>
    <m/>
    <x v="0"/>
    <x v="0"/>
    <n v="4750"/>
    <m/>
    <x v="1"/>
    <n v="0"/>
    <x v="0"/>
    <x v="0"/>
    <m/>
    <m/>
    <x v="0"/>
    <m/>
    <x v="0"/>
    <m/>
    <x v="5"/>
    <x v="0"/>
    <s v="C"/>
    <x v="3"/>
    <x v="0"/>
    <x v="108"/>
    <s v=""/>
    <x v="4"/>
    <x v="2"/>
    <x v="4"/>
    <x v="3"/>
    <x v="0"/>
    <d v="1899-12-30T00:00:00"/>
    <d v="1899-12-30T00:00:00"/>
  </r>
  <r>
    <n v="1187"/>
    <x v="0"/>
    <x v="66"/>
    <x v="927"/>
    <m/>
    <x v="4"/>
    <m/>
    <m/>
    <x v="1"/>
    <d v="2008-01-02T00:00:00"/>
    <x v="2"/>
    <d v="2008-02-13T00:00:00"/>
    <d v="2008-10-01T00:00:00"/>
    <x v="7"/>
    <x v="2"/>
    <x v="3"/>
    <x v="18"/>
    <x v="0"/>
    <m/>
    <m/>
    <x v="284"/>
    <m/>
    <m/>
    <x v="0"/>
    <x v="0"/>
    <n v="4750"/>
    <m/>
    <x v="1"/>
    <n v="0"/>
    <x v="0"/>
    <x v="0"/>
    <m/>
    <m/>
    <x v="0"/>
    <m/>
    <x v="0"/>
    <m/>
    <x v="5"/>
    <x v="2"/>
    <s v="C"/>
    <x v="3"/>
    <x v="0"/>
    <x v="108"/>
    <s v=""/>
    <x v="4"/>
    <x v="2"/>
    <x v="4"/>
    <x v="3"/>
    <x v="0"/>
    <d v="1899-12-30T00:00:00"/>
    <d v="1899-12-30T00:00:00"/>
  </r>
  <r>
    <n v="1188"/>
    <x v="0"/>
    <x v="208"/>
    <x v="949"/>
    <m/>
    <x v="4"/>
    <m/>
    <m/>
    <x v="1"/>
    <d v="2008-01-02T00:00:00"/>
    <x v="2"/>
    <d v="2008-02-13T00:00:00"/>
    <d v="2008-10-01T00:00:00"/>
    <x v="7"/>
    <x v="2"/>
    <x v="3"/>
    <x v="18"/>
    <x v="0"/>
    <m/>
    <m/>
    <x v="86"/>
    <m/>
    <m/>
    <x v="0"/>
    <x v="0"/>
    <n v="4600"/>
    <m/>
    <x v="1"/>
    <n v="0"/>
    <x v="0"/>
    <x v="0"/>
    <m/>
    <m/>
    <x v="0"/>
    <m/>
    <x v="0"/>
    <m/>
    <x v="5"/>
    <x v="0"/>
    <s v="S"/>
    <x v="3"/>
    <x v="0"/>
    <x v="108"/>
    <s v=""/>
    <x v="4"/>
    <x v="2"/>
    <x v="4"/>
    <x v="3"/>
    <x v="0"/>
    <d v="1899-12-30T00:00:00"/>
    <d v="1899-12-30T00:00:00"/>
  </r>
  <r>
    <n v="1189"/>
    <x v="0"/>
    <x v="207"/>
    <x v="921"/>
    <m/>
    <x v="4"/>
    <m/>
    <m/>
    <x v="1"/>
    <d v="2008-01-02T00:00:00"/>
    <x v="2"/>
    <d v="2008-02-13T00:00:00"/>
    <d v="2008-10-01T00:00:00"/>
    <x v="7"/>
    <x v="2"/>
    <x v="3"/>
    <x v="18"/>
    <x v="0"/>
    <m/>
    <m/>
    <x v="111"/>
    <m/>
    <m/>
    <x v="0"/>
    <x v="0"/>
    <n v="4500"/>
    <m/>
    <x v="1"/>
    <n v="0"/>
    <x v="0"/>
    <x v="0"/>
    <m/>
    <m/>
    <x v="0"/>
    <m/>
    <x v="0"/>
    <m/>
    <x v="5"/>
    <x v="20"/>
    <s v="C"/>
    <x v="3"/>
    <x v="0"/>
    <x v="108"/>
    <s v=""/>
    <x v="4"/>
    <x v="2"/>
    <x v="4"/>
    <x v="3"/>
    <x v="0"/>
    <d v="1899-12-30T00:00:00"/>
    <d v="1899-12-30T00:00:00"/>
  </r>
  <r>
    <n v="1190"/>
    <x v="0"/>
    <x v="61"/>
    <x v="950"/>
    <m/>
    <x v="4"/>
    <m/>
    <m/>
    <x v="1"/>
    <d v="2008-01-02T00:00:00"/>
    <x v="2"/>
    <d v="2008-02-13T00:00:00"/>
    <d v="2008-10-01T00:00:00"/>
    <x v="7"/>
    <x v="2"/>
    <x v="3"/>
    <x v="18"/>
    <x v="0"/>
    <m/>
    <m/>
    <x v="244"/>
    <m/>
    <m/>
    <x v="0"/>
    <x v="0"/>
    <n v="4400"/>
    <m/>
    <x v="1"/>
    <n v="0"/>
    <x v="0"/>
    <x v="0"/>
    <m/>
    <m/>
    <x v="0"/>
    <m/>
    <x v="0"/>
    <m/>
    <x v="5"/>
    <x v="2"/>
    <s v="C"/>
    <x v="3"/>
    <x v="0"/>
    <x v="108"/>
    <s v=""/>
    <x v="4"/>
    <x v="2"/>
    <x v="4"/>
    <x v="3"/>
    <x v="0"/>
    <d v="1899-12-30T00:00:00"/>
    <d v="1899-12-30T00:00:00"/>
  </r>
  <r>
    <n v="1191"/>
    <x v="0"/>
    <x v="191"/>
    <x v="951"/>
    <m/>
    <x v="4"/>
    <m/>
    <m/>
    <x v="1"/>
    <d v="2008-01-02T00:00:00"/>
    <x v="2"/>
    <d v="2008-03-26T00:00:00"/>
    <d v="2008-10-01T00:00:00"/>
    <x v="7"/>
    <x v="3"/>
    <x v="4"/>
    <x v="20"/>
    <x v="0"/>
    <m/>
    <m/>
    <x v="45"/>
    <m/>
    <m/>
    <x v="0"/>
    <x v="0"/>
    <n v="10000"/>
    <m/>
    <x v="1"/>
    <n v="0"/>
    <x v="0"/>
    <x v="0"/>
    <m/>
    <m/>
    <x v="0"/>
    <m/>
    <x v="0"/>
    <m/>
    <x v="5"/>
    <x v="0"/>
    <s v="C"/>
    <x v="3"/>
    <x v="0"/>
    <x v="108"/>
    <s v=""/>
    <x v="4"/>
    <x v="2"/>
    <x v="4"/>
    <x v="3"/>
    <x v="0"/>
    <d v="1899-12-30T00:00:00"/>
    <d v="1899-12-30T00:00:00"/>
  </r>
  <r>
    <n v="1192"/>
    <x v="0"/>
    <x v="203"/>
    <x v="895"/>
    <m/>
    <x v="4"/>
    <m/>
    <m/>
    <x v="1"/>
    <d v="2008-01-02T00:00:00"/>
    <x v="2"/>
    <d v="2008-03-26T00:00:00"/>
    <d v="2008-10-01T00:00:00"/>
    <x v="7"/>
    <x v="3"/>
    <x v="4"/>
    <x v="20"/>
    <x v="0"/>
    <m/>
    <m/>
    <x v="122"/>
    <m/>
    <m/>
    <x v="0"/>
    <x v="0"/>
    <n v="5000"/>
    <m/>
    <x v="1"/>
    <n v="0"/>
    <x v="0"/>
    <x v="0"/>
    <m/>
    <m/>
    <x v="0"/>
    <m/>
    <x v="0"/>
    <m/>
    <x v="5"/>
    <x v="16"/>
    <s v="A"/>
    <x v="3"/>
    <x v="0"/>
    <x v="108"/>
    <s v=""/>
    <x v="4"/>
    <x v="2"/>
    <x v="4"/>
    <x v="3"/>
    <x v="0"/>
    <d v="1899-12-30T00:00:00"/>
    <d v="1899-12-30T00:00:00"/>
  </r>
  <r>
    <n v="1193"/>
    <x v="0"/>
    <x v="205"/>
    <x v="952"/>
    <m/>
    <x v="4"/>
    <m/>
    <m/>
    <x v="1"/>
    <d v="2008-01-02T00:00:00"/>
    <x v="2"/>
    <d v="2008-03-26T00:00:00"/>
    <d v="2008-10-01T00:00:00"/>
    <x v="7"/>
    <x v="3"/>
    <x v="4"/>
    <x v="20"/>
    <x v="0"/>
    <m/>
    <m/>
    <x v="285"/>
    <m/>
    <m/>
    <x v="0"/>
    <x v="0"/>
    <n v="165000"/>
    <m/>
    <x v="1"/>
    <n v="0"/>
    <x v="0"/>
    <x v="0"/>
    <m/>
    <m/>
    <x v="0"/>
    <m/>
    <x v="0"/>
    <m/>
    <x v="5"/>
    <x v="2"/>
    <s v="I"/>
    <x v="3"/>
    <x v="0"/>
    <x v="108"/>
    <s v=""/>
    <x v="4"/>
    <x v="2"/>
    <x v="4"/>
    <x v="3"/>
    <x v="0"/>
    <d v="1899-12-30T00:00:00"/>
    <d v="1899-12-30T00:00:00"/>
  </r>
  <r>
    <n v="1194"/>
    <x v="0"/>
    <x v="200"/>
    <x v="953"/>
    <m/>
    <x v="4"/>
    <m/>
    <m/>
    <x v="1"/>
    <d v="2008-01-02T00:00:00"/>
    <x v="2"/>
    <d v="2008-03-26T00:00:00"/>
    <d v="2008-10-01T00:00:00"/>
    <x v="7"/>
    <x v="3"/>
    <x v="4"/>
    <x v="20"/>
    <x v="0"/>
    <m/>
    <d v="2009-01-21T00:00:00"/>
    <x v="99"/>
    <m/>
    <m/>
    <x v="0"/>
    <x v="0"/>
    <n v="150000"/>
    <m/>
    <x v="1"/>
    <n v="0"/>
    <x v="0"/>
    <x v="0"/>
    <m/>
    <m/>
    <x v="0"/>
    <m/>
    <x v="0"/>
    <m/>
    <x v="5"/>
    <x v="4"/>
    <s v="F"/>
    <x v="3"/>
    <x v="0"/>
    <x v="108"/>
    <s v=""/>
    <x v="4"/>
    <x v="2"/>
    <x v="4"/>
    <x v="3"/>
    <x v="0"/>
    <d v="1899-12-30T00:00:00"/>
    <d v="1899-12-30T00:00:00"/>
  </r>
  <r>
    <n v="1196"/>
    <x v="0"/>
    <x v="74"/>
    <x v="179"/>
    <m/>
    <x v="4"/>
    <m/>
    <m/>
    <x v="1"/>
    <d v="2008-01-02T00:00:00"/>
    <x v="2"/>
    <d v="2008-03-26T00:00:00"/>
    <d v="2008-10-01T00:00:00"/>
    <x v="7"/>
    <x v="3"/>
    <x v="4"/>
    <x v="20"/>
    <x v="0"/>
    <m/>
    <m/>
    <x v="33"/>
    <m/>
    <m/>
    <x v="0"/>
    <x v="0"/>
    <n v="60000"/>
    <m/>
    <x v="1"/>
    <n v="0"/>
    <x v="0"/>
    <x v="0"/>
    <m/>
    <m/>
    <x v="0"/>
    <m/>
    <x v="0"/>
    <m/>
    <x v="5"/>
    <x v="12"/>
    <s v="F"/>
    <x v="3"/>
    <x v="0"/>
    <x v="108"/>
    <s v=""/>
    <x v="4"/>
    <x v="2"/>
    <x v="4"/>
    <x v="3"/>
    <x v="0"/>
    <d v="1899-12-30T00:00:00"/>
    <d v="1899-12-30T00:00:00"/>
  </r>
  <r>
    <n v="1197"/>
    <x v="0"/>
    <x v="82"/>
    <x v="184"/>
    <m/>
    <x v="4"/>
    <m/>
    <m/>
    <x v="1"/>
    <d v="2008-01-02T00:00:00"/>
    <x v="2"/>
    <d v="2008-03-26T00:00:00"/>
    <d v="2008-10-01T00:00:00"/>
    <x v="7"/>
    <x v="3"/>
    <x v="4"/>
    <x v="20"/>
    <x v="0"/>
    <m/>
    <m/>
    <x v="33"/>
    <m/>
    <m/>
    <x v="0"/>
    <x v="0"/>
    <n v="60000"/>
    <m/>
    <x v="1"/>
    <n v="0"/>
    <x v="0"/>
    <x v="0"/>
    <m/>
    <m/>
    <x v="0"/>
    <m/>
    <x v="0"/>
    <m/>
    <x v="5"/>
    <x v="6"/>
    <s v="Q"/>
    <x v="3"/>
    <x v="0"/>
    <x v="108"/>
    <s v=""/>
    <x v="4"/>
    <x v="2"/>
    <x v="4"/>
    <x v="3"/>
    <x v="0"/>
    <d v="1899-12-30T00:00:00"/>
    <d v="1899-12-30T00:00:00"/>
  </r>
  <r>
    <n v="1198"/>
    <x v="0"/>
    <x v="67"/>
    <x v="954"/>
    <m/>
    <x v="4"/>
    <m/>
    <m/>
    <x v="1"/>
    <d v="2008-01-02T00:00:00"/>
    <x v="2"/>
    <d v="2008-03-26T00:00:00"/>
    <d v="2008-10-01T00:00:00"/>
    <x v="7"/>
    <x v="3"/>
    <x v="4"/>
    <x v="20"/>
    <x v="0"/>
    <m/>
    <m/>
    <x v="150"/>
    <m/>
    <m/>
    <x v="0"/>
    <x v="0"/>
    <n v="52500"/>
    <m/>
    <x v="1"/>
    <n v="0"/>
    <x v="0"/>
    <x v="0"/>
    <m/>
    <m/>
    <x v="0"/>
    <m/>
    <x v="0"/>
    <m/>
    <x v="5"/>
    <x v="2"/>
    <s v="A"/>
    <x v="3"/>
    <x v="0"/>
    <x v="108"/>
    <s v=""/>
    <x v="4"/>
    <x v="2"/>
    <x v="4"/>
    <x v="3"/>
    <x v="0"/>
    <d v="1899-12-30T00:00:00"/>
    <d v="1899-12-30T00:00:00"/>
  </r>
  <r>
    <n v="1199"/>
    <x v="0"/>
    <x v="89"/>
    <x v="955"/>
    <m/>
    <x v="4"/>
    <m/>
    <m/>
    <x v="1"/>
    <d v="2008-01-02T00:00:00"/>
    <x v="2"/>
    <d v="2008-01-29T00:00:00"/>
    <d v="2008-06-04T00:00:00"/>
    <x v="7"/>
    <x v="4"/>
    <x v="5"/>
    <x v="22"/>
    <x v="0"/>
    <m/>
    <m/>
    <x v="13"/>
    <m/>
    <m/>
    <x v="0"/>
    <x v="0"/>
    <n v="8000"/>
    <m/>
    <x v="1"/>
    <n v="0"/>
    <x v="0"/>
    <x v="0"/>
    <m/>
    <m/>
    <x v="0"/>
    <m/>
    <x v="0"/>
    <m/>
    <x v="5"/>
    <x v="0"/>
    <s v="A"/>
    <x v="3"/>
    <x v="0"/>
    <x v="108"/>
    <s v=""/>
    <x v="4"/>
    <x v="2"/>
    <x v="4"/>
    <x v="3"/>
    <x v="0"/>
    <d v="1899-12-30T00:00:00"/>
    <d v="1899-12-30T00:00:00"/>
  </r>
  <r>
    <n v="1200"/>
    <x v="0"/>
    <x v="88"/>
    <x v="956"/>
    <m/>
    <x v="4"/>
    <m/>
    <m/>
    <x v="1"/>
    <d v="2008-01-02T00:00:00"/>
    <x v="2"/>
    <d v="2008-01-29T00:00:00"/>
    <d v="2008-06-04T00:00:00"/>
    <x v="7"/>
    <x v="4"/>
    <x v="5"/>
    <x v="22"/>
    <x v="0"/>
    <m/>
    <m/>
    <x v="3"/>
    <m/>
    <m/>
    <x v="0"/>
    <x v="0"/>
    <n v="20000"/>
    <m/>
    <x v="1"/>
    <n v="0"/>
    <x v="0"/>
    <x v="0"/>
    <m/>
    <m/>
    <x v="0"/>
    <m/>
    <x v="0"/>
    <m/>
    <x v="5"/>
    <x v="0"/>
    <s v="F"/>
    <x v="3"/>
    <x v="0"/>
    <x v="108"/>
    <s v=""/>
    <x v="4"/>
    <x v="2"/>
    <x v="4"/>
    <x v="3"/>
    <x v="0"/>
    <d v="1899-12-30T00:00:00"/>
    <d v="1899-12-30T00:00:00"/>
  </r>
  <r>
    <n v="1201"/>
    <x v="0"/>
    <x v="78"/>
    <x v="957"/>
    <m/>
    <x v="4"/>
    <m/>
    <m/>
    <x v="1"/>
    <d v="2008-01-02T00:00:00"/>
    <x v="2"/>
    <d v="2008-01-29T00:00:00"/>
    <d v="2008-06-04T00:00:00"/>
    <x v="7"/>
    <x v="4"/>
    <x v="5"/>
    <x v="22"/>
    <x v="0"/>
    <m/>
    <m/>
    <x v="252"/>
    <m/>
    <m/>
    <x v="0"/>
    <x v="0"/>
    <n v="17000"/>
    <m/>
    <x v="1"/>
    <n v="0"/>
    <x v="0"/>
    <x v="0"/>
    <m/>
    <m/>
    <x v="0"/>
    <m/>
    <x v="0"/>
    <m/>
    <x v="5"/>
    <x v="2"/>
    <s v="A"/>
    <x v="3"/>
    <x v="0"/>
    <x v="108"/>
    <s v=""/>
    <x v="4"/>
    <x v="2"/>
    <x v="4"/>
    <x v="3"/>
    <x v="0"/>
    <d v="1899-12-30T00:00:00"/>
    <d v="1899-12-30T00:00:00"/>
  </r>
  <r>
    <n v="1202"/>
    <x v="0"/>
    <x v="72"/>
    <x v="208"/>
    <m/>
    <x v="4"/>
    <m/>
    <m/>
    <x v="1"/>
    <d v="2008-01-02T00:00:00"/>
    <x v="2"/>
    <d v="2008-01-29T00:00:00"/>
    <d v="2008-06-04T00:00:00"/>
    <x v="7"/>
    <x v="4"/>
    <x v="5"/>
    <x v="22"/>
    <x v="0"/>
    <m/>
    <m/>
    <x v="252"/>
    <m/>
    <m/>
    <x v="0"/>
    <x v="0"/>
    <n v="17000"/>
    <m/>
    <x v="1"/>
    <n v="0"/>
    <x v="0"/>
    <x v="0"/>
    <m/>
    <m/>
    <x v="0"/>
    <m/>
    <x v="0"/>
    <m/>
    <x v="5"/>
    <x v="9"/>
    <s v="O"/>
    <x v="3"/>
    <x v="0"/>
    <x v="108"/>
    <s v=""/>
    <x v="4"/>
    <x v="2"/>
    <x v="4"/>
    <x v="3"/>
    <x v="0"/>
    <d v="1899-12-30T00:00:00"/>
    <d v="1899-12-30T00:00:00"/>
  </r>
  <r>
    <n v="1203"/>
    <x v="0"/>
    <x v="72"/>
    <x v="203"/>
    <m/>
    <x v="4"/>
    <m/>
    <m/>
    <x v="1"/>
    <d v="2008-01-02T00:00:00"/>
    <x v="2"/>
    <d v="2008-01-29T00:00:00"/>
    <d v="2008-06-04T00:00:00"/>
    <x v="7"/>
    <x v="4"/>
    <x v="5"/>
    <x v="22"/>
    <x v="0"/>
    <m/>
    <m/>
    <x v="286"/>
    <m/>
    <m/>
    <x v="0"/>
    <x v="0"/>
    <n v="11250"/>
    <m/>
    <x v="1"/>
    <n v="0"/>
    <x v="0"/>
    <x v="0"/>
    <m/>
    <m/>
    <x v="0"/>
    <m/>
    <x v="0"/>
    <m/>
    <x v="5"/>
    <x v="9"/>
    <s v="C"/>
    <x v="3"/>
    <x v="0"/>
    <x v="108"/>
    <s v=""/>
    <x v="4"/>
    <x v="2"/>
    <x v="4"/>
    <x v="3"/>
    <x v="0"/>
    <d v="1899-12-30T00:00:00"/>
    <d v="1899-12-30T00:00:00"/>
  </r>
  <r>
    <n v="1204"/>
    <x v="0"/>
    <x v="60"/>
    <x v="931"/>
    <m/>
    <x v="4"/>
    <m/>
    <m/>
    <x v="1"/>
    <d v="2008-01-02T00:00:00"/>
    <x v="2"/>
    <d v="2008-01-29T00:00:00"/>
    <d v="2008-06-04T00:00:00"/>
    <x v="7"/>
    <x v="4"/>
    <x v="5"/>
    <x v="22"/>
    <x v="0"/>
    <m/>
    <m/>
    <x v="81"/>
    <m/>
    <m/>
    <x v="0"/>
    <x v="0"/>
    <n v="15000"/>
    <m/>
    <x v="1"/>
    <n v="0"/>
    <x v="0"/>
    <x v="0"/>
    <m/>
    <m/>
    <x v="0"/>
    <m/>
    <x v="0"/>
    <m/>
    <x v="5"/>
    <x v="2"/>
    <s v="P"/>
    <x v="3"/>
    <x v="0"/>
    <x v="108"/>
    <s v=""/>
    <x v="4"/>
    <x v="2"/>
    <x v="4"/>
    <x v="3"/>
    <x v="0"/>
    <d v="1899-12-30T00:00:00"/>
    <d v="1899-12-30T00:00:00"/>
  </r>
  <r>
    <n v="1205"/>
    <x v="0"/>
    <x v="73"/>
    <x v="205"/>
    <m/>
    <x v="4"/>
    <m/>
    <m/>
    <x v="1"/>
    <d v="2008-01-02T00:00:00"/>
    <x v="2"/>
    <d v="2008-01-29T00:00:00"/>
    <d v="2008-06-04T00:00:00"/>
    <x v="7"/>
    <x v="4"/>
    <x v="5"/>
    <x v="22"/>
    <x v="0"/>
    <m/>
    <m/>
    <x v="287"/>
    <m/>
    <m/>
    <x v="0"/>
    <x v="0"/>
    <n v="11750"/>
    <m/>
    <x v="1"/>
    <n v="0"/>
    <x v="0"/>
    <x v="0"/>
    <m/>
    <m/>
    <x v="0"/>
    <m/>
    <x v="0"/>
    <m/>
    <x v="5"/>
    <x v="0"/>
    <s v="E"/>
    <x v="3"/>
    <x v="0"/>
    <x v="108"/>
    <s v=""/>
    <x v="4"/>
    <x v="2"/>
    <x v="4"/>
    <x v="3"/>
    <x v="0"/>
    <d v="1899-12-30T00:00:00"/>
    <d v="1899-12-30T00:00:00"/>
  </r>
  <r>
    <n v="1206"/>
    <x v="0"/>
    <x v="52"/>
    <x v="958"/>
    <m/>
    <x v="4"/>
    <m/>
    <m/>
    <x v="0"/>
    <d v="2008-01-02T00:00:00"/>
    <x v="2"/>
    <d v="2008-05-30T00:00:00"/>
    <d v="2008-06-26T00:00:00"/>
    <x v="7"/>
    <x v="1"/>
    <x v="2"/>
    <x v="17"/>
    <x v="0"/>
    <m/>
    <m/>
    <x v="100"/>
    <m/>
    <m/>
    <x v="0"/>
    <x v="0"/>
    <n v="37500"/>
    <m/>
    <x v="1"/>
    <n v="0"/>
    <x v="0"/>
    <x v="0"/>
    <m/>
    <m/>
    <x v="0"/>
    <m/>
    <x v="0"/>
    <m/>
    <x v="5"/>
    <x v="2"/>
    <s v="5"/>
    <x v="3"/>
    <x v="0"/>
    <x v="108"/>
    <s v=""/>
    <x v="4"/>
    <x v="2"/>
    <x v="4"/>
    <x v="3"/>
    <x v="0"/>
    <d v="1899-12-30T00:00:00"/>
    <d v="1899-12-30T00:00:00"/>
  </r>
  <r>
    <n v="1207"/>
    <x v="0"/>
    <x v="48"/>
    <x v="958"/>
    <m/>
    <x v="4"/>
    <m/>
    <m/>
    <x v="2"/>
    <d v="2008-05-30T00:00:00"/>
    <x v="2"/>
    <d v="2008-12-31T00:00:00"/>
    <d v="2009-03-11T00:00:00"/>
    <x v="0"/>
    <x v="1"/>
    <x v="2"/>
    <x v="17"/>
    <x v="0"/>
    <m/>
    <m/>
    <x v="100"/>
    <m/>
    <m/>
    <x v="0"/>
    <x v="0"/>
    <n v="37500"/>
    <m/>
    <x v="1"/>
    <n v="0"/>
    <x v="0"/>
    <x v="0"/>
    <m/>
    <m/>
    <x v="0"/>
    <m/>
    <x v="0"/>
    <m/>
    <x v="5"/>
    <x v="1"/>
    <s v="5"/>
    <x v="3"/>
    <x v="0"/>
    <x v="108"/>
    <s v=""/>
    <x v="4"/>
    <x v="2"/>
    <x v="4"/>
    <x v="3"/>
    <x v="0"/>
    <d v="1899-12-30T00:00:00"/>
    <d v="1899-12-30T00:00:00"/>
  </r>
  <r>
    <n v="1208"/>
    <x v="0"/>
    <x v="18"/>
    <x v="958"/>
    <m/>
    <x v="4"/>
    <m/>
    <m/>
    <x v="2"/>
    <d v="2008-05-30T00:00:00"/>
    <x v="2"/>
    <d v="2008-12-31T00:00:00"/>
    <d v="2009-03-11T00:00:00"/>
    <x v="0"/>
    <x v="1"/>
    <x v="2"/>
    <x v="17"/>
    <x v="0"/>
    <m/>
    <m/>
    <x v="100"/>
    <m/>
    <m/>
    <x v="0"/>
    <x v="0"/>
    <n v="37500"/>
    <m/>
    <x v="1"/>
    <n v="0"/>
    <x v="0"/>
    <x v="0"/>
    <m/>
    <m/>
    <x v="0"/>
    <m/>
    <x v="0"/>
    <m/>
    <x v="5"/>
    <x v="8"/>
    <s v="5"/>
    <x v="3"/>
    <x v="0"/>
    <x v="108"/>
    <s v=""/>
    <x v="4"/>
    <x v="2"/>
    <x v="4"/>
    <x v="3"/>
    <x v="0"/>
    <d v="1899-12-30T00:00:00"/>
    <d v="1899-12-30T00:00:00"/>
  </r>
  <r>
    <n v="1209"/>
    <x v="0"/>
    <x v="60"/>
    <x v="959"/>
    <m/>
    <x v="4"/>
    <m/>
    <m/>
    <x v="1"/>
    <d v="2009-01-02T00:00:00"/>
    <x v="0"/>
    <d v="2009-01-29T00:00:00"/>
    <d v="2009-04-28T00:00:00"/>
    <x v="0"/>
    <x v="2"/>
    <x v="3"/>
    <x v="18"/>
    <x v="0"/>
    <m/>
    <m/>
    <x v="288"/>
    <m/>
    <m/>
    <x v="0"/>
    <x v="0"/>
    <n v="6220"/>
    <m/>
    <x v="1"/>
    <n v="0"/>
    <x v="0"/>
    <x v="0"/>
    <m/>
    <m/>
    <x v="0"/>
    <m/>
    <x v="0"/>
    <m/>
    <x v="5"/>
    <x v="2"/>
    <s v="R"/>
    <x v="3"/>
    <x v="0"/>
    <x v="108"/>
    <s v=""/>
    <x v="4"/>
    <x v="2"/>
    <x v="4"/>
    <x v="3"/>
    <x v="0"/>
    <d v="1899-12-30T00:00:00"/>
    <d v="1899-12-30T00:00:00"/>
  </r>
  <r>
    <n v="1210"/>
    <x v="0"/>
    <x v="68"/>
    <x v="959"/>
    <m/>
    <x v="4"/>
    <m/>
    <m/>
    <x v="1"/>
    <d v="2009-01-02T00:00:00"/>
    <x v="0"/>
    <d v="2009-01-29T00:00:00"/>
    <d v="2009-04-28T00:00:00"/>
    <x v="0"/>
    <x v="2"/>
    <x v="3"/>
    <x v="18"/>
    <x v="0"/>
    <m/>
    <m/>
    <x v="289"/>
    <m/>
    <m/>
    <x v="0"/>
    <x v="0"/>
    <n v="5780"/>
    <m/>
    <x v="1"/>
    <n v="0"/>
    <x v="0"/>
    <x v="0"/>
    <m/>
    <m/>
    <x v="0"/>
    <m/>
    <x v="0"/>
    <m/>
    <x v="5"/>
    <x v="2"/>
    <s v="R"/>
    <x v="3"/>
    <x v="0"/>
    <x v="108"/>
    <s v=""/>
    <x v="4"/>
    <x v="2"/>
    <x v="4"/>
    <x v="3"/>
    <x v="0"/>
    <d v="1899-12-30T00:00:00"/>
    <d v="1899-12-30T00:00:00"/>
  </r>
  <r>
    <n v="1211"/>
    <x v="0"/>
    <x v="74"/>
    <x v="959"/>
    <m/>
    <x v="4"/>
    <m/>
    <m/>
    <x v="1"/>
    <d v="2009-01-02T00:00:00"/>
    <x v="0"/>
    <d v="2009-01-29T00:00:00"/>
    <d v="2009-04-28T00:00:00"/>
    <x v="0"/>
    <x v="2"/>
    <x v="3"/>
    <x v="18"/>
    <x v="0"/>
    <m/>
    <m/>
    <x v="289"/>
    <m/>
    <m/>
    <x v="0"/>
    <x v="0"/>
    <n v="5780"/>
    <m/>
    <x v="1"/>
    <n v="0"/>
    <x v="0"/>
    <x v="0"/>
    <m/>
    <m/>
    <x v="0"/>
    <m/>
    <x v="0"/>
    <m/>
    <x v="5"/>
    <x v="12"/>
    <s v="R"/>
    <x v="3"/>
    <x v="0"/>
    <x v="108"/>
    <s v=""/>
    <x v="4"/>
    <x v="2"/>
    <x v="4"/>
    <x v="3"/>
    <x v="0"/>
    <d v="1899-12-30T00:00:00"/>
    <d v="1899-12-30T00:00:00"/>
  </r>
  <r>
    <n v="1212"/>
    <x v="0"/>
    <x v="67"/>
    <x v="959"/>
    <m/>
    <x v="4"/>
    <m/>
    <m/>
    <x v="1"/>
    <d v="2009-01-02T00:00:00"/>
    <x v="0"/>
    <d v="2009-01-29T00:00:00"/>
    <d v="2009-04-28T00:00:00"/>
    <x v="0"/>
    <x v="2"/>
    <x v="3"/>
    <x v="18"/>
    <x v="0"/>
    <m/>
    <m/>
    <x v="290"/>
    <m/>
    <m/>
    <x v="0"/>
    <x v="0"/>
    <n v="5553"/>
    <m/>
    <x v="1"/>
    <n v="0"/>
    <x v="0"/>
    <x v="0"/>
    <m/>
    <m/>
    <x v="0"/>
    <m/>
    <x v="0"/>
    <m/>
    <x v="5"/>
    <x v="2"/>
    <s v="R"/>
    <x v="3"/>
    <x v="0"/>
    <x v="108"/>
    <s v=""/>
    <x v="4"/>
    <x v="2"/>
    <x v="4"/>
    <x v="3"/>
    <x v="0"/>
    <d v="1899-12-30T00:00:00"/>
    <d v="1899-12-30T00:00:00"/>
  </r>
  <r>
    <n v="1213"/>
    <x v="0"/>
    <x v="54"/>
    <x v="959"/>
    <m/>
    <x v="4"/>
    <m/>
    <m/>
    <x v="1"/>
    <d v="2009-01-02T00:00:00"/>
    <x v="0"/>
    <d v="2009-01-29T00:00:00"/>
    <d v="2009-04-28T00:00:00"/>
    <x v="0"/>
    <x v="2"/>
    <x v="3"/>
    <x v="18"/>
    <x v="0"/>
    <m/>
    <m/>
    <x v="291"/>
    <m/>
    <m/>
    <x v="0"/>
    <x v="0"/>
    <n v="5333"/>
    <m/>
    <x v="1"/>
    <n v="0"/>
    <x v="0"/>
    <x v="0"/>
    <m/>
    <m/>
    <x v="0"/>
    <m/>
    <x v="0"/>
    <m/>
    <x v="5"/>
    <x v="2"/>
    <s v="R"/>
    <x v="3"/>
    <x v="0"/>
    <x v="108"/>
    <s v=""/>
    <x v="4"/>
    <x v="2"/>
    <x v="4"/>
    <x v="3"/>
    <x v="0"/>
    <d v="1899-12-30T00:00:00"/>
    <d v="1899-12-30T00:00:00"/>
  </r>
  <r>
    <n v="1214"/>
    <x v="0"/>
    <x v="65"/>
    <x v="959"/>
    <m/>
    <x v="4"/>
    <m/>
    <m/>
    <x v="1"/>
    <d v="2009-01-02T00:00:00"/>
    <x v="0"/>
    <d v="2009-01-29T00:00:00"/>
    <d v="2009-04-28T00:00:00"/>
    <x v="0"/>
    <x v="2"/>
    <x v="3"/>
    <x v="18"/>
    <x v="0"/>
    <m/>
    <m/>
    <x v="291"/>
    <m/>
    <m/>
    <x v="0"/>
    <x v="0"/>
    <n v="5333"/>
    <m/>
    <x v="1"/>
    <n v="0"/>
    <x v="0"/>
    <x v="0"/>
    <m/>
    <m/>
    <x v="0"/>
    <m/>
    <x v="0"/>
    <m/>
    <x v="5"/>
    <x v="2"/>
    <s v="R"/>
    <x v="3"/>
    <x v="0"/>
    <x v="108"/>
    <s v=""/>
    <x v="4"/>
    <x v="2"/>
    <x v="4"/>
    <x v="3"/>
    <x v="0"/>
    <d v="1899-12-30T00:00:00"/>
    <d v="1899-12-30T00:00:00"/>
  </r>
  <r>
    <n v="1215"/>
    <x v="0"/>
    <x v="55"/>
    <x v="959"/>
    <m/>
    <x v="4"/>
    <m/>
    <m/>
    <x v="1"/>
    <d v="2009-01-02T00:00:00"/>
    <x v="0"/>
    <d v="2009-01-29T00:00:00"/>
    <d v="2009-04-28T00:00:00"/>
    <x v="0"/>
    <x v="2"/>
    <x v="3"/>
    <x v="18"/>
    <x v="0"/>
    <m/>
    <m/>
    <x v="291"/>
    <m/>
    <m/>
    <x v="0"/>
    <x v="0"/>
    <n v="5333"/>
    <m/>
    <x v="1"/>
    <n v="0"/>
    <x v="0"/>
    <x v="0"/>
    <m/>
    <m/>
    <x v="0"/>
    <m/>
    <x v="0"/>
    <m/>
    <x v="5"/>
    <x v="2"/>
    <s v="R"/>
    <x v="3"/>
    <x v="0"/>
    <x v="108"/>
    <s v=""/>
    <x v="4"/>
    <x v="2"/>
    <x v="4"/>
    <x v="3"/>
    <x v="0"/>
    <d v="1899-12-30T00:00:00"/>
    <d v="1899-12-30T00:00:00"/>
  </r>
  <r>
    <n v="1216"/>
    <x v="0"/>
    <x v="71"/>
    <x v="959"/>
    <m/>
    <x v="4"/>
    <m/>
    <m/>
    <x v="1"/>
    <d v="2009-01-02T00:00:00"/>
    <x v="0"/>
    <d v="2009-01-29T00:00:00"/>
    <d v="2009-04-28T00:00:00"/>
    <x v="0"/>
    <x v="2"/>
    <x v="3"/>
    <x v="18"/>
    <x v="0"/>
    <m/>
    <m/>
    <x v="292"/>
    <m/>
    <m/>
    <x v="0"/>
    <x v="0"/>
    <n v="5113"/>
    <m/>
    <x v="1"/>
    <n v="0"/>
    <x v="0"/>
    <x v="0"/>
    <m/>
    <m/>
    <x v="0"/>
    <m/>
    <x v="0"/>
    <m/>
    <x v="5"/>
    <x v="10"/>
    <s v="R"/>
    <x v="3"/>
    <x v="0"/>
    <x v="108"/>
    <s v=""/>
    <x v="4"/>
    <x v="2"/>
    <x v="4"/>
    <x v="3"/>
    <x v="0"/>
    <d v="1899-12-30T00:00:00"/>
    <d v="1899-12-30T00:00:00"/>
  </r>
  <r>
    <n v="1217"/>
    <x v="0"/>
    <x v="63"/>
    <x v="959"/>
    <m/>
    <x v="4"/>
    <m/>
    <m/>
    <x v="1"/>
    <d v="2009-01-02T00:00:00"/>
    <x v="0"/>
    <d v="2009-01-29T00:00:00"/>
    <d v="2009-04-28T00:00:00"/>
    <x v="0"/>
    <x v="2"/>
    <x v="3"/>
    <x v="18"/>
    <x v="0"/>
    <m/>
    <m/>
    <x v="292"/>
    <m/>
    <m/>
    <x v="0"/>
    <x v="0"/>
    <n v="5113"/>
    <m/>
    <x v="1"/>
    <n v="0"/>
    <x v="0"/>
    <x v="0"/>
    <m/>
    <m/>
    <x v="0"/>
    <m/>
    <x v="0"/>
    <m/>
    <x v="5"/>
    <x v="2"/>
    <s v="R"/>
    <x v="3"/>
    <x v="0"/>
    <x v="108"/>
    <s v=""/>
    <x v="4"/>
    <x v="2"/>
    <x v="4"/>
    <x v="3"/>
    <x v="0"/>
    <d v="1899-12-30T00:00:00"/>
    <d v="1899-12-30T00:00:00"/>
  </r>
  <r>
    <n v="1218"/>
    <x v="0"/>
    <x v="208"/>
    <x v="959"/>
    <m/>
    <x v="4"/>
    <m/>
    <m/>
    <x v="1"/>
    <d v="2009-01-02T00:00:00"/>
    <x v="0"/>
    <d v="2009-01-29T00:00:00"/>
    <d v="2009-04-28T00:00:00"/>
    <x v="0"/>
    <x v="2"/>
    <x v="3"/>
    <x v="18"/>
    <x v="0"/>
    <m/>
    <m/>
    <x v="292"/>
    <m/>
    <m/>
    <x v="0"/>
    <x v="0"/>
    <n v="5113"/>
    <m/>
    <x v="1"/>
    <n v="0"/>
    <x v="0"/>
    <x v="0"/>
    <m/>
    <m/>
    <x v="0"/>
    <m/>
    <x v="0"/>
    <m/>
    <x v="5"/>
    <x v="0"/>
    <s v="R"/>
    <x v="3"/>
    <x v="0"/>
    <x v="108"/>
    <s v=""/>
    <x v="4"/>
    <x v="2"/>
    <x v="4"/>
    <x v="3"/>
    <x v="0"/>
    <d v="1899-12-30T00:00:00"/>
    <d v="1899-12-30T00:00:00"/>
  </r>
  <r>
    <n v="1219"/>
    <x v="0"/>
    <x v="59"/>
    <x v="959"/>
    <m/>
    <x v="4"/>
    <m/>
    <m/>
    <x v="1"/>
    <d v="2009-01-02T00:00:00"/>
    <x v="0"/>
    <d v="2009-01-29T00:00:00"/>
    <d v="2009-04-28T00:00:00"/>
    <x v="0"/>
    <x v="2"/>
    <x v="3"/>
    <x v="18"/>
    <x v="0"/>
    <m/>
    <m/>
    <x v="292"/>
    <m/>
    <m/>
    <x v="0"/>
    <x v="0"/>
    <n v="5113"/>
    <m/>
    <x v="1"/>
    <n v="0"/>
    <x v="0"/>
    <x v="0"/>
    <m/>
    <m/>
    <x v="0"/>
    <m/>
    <x v="0"/>
    <m/>
    <x v="5"/>
    <x v="0"/>
    <s v="R"/>
    <x v="3"/>
    <x v="0"/>
    <x v="108"/>
    <s v=""/>
    <x v="4"/>
    <x v="2"/>
    <x v="4"/>
    <x v="3"/>
    <x v="0"/>
    <d v="1899-12-30T00:00:00"/>
    <d v="1899-12-30T00:00:00"/>
  </r>
  <r>
    <n v="1220"/>
    <x v="0"/>
    <x v="66"/>
    <x v="959"/>
    <m/>
    <x v="4"/>
    <m/>
    <m/>
    <x v="1"/>
    <d v="2009-01-02T00:00:00"/>
    <x v="0"/>
    <d v="2009-01-29T00:00:00"/>
    <d v="2009-04-28T00:00:00"/>
    <x v="0"/>
    <x v="2"/>
    <x v="3"/>
    <x v="18"/>
    <x v="0"/>
    <m/>
    <m/>
    <x v="293"/>
    <m/>
    <m/>
    <x v="0"/>
    <x v="0"/>
    <n v="4887"/>
    <m/>
    <x v="1"/>
    <n v="0"/>
    <x v="0"/>
    <x v="0"/>
    <m/>
    <m/>
    <x v="0"/>
    <m/>
    <x v="0"/>
    <m/>
    <x v="5"/>
    <x v="2"/>
    <s v="R"/>
    <x v="3"/>
    <x v="0"/>
    <x v="108"/>
    <s v=""/>
    <x v="4"/>
    <x v="2"/>
    <x v="4"/>
    <x v="3"/>
    <x v="0"/>
    <d v="1899-12-30T00:00:00"/>
    <d v="1899-12-30T00:00:00"/>
  </r>
  <r>
    <n v="1221"/>
    <x v="0"/>
    <x v="206"/>
    <x v="959"/>
    <m/>
    <x v="4"/>
    <m/>
    <m/>
    <x v="1"/>
    <d v="2009-01-02T00:00:00"/>
    <x v="0"/>
    <d v="2009-01-29T00:00:00"/>
    <d v="2009-04-28T00:00:00"/>
    <x v="0"/>
    <x v="2"/>
    <x v="3"/>
    <x v="18"/>
    <x v="0"/>
    <m/>
    <m/>
    <x v="293"/>
    <m/>
    <m/>
    <x v="0"/>
    <x v="0"/>
    <n v="4887"/>
    <m/>
    <x v="1"/>
    <n v="0"/>
    <x v="0"/>
    <x v="0"/>
    <m/>
    <m/>
    <x v="0"/>
    <m/>
    <x v="0"/>
    <m/>
    <x v="5"/>
    <x v="16"/>
    <s v="R"/>
    <x v="3"/>
    <x v="0"/>
    <x v="108"/>
    <s v=""/>
    <x v="4"/>
    <x v="2"/>
    <x v="4"/>
    <x v="3"/>
    <x v="0"/>
    <d v="1899-12-30T00:00:00"/>
    <d v="1899-12-30T00:00:00"/>
  </r>
  <r>
    <n v="1222"/>
    <x v="0"/>
    <x v="62"/>
    <x v="959"/>
    <m/>
    <x v="4"/>
    <m/>
    <m/>
    <x v="1"/>
    <d v="2009-01-02T00:00:00"/>
    <x v="0"/>
    <d v="2009-01-29T00:00:00"/>
    <d v="2009-04-28T00:00:00"/>
    <x v="0"/>
    <x v="2"/>
    <x v="3"/>
    <x v="18"/>
    <x v="0"/>
    <m/>
    <m/>
    <x v="293"/>
    <m/>
    <m/>
    <x v="0"/>
    <x v="0"/>
    <n v="4887"/>
    <m/>
    <x v="1"/>
    <n v="0"/>
    <x v="0"/>
    <x v="0"/>
    <m/>
    <m/>
    <x v="0"/>
    <m/>
    <x v="0"/>
    <m/>
    <x v="5"/>
    <x v="2"/>
    <s v="R"/>
    <x v="3"/>
    <x v="0"/>
    <x v="108"/>
    <s v=""/>
    <x v="4"/>
    <x v="2"/>
    <x v="4"/>
    <x v="3"/>
    <x v="0"/>
    <d v="1899-12-30T00:00:00"/>
    <d v="1899-12-30T00:00:00"/>
  </r>
  <r>
    <n v="1223"/>
    <x v="0"/>
    <x v="73"/>
    <x v="959"/>
    <m/>
    <x v="4"/>
    <m/>
    <m/>
    <x v="1"/>
    <d v="2009-01-02T00:00:00"/>
    <x v="0"/>
    <d v="2009-01-29T00:00:00"/>
    <d v="2009-04-28T00:00:00"/>
    <x v="0"/>
    <x v="2"/>
    <x v="3"/>
    <x v="18"/>
    <x v="0"/>
    <m/>
    <m/>
    <x v="293"/>
    <m/>
    <m/>
    <x v="0"/>
    <x v="0"/>
    <n v="4887"/>
    <m/>
    <x v="1"/>
    <n v="0"/>
    <x v="0"/>
    <x v="0"/>
    <m/>
    <m/>
    <x v="0"/>
    <m/>
    <x v="0"/>
    <m/>
    <x v="5"/>
    <x v="0"/>
    <s v="R"/>
    <x v="3"/>
    <x v="0"/>
    <x v="108"/>
    <s v=""/>
    <x v="4"/>
    <x v="2"/>
    <x v="4"/>
    <x v="3"/>
    <x v="0"/>
    <d v="1899-12-30T00:00:00"/>
    <d v="1899-12-30T00:00:00"/>
  </r>
  <r>
    <n v="1224"/>
    <x v="0"/>
    <x v="56"/>
    <x v="959"/>
    <m/>
    <x v="4"/>
    <m/>
    <m/>
    <x v="1"/>
    <d v="2009-01-02T00:00:00"/>
    <x v="0"/>
    <d v="2009-01-29T00:00:00"/>
    <d v="2009-04-28T00:00:00"/>
    <x v="0"/>
    <x v="2"/>
    <x v="3"/>
    <x v="18"/>
    <x v="0"/>
    <m/>
    <m/>
    <x v="294"/>
    <m/>
    <m/>
    <x v="0"/>
    <x v="0"/>
    <n v="4667"/>
    <m/>
    <x v="1"/>
    <n v="0"/>
    <x v="0"/>
    <x v="0"/>
    <m/>
    <m/>
    <x v="0"/>
    <m/>
    <x v="0"/>
    <m/>
    <x v="5"/>
    <x v="2"/>
    <s v="R"/>
    <x v="3"/>
    <x v="0"/>
    <x v="108"/>
    <s v=""/>
    <x v="4"/>
    <x v="2"/>
    <x v="4"/>
    <x v="3"/>
    <x v="0"/>
    <d v="1899-12-30T00:00:00"/>
    <d v="1899-12-30T00:00:00"/>
  </r>
  <r>
    <n v="1225"/>
    <x v="0"/>
    <x v="64"/>
    <x v="959"/>
    <m/>
    <x v="4"/>
    <m/>
    <m/>
    <x v="1"/>
    <d v="2009-01-02T00:00:00"/>
    <x v="0"/>
    <d v="2009-01-29T00:00:00"/>
    <d v="2009-04-28T00:00:00"/>
    <x v="0"/>
    <x v="2"/>
    <x v="3"/>
    <x v="18"/>
    <x v="0"/>
    <m/>
    <m/>
    <x v="295"/>
    <m/>
    <m/>
    <x v="0"/>
    <x v="0"/>
    <n v="4447"/>
    <m/>
    <x v="1"/>
    <n v="0"/>
    <x v="0"/>
    <x v="0"/>
    <m/>
    <m/>
    <x v="0"/>
    <m/>
    <x v="0"/>
    <m/>
    <x v="5"/>
    <x v="2"/>
    <s v="R"/>
    <x v="3"/>
    <x v="0"/>
    <x v="108"/>
    <s v=""/>
    <x v="4"/>
    <x v="2"/>
    <x v="4"/>
    <x v="3"/>
    <x v="0"/>
    <d v="1899-12-30T00:00:00"/>
    <d v="1899-12-30T00:00:00"/>
  </r>
  <r>
    <n v="1226"/>
    <x v="0"/>
    <x v="213"/>
    <x v="959"/>
    <m/>
    <x v="4"/>
    <m/>
    <m/>
    <x v="1"/>
    <d v="2009-01-02T00:00:00"/>
    <x v="0"/>
    <d v="2009-01-29T00:00:00"/>
    <d v="2009-04-28T00:00:00"/>
    <x v="0"/>
    <x v="2"/>
    <x v="3"/>
    <x v="18"/>
    <x v="0"/>
    <m/>
    <m/>
    <x v="76"/>
    <m/>
    <m/>
    <x v="0"/>
    <x v="0"/>
    <n v="4000"/>
    <m/>
    <x v="1"/>
    <n v="0"/>
    <x v="0"/>
    <x v="0"/>
    <m/>
    <m/>
    <x v="0"/>
    <m/>
    <x v="0"/>
    <m/>
    <x v="5"/>
    <x v="2"/>
    <s v="R"/>
    <x v="3"/>
    <x v="0"/>
    <x v="108"/>
    <s v=""/>
    <x v="4"/>
    <x v="2"/>
    <x v="4"/>
    <x v="3"/>
    <x v="0"/>
    <d v="1899-12-30T00:00:00"/>
    <d v="1899-12-30T00:00:00"/>
  </r>
  <r>
    <n v="1227"/>
    <x v="0"/>
    <x v="214"/>
    <x v="959"/>
    <m/>
    <x v="4"/>
    <m/>
    <m/>
    <x v="1"/>
    <d v="2009-01-02T00:00:00"/>
    <x v="0"/>
    <d v="2009-01-29T00:00:00"/>
    <d v="2009-04-28T00:00:00"/>
    <x v="0"/>
    <x v="2"/>
    <x v="3"/>
    <x v="18"/>
    <x v="0"/>
    <m/>
    <m/>
    <x v="76"/>
    <m/>
    <m/>
    <x v="0"/>
    <x v="0"/>
    <n v="4000"/>
    <m/>
    <x v="1"/>
    <n v="0"/>
    <x v="0"/>
    <x v="0"/>
    <m/>
    <m/>
    <x v="0"/>
    <m/>
    <x v="0"/>
    <m/>
    <x v="5"/>
    <x v="2"/>
    <s v="R"/>
    <x v="3"/>
    <x v="0"/>
    <x v="108"/>
    <s v=""/>
    <x v="4"/>
    <x v="2"/>
    <x v="4"/>
    <x v="3"/>
    <x v="0"/>
    <d v="1899-12-30T00:00:00"/>
    <d v="1899-12-30T00:00:00"/>
  </r>
  <r>
    <n v="1228"/>
    <x v="0"/>
    <x v="215"/>
    <x v="959"/>
    <m/>
    <x v="4"/>
    <m/>
    <m/>
    <x v="1"/>
    <d v="2009-01-02T00:00:00"/>
    <x v="0"/>
    <d v="2009-01-29T00:00:00"/>
    <d v="2009-04-28T00:00:00"/>
    <x v="0"/>
    <x v="2"/>
    <x v="3"/>
    <x v="18"/>
    <x v="0"/>
    <m/>
    <m/>
    <x v="296"/>
    <m/>
    <m/>
    <x v="0"/>
    <x v="0"/>
    <n v="3554"/>
    <m/>
    <x v="1"/>
    <n v="0"/>
    <x v="0"/>
    <x v="0"/>
    <m/>
    <m/>
    <x v="0"/>
    <m/>
    <x v="0"/>
    <m/>
    <x v="5"/>
    <x v="8"/>
    <s v="R"/>
    <x v="3"/>
    <x v="0"/>
    <x v="108"/>
    <s v=""/>
    <x v="4"/>
    <x v="2"/>
    <x v="4"/>
    <x v="3"/>
    <x v="0"/>
    <d v="1899-12-30T00:00:00"/>
    <d v="1899-12-30T00:00:00"/>
  </r>
  <r>
    <n v="1229"/>
    <x v="0"/>
    <x v="75"/>
    <x v="909"/>
    <m/>
    <x v="4"/>
    <m/>
    <m/>
    <x v="1"/>
    <d v="2010-01-04T00:00:00"/>
    <x v="3"/>
    <d v="2010-01-31T00:00:00"/>
    <d v="2010-03-26T00:00:00"/>
    <x v="2"/>
    <x v="2"/>
    <x v="3"/>
    <x v="19"/>
    <x v="0"/>
    <m/>
    <m/>
    <x v="95"/>
    <m/>
    <m/>
    <x v="0"/>
    <x v="0"/>
    <n v="25000"/>
    <m/>
    <x v="1"/>
    <n v="0"/>
    <x v="0"/>
    <x v="0"/>
    <m/>
    <m/>
    <x v="0"/>
    <m/>
    <x v="0"/>
    <m/>
    <x v="5"/>
    <x v="8"/>
    <s v="S"/>
    <x v="3"/>
    <x v="0"/>
    <x v="108"/>
    <s v=""/>
    <x v="4"/>
    <x v="2"/>
    <x v="4"/>
    <x v="3"/>
    <x v="0"/>
    <d v="1899-12-30T00:00:00"/>
    <d v="1899-12-30T00:00:00"/>
  </r>
  <r>
    <n v="1230"/>
    <x v="0"/>
    <x v="75"/>
    <x v="910"/>
    <m/>
    <x v="4"/>
    <m/>
    <m/>
    <x v="1"/>
    <d v="2010-01-04T00:00:00"/>
    <x v="3"/>
    <d v="2010-01-31T00:00:00"/>
    <d v="2010-03-26T00:00:00"/>
    <x v="2"/>
    <x v="2"/>
    <x v="3"/>
    <x v="19"/>
    <x v="0"/>
    <m/>
    <m/>
    <x v="95"/>
    <m/>
    <m/>
    <x v="0"/>
    <x v="0"/>
    <n v="25000"/>
    <m/>
    <x v="1"/>
    <n v="0"/>
    <x v="0"/>
    <x v="0"/>
    <m/>
    <m/>
    <x v="0"/>
    <m/>
    <x v="0"/>
    <m/>
    <x v="5"/>
    <x v="8"/>
    <s v="S"/>
    <x v="3"/>
    <x v="0"/>
    <x v="108"/>
    <s v=""/>
    <x v="4"/>
    <x v="2"/>
    <x v="4"/>
    <x v="3"/>
    <x v="0"/>
    <d v="1899-12-30T00:00:00"/>
    <d v="1899-12-30T00:00:00"/>
  </r>
  <r>
    <n v="1231"/>
    <x v="0"/>
    <x v="75"/>
    <x v="960"/>
    <m/>
    <x v="4"/>
    <m/>
    <m/>
    <x v="1"/>
    <d v="2010-01-04T00:00:00"/>
    <x v="3"/>
    <d v="2010-01-31T00:00:00"/>
    <d v="2010-03-26T00:00:00"/>
    <x v="2"/>
    <x v="2"/>
    <x v="3"/>
    <x v="19"/>
    <x v="0"/>
    <m/>
    <m/>
    <x v="95"/>
    <m/>
    <m/>
    <x v="0"/>
    <x v="0"/>
    <n v="25000"/>
    <m/>
    <x v="1"/>
    <n v="0"/>
    <x v="0"/>
    <x v="0"/>
    <m/>
    <m/>
    <x v="0"/>
    <m/>
    <x v="0"/>
    <m/>
    <x v="5"/>
    <x v="8"/>
    <s v="S"/>
    <x v="3"/>
    <x v="0"/>
    <x v="108"/>
    <s v=""/>
    <x v="4"/>
    <x v="2"/>
    <x v="4"/>
    <x v="3"/>
    <x v="0"/>
    <d v="1899-12-30T00:00:00"/>
    <d v="1899-12-30T00:00:00"/>
  </r>
  <r>
    <n v="1232"/>
    <x v="0"/>
    <x v="75"/>
    <x v="961"/>
    <m/>
    <x v="4"/>
    <m/>
    <m/>
    <x v="1"/>
    <d v="2010-01-04T00:00:00"/>
    <x v="3"/>
    <d v="2010-01-31T00:00:00"/>
    <d v="2010-03-26T00:00:00"/>
    <x v="2"/>
    <x v="2"/>
    <x v="3"/>
    <x v="19"/>
    <x v="0"/>
    <m/>
    <m/>
    <x v="95"/>
    <m/>
    <m/>
    <x v="0"/>
    <x v="0"/>
    <n v="25000"/>
    <m/>
    <x v="1"/>
    <n v="0"/>
    <x v="0"/>
    <x v="0"/>
    <m/>
    <m/>
    <x v="0"/>
    <m/>
    <x v="0"/>
    <m/>
    <x v="5"/>
    <x v="8"/>
    <s v="C"/>
    <x v="3"/>
    <x v="0"/>
    <x v="108"/>
    <s v=""/>
    <x v="4"/>
    <x v="2"/>
    <x v="4"/>
    <x v="3"/>
    <x v="0"/>
    <d v="1899-12-30T00:00:00"/>
    <d v="1899-12-30T00:00:00"/>
  </r>
  <r>
    <n v="1233"/>
    <x v="0"/>
    <x v="75"/>
    <x v="166"/>
    <m/>
    <x v="4"/>
    <m/>
    <m/>
    <x v="1"/>
    <d v="2010-01-04T00:00:00"/>
    <x v="3"/>
    <d v="2010-01-31T00:00:00"/>
    <d v="2010-03-26T00:00:00"/>
    <x v="2"/>
    <x v="2"/>
    <x v="3"/>
    <x v="19"/>
    <x v="0"/>
    <m/>
    <m/>
    <x v="95"/>
    <m/>
    <m/>
    <x v="0"/>
    <x v="0"/>
    <n v="25000"/>
    <m/>
    <x v="1"/>
    <n v="0"/>
    <x v="0"/>
    <x v="0"/>
    <m/>
    <m/>
    <x v="0"/>
    <m/>
    <x v="0"/>
    <m/>
    <x v="5"/>
    <x v="8"/>
    <s v="C"/>
    <x v="3"/>
    <x v="0"/>
    <x v="108"/>
    <s v=""/>
    <x v="4"/>
    <x v="2"/>
    <x v="4"/>
    <x v="3"/>
    <x v="0"/>
    <d v="1899-12-30T00:00:00"/>
    <d v="1899-12-30T00:00:00"/>
  </r>
  <r>
    <n v="1234"/>
    <x v="0"/>
    <x v="75"/>
    <x v="962"/>
    <m/>
    <x v="4"/>
    <m/>
    <m/>
    <x v="1"/>
    <d v="2010-01-04T00:00:00"/>
    <x v="3"/>
    <d v="2010-01-31T00:00:00"/>
    <d v="2010-03-26T00:00:00"/>
    <x v="2"/>
    <x v="2"/>
    <x v="3"/>
    <x v="19"/>
    <x v="0"/>
    <m/>
    <m/>
    <x v="95"/>
    <m/>
    <m/>
    <x v="0"/>
    <x v="0"/>
    <n v="25000"/>
    <m/>
    <x v="1"/>
    <n v="0"/>
    <x v="0"/>
    <x v="0"/>
    <m/>
    <m/>
    <x v="0"/>
    <m/>
    <x v="0"/>
    <m/>
    <x v="5"/>
    <x v="8"/>
    <s v="C"/>
    <x v="3"/>
    <x v="0"/>
    <x v="108"/>
    <s v=""/>
    <x v="4"/>
    <x v="2"/>
    <x v="4"/>
    <x v="3"/>
    <x v="0"/>
    <d v="1899-12-30T00:00:00"/>
    <d v="1899-12-30T00:00:00"/>
  </r>
  <r>
    <n v="1235"/>
    <x v="0"/>
    <x v="216"/>
    <x v="963"/>
    <m/>
    <x v="4"/>
    <m/>
    <m/>
    <x v="4"/>
    <d v="2013-08-01T00:00:00"/>
    <x v="11"/>
    <d v="2013-01-31T00:00:00"/>
    <d v="2014-02-14T00:00:00"/>
    <x v="16"/>
    <x v="1"/>
    <x v="2"/>
    <x v="17"/>
    <x v="0"/>
    <m/>
    <d v="2015-01-21T00:00:00"/>
    <x v="78"/>
    <m/>
    <m/>
    <x v="0"/>
    <x v="0"/>
    <n v="12500"/>
    <m/>
    <x v="1"/>
    <n v="0"/>
    <x v="0"/>
    <x v="0"/>
    <m/>
    <m/>
    <x v="0"/>
    <m/>
    <x v="0"/>
    <d v="2015-02-03T00:00:00"/>
    <x v="5"/>
    <x v="7"/>
    <s v="P"/>
    <x v="3"/>
    <x v="0"/>
    <x v="108"/>
    <s v=""/>
    <x v="4"/>
    <x v="2"/>
    <x v="4"/>
    <x v="3"/>
    <x v="0"/>
    <d v="1899-12-30T00:00:00"/>
    <d v="1899-12-30T00:00:00"/>
  </r>
  <r>
    <n v="1236"/>
    <x v="0"/>
    <x v="75"/>
    <x v="485"/>
    <m/>
    <x v="4"/>
    <m/>
    <m/>
    <x v="1"/>
    <d v="2013-01-31T00:00:00"/>
    <x v="11"/>
    <d v="2014-01-31T00:00:00"/>
    <d v="2014-03-28T00:00:00"/>
    <x v="16"/>
    <x v="2"/>
    <x v="3"/>
    <x v="19"/>
    <x v="0"/>
    <m/>
    <d v="2014-04-14T00:00:00"/>
    <x v="95"/>
    <m/>
    <m/>
    <x v="0"/>
    <x v="0"/>
    <n v="25000"/>
    <m/>
    <x v="1"/>
    <n v="0"/>
    <x v="0"/>
    <x v="0"/>
    <m/>
    <m/>
    <x v="0"/>
    <m/>
    <x v="0"/>
    <d v="2014-05-06T00:00:00"/>
    <x v="5"/>
    <x v="8"/>
    <s v="T"/>
    <x v="3"/>
    <x v="0"/>
    <x v="108"/>
    <s v=""/>
    <x v="4"/>
    <x v="2"/>
    <x v="4"/>
    <x v="3"/>
    <x v="0"/>
    <d v="1899-12-30T00:00:00"/>
    <d v="1899-12-30T00:00:00"/>
  </r>
  <r>
    <n v="1237"/>
    <x v="0"/>
    <x v="75"/>
    <x v="964"/>
    <m/>
    <x v="4"/>
    <m/>
    <m/>
    <x v="1"/>
    <d v="2013-01-31T00:00:00"/>
    <x v="11"/>
    <d v="2014-01-31T00:00:00"/>
    <d v="2014-03-28T00:00:00"/>
    <x v="16"/>
    <x v="2"/>
    <x v="3"/>
    <x v="19"/>
    <x v="0"/>
    <m/>
    <m/>
    <x v="95"/>
    <m/>
    <m/>
    <x v="0"/>
    <x v="0"/>
    <n v="25000"/>
    <m/>
    <x v="1"/>
    <n v="0"/>
    <x v="0"/>
    <x v="0"/>
    <m/>
    <m/>
    <x v="0"/>
    <m/>
    <x v="0"/>
    <d v="2014-05-06T00:00:00"/>
    <x v="5"/>
    <x v="8"/>
    <s v="C"/>
    <x v="3"/>
    <x v="0"/>
    <x v="108"/>
    <s v=""/>
    <x v="4"/>
    <x v="2"/>
    <x v="4"/>
    <x v="3"/>
    <x v="0"/>
    <d v="1899-12-30T00:00:00"/>
    <d v="1899-12-30T00:00:00"/>
  </r>
  <r>
    <n v="1238"/>
    <x v="0"/>
    <x v="75"/>
    <x v="165"/>
    <m/>
    <x v="4"/>
    <m/>
    <m/>
    <x v="1"/>
    <d v="2013-01-31T00:00:00"/>
    <x v="11"/>
    <d v="2014-01-31T00:00:00"/>
    <d v="2014-03-28T00:00:00"/>
    <x v="16"/>
    <x v="2"/>
    <x v="3"/>
    <x v="19"/>
    <x v="0"/>
    <m/>
    <m/>
    <x v="95"/>
    <m/>
    <m/>
    <x v="0"/>
    <x v="0"/>
    <n v="25000"/>
    <m/>
    <x v="1"/>
    <n v="0"/>
    <x v="0"/>
    <x v="0"/>
    <m/>
    <m/>
    <x v="0"/>
    <m/>
    <x v="0"/>
    <d v="2014-05-06T00:00:00"/>
    <x v="5"/>
    <x v="8"/>
    <s v="C"/>
    <x v="3"/>
    <x v="0"/>
    <x v="108"/>
    <s v=""/>
    <x v="4"/>
    <x v="2"/>
    <x v="4"/>
    <x v="3"/>
    <x v="0"/>
    <d v="1899-12-30T00:00:00"/>
    <d v="1899-12-30T00:00:00"/>
  </r>
  <r>
    <n v="1239"/>
    <x v="0"/>
    <x v="75"/>
    <x v="166"/>
    <m/>
    <x v="4"/>
    <m/>
    <m/>
    <x v="1"/>
    <d v="2013-01-31T00:00:00"/>
    <x v="11"/>
    <d v="2014-01-31T00:00:00"/>
    <d v="2014-03-28T00:00:00"/>
    <x v="16"/>
    <x v="2"/>
    <x v="3"/>
    <x v="19"/>
    <x v="0"/>
    <m/>
    <m/>
    <x v="95"/>
    <m/>
    <m/>
    <x v="0"/>
    <x v="0"/>
    <n v="25000"/>
    <m/>
    <x v="1"/>
    <n v="0"/>
    <x v="0"/>
    <x v="0"/>
    <m/>
    <m/>
    <x v="0"/>
    <m/>
    <x v="0"/>
    <d v="2014-05-06T00:00:00"/>
    <x v="5"/>
    <x v="8"/>
    <s v="C"/>
    <x v="3"/>
    <x v="0"/>
    <x v="108"/>
    <s v=""/>
    <x v="4"/>
    <x v="2"/>
    <x v="4"/>
    <x v="3"/>
    <x v="0"/>
    <d v="1899-12-30T00:00:00"/>
    <d v="1899-12-30T00:00:00"/>
  </r>
  <r>
    <n v="1240"/>
    <x v="0"/>
    <x v="75"/>
    <x v="965"/>
    <m/>
    <x v="4"/>
    <m/>
    <m/>
    <x v="1"/>
    <d v="2013-01-31T00:00:00"/>
    <x v="11"/>
    <d v="2014-01-31T00:00:00"/>
    <d v="2014-03-28T00:00:00"/>
    <x v="16"/>
    <x v="2"/>
    <x v="3"/>
    <x v="19"/>
    <x v="0"/>
    <m/>
    <m/>
    <x v="95"/>
    <m/>
    <m/>
    <x v="0"/>
    <x v="0"/>
    <n v="25000"/>
    <m/>
    <x v="1"/>
    <n v="0"/>
    <x v="0"/>
    <x v="0"/>
    <m/>
    <m/>
    <x v="0"/>
    <m/>
    <x v="0"/>
    <d v="2014-05-06T00:00:00"/>
    <x v="5"/>
    <x v="8"/>
    <s v="C"/>
    <x v="3"/>
    <x v="0"/>
    <x v="108"/>
    <s v=""/>
    <x v="4"/>
    <x v="2"/>
    <x v="4"/>
    <x v="3"/>
    <x v="0"/>
    <d v="1899-12-30T00:00:00"/>
    <d v="1899-12-30T00:00:00"/>
  </r>
  <r>
    <n v="1241"/>
    <x v="1"/>
    <x v="101"/>
    <x v="966"/>
    <m/>
    <x v="4"/>
    <m/>
    <m/>
    <x v="2"/>
    <d v="2013-01-31T00:00:00"/>
    <x v="11"/>
    <d v="2013-10-31T00:00:00"/>
    <d v="2014-03-21T00:00:00"/>
    <x v="16"/>
    <x v="0"/>
    <x v="0"/>
    <x v="4"/>
    <x v="0"/>
    <m/>
    <d v="2014-04-14T00:00:00"/>
    <x v="36"/>
    <m/>
    <m/>
    <x v="0"/>
    <x v="0"/>
    <n v="80000"/>
    <n v="8000"/>
    <x v="1"/>
    <n v="8000"/>
    <x v="1"/>
    <x v="0"/>
    <d v="2013-12-23T00:00:00"/>
    <m/>
    <x v="0"/>
    <m/>
    <x v="0"/>
    <d v="2014-06-09T00:00:00"/>
    <x v="3"/>
    <x v="0"/>
    <s v="A"/>
    <x v="3"/>
    <x v="0"/>
    <x v="153"/>
    <s v=""/>
    <x v="4"/>
    <x v="2"/>
    <x v="2"/>
    <x v="3"/>
    <x v="0"/>
    <d v="2013-12-23T00:00:00"/>
    <d v="1899-12-30T00:00:00"/>
  </r>
  <r>
    <n v="1242"/>
    <x v="1"/>
    <x v="6"/>
    <x v="819"/>
    <m/>
    <x v="4"/>
    <m/>
    <m/>
    <x v="2"/>
    <d v="2013-01-31T00:00:00"/>
    <x v="11"/>
    <d v="2013-10-31T00:00:00"/>
    <d v="2014-03-21T00:00:00"/>
    <x v="16"/>
    <x v="0"/>
    <x v="0"/>
    <x v="4"/>
    <x v="0"/>
    <m/>
    <d v="2014-04-14T00:00:00"/>
    <x v="36"/>
    <m/>
    <m/>
    <x v="0"/>
    <x v="0"/>
    <n v="80000"/>
    <n v="8000"/>
    <x v="1"/>
    <n v="8000"/>
    <x v="3"/>
    <x v="0"/>
    <d v="2014-05-20T00:00:00"/>
    <m/>
    <x v="0"/>
    <m/>
    <x v="0"/>
    <d v="2014-10-06T00:00:00"/>
    <x v="3"/>
    <x v="2"/>
    <s v="C"/>
    <x v="3"/>
    <x v="0"/>
    <x v="119"/>
    <s v=""/>
    <x v="4"/>
    <x v="2"/>
    <x v="2"/>
    <x v="3"/>
    <x v="0"/>
    <d v="2014-05-20T00:00:00"/>
    <d v="1899-12-30T00:00:00"/>
  </r>
  <r>
    <n v="1243"/>
    <x v="1"/>
    <x v="13"/>
    <x v="967"/>
    <m/>
    <x v="4"/>
    <m/>
    <m/>
    <x v="2"/>
    <d v="2013-01-31T00:00:00"/>
    <x v="11"/>
    <d v="2013-10-31T00:00:00"/>
    <d v="2014-03-21T00:00:00"/>
    <x v="16"/>
    <x v="0"/>
    <x v="0"/>
    <x v="4"/>
    <x v="0"/>
    <m/>
    <d v="2014-05-15T00:00:00"/>
    <x v="36"/>
    <m/>
    <m/>
    <x v="0"/>
    <x v="0"/>
    <n v="80000"/>
    <n v="8000"/>
    <x v="1"/>
    <n v="8000"/>
    <x v="3"/>
    <x v="0"/>
    <m/>
    <m/>
    <x v="0"/>
    <m/>
    <x v="0"/>
    <d v="2015-03-02T00:00:00"/>
    <x v="3"/>
    <x v="4"/>
    <s v="E"/>
    <x v="3"/>
    <x v="0"/>
    <x v="387"/>
    <s v=""/>
    <x v="4"/>
    <x v="2"/>
    <x v="2"/>
    <x v="3"/>
    <x v="0"/>
    <d v="1899-12-30T00:00:00"/>
    <d v="1899-12-30T00:00:00"/>
  </r>
  <r>
    <n v="1244"/>
    <x v="1"/>
    <x v="29"/>
    <x v="968"/>
    <m/>
    <x v="4"/>
    <m/>
    <m/>
    <x v="2"/>
    <d v="2013-01-31T00:00:00"/>
    <x v="11"/>
    <d v="2013-10-31T00:00:00"/>
    <d v="2014-03-21T00:00:00"/>
    <x v="16"/>
    <x v="0"/>
    <x v="0"/>
    <x v="4"/>
    <x v="0"/>
    <m/>
    <d v="2014-05-15T00:00:00"/>
    <x v="4"/>
    <m/>
    <m/>
    <x v="0"/>
    <x v="0"/>
    <n v="70000"/>
    <n v="33000"/>
    <x v="1"/>
    <n v="33000"/>
    <x v="1"/>
    <x v="0"/>
    <m/>
    <m/>
    <x v="0"/>
    <m/>
    <x v="0"/>
    <d v="2014-11-06T00:00:00"/>
    <x v="3"/>
    <x v="11"/>
    <s v="E"/>
    <x v="3"/>
    <x v="0"/>
    <x v="388"/>
    <s v=""/>
    <x v="4"/>
    <x v="2"/>
    <x v="2"/>
    <x v="3"/>
    <x v="0"/>
    <d v="1899-12-30T00:00:00"/>
    <d v="1899-12-30T00:00:00"/>
  </r>
  <r>
    <n v="1245"/>
    <x v="1"/>
    <x v="32"/>
    <x v="969"/>
    <m/>
    <x v="4"/>
    <m/>
    <m/>
    <x v="2"/>
    <d v="2013-01-31T00:00:00"/>
    <x v="11"/>
    <d v="2013-10-31T00:00:00"/>
    <d v="2014-03-21T00:00:00"/>
    <x v="16"/>
    <x v="0"/>
    <x v="0"/>
    <x v="4"/>
    <x v="0"/>
    <m/>
    <d v="2014-05-15T00:00:00"/>
    <x v="4"/>
    <m/>
    <m/>
    <x v="0"/>
    <x v="0"/>
    <n v="70000"/>
    <n v="4000"/>
    <x v="1"/>
    <n v="4000"/>
    <x v="1"/>
    <x v="0"/>
    <d v="2014-10-13T00:00:00"/>
    <m/>
    <x v="0"/>
    <m/>
    <x v="0"/>
    <d v="2015-02-03T00:00:00"/>
    <x v="3"/>
    <x v="13"/>
    <s v="O"/>
    <x v="3"/>
    <x v="0"/>
    <x v="75"/>
    <s v=""/>
    <x v="4"/>
    <x v="2"/>
    <x v="2"/>
    <x v="3"/>
    <x v="0"/>
    <d v="2014-10-13T00:00:00"/>
    <d v="1899-12-30T00:00:00"/>
  </r>
  <r>
    <n v="1246"/>
    <x v="0"/>
    <x v="22"/>
    <x v="970"/>
    <n v="12431"/>
    <x v="40"/>
    <s v="Locarno"/>
    <s v="Cem Mil Cigarros"/>
    <x v="1"/>
    <d v="2014-03-27T00:00:00"/>
    <x v="18"/>
    <d v="2014-07-24T00:00:00"/>
    <d v="2014-07-25T00:00:00"/>
    <x v="16"/>
    <x v="3"/>
    <x v="4"/>
    <x v="25"/>
    <x v="0"/>
    <m/>
    <m/>
    <x v="122"/>
    <m/>
    <m/>
    <x v="0"/>
    <x v="0"/>
    <n v="5000"/>
    <m/>
    <x v="1"/>
    <n v="0"/>
    <x v="0"/>
    <x v="0"/>
    <m/>
    <m/>
    <x v="0"/>
    <m/>
    <x v="0"/>
    <d v="2014-11-06T00:00:00"/>
    <x v="5"/>
    <x v="9"/>
    <s v="C"/>
    <x v="3"/>
    <x v="0"/>
    <x v="108"/>
    <s v="Pedro Costa"/>
    <x v="36"/>
    <x v="1"/>
    <x v="4"/>
    <x v="3"/>
    <x v="0"/>
    <d v="1899-12-30T00:00:00"/>
    <d v="1899-12-30T00:00:00"/>
  </r>
  <r>
    <n v="1247"/>
    <x v="1"/>
    <x v="180"/>
    <x v="122"/>
    <m/>
    <x v="4"/>
    <s v="Balas e Bolinhos - O Último Capítulo"/>
    <m/>
    <x v="1"/>
    <d v="2013-01-31T00:00:00"/>
    <x v="11"/>
    <d v="2013-02-14T00:00:00"/>
    <d v="2013-03-21T00:00:00"/>
    <x v="11"/>
    <x v="0"/>
    <x v="0"/>
    <x v="14"/>
    <x v="0"/>
    <m/>
    <m/>
    <x v="297"/>
    <m/>
    <m/>
    <x v="0"/>
    <x v="0"/>
    <n v="154625"/>
    <n v="154625"/>
    <x v="1"/>
    <n v="154625"/>
    <x v="12"/>
    <x v="0"/>
    <m/>
    <m/>
    <x v="0"/>
    <m/>
    <x v="0"/>
    <m/>
    <x v="5"/>
    <x v="7"/>
    <s v="A"/>
    <x v="3"/>
    <x v="0"/>
    <x v="108"/>
    <s v=""/>
    <x v="4"/>
    <x v="2"/>
    <x v="4"/>
    <x v="3"/>
    <x v="0"/>
    <d v="1899-12-30T00:00:00"/>
    <d v="1899-12-30T00:00:00"/>
  </r>
  <r>
    <n v="1248"/>
    <x v="0"/>
    <x v="217"/>
    <x v="971"/>
    <n v="13323"/>
    <x v="559"/>
    <s v="7 Pecados Rurais"/>
    <m/>
    <x v="1"/>
    <d v="2014-03-27T00:00:00"/>
    <x v="18"/>
    <d v="2014-04-29T00:00:00"/>
    <d v="2014-07-23T00:00:00"/>
    <x v="16"/>
    <x v="0"/>
    <x v="0"/>
    <x v="14"/>
    <x v="0"/>
    <m/>
    <d v="2014-09-29T00:00:00"/>
    <x v="298"/>
    <m/>
    <m/>
    <x v="0"/>
    <x v="0"/>
    <n v="306933.36"/>
    <n v="30693.34"/>
    <x v="1"/>
    <n v="30693.34"/>
    <x v="4"/>
    <x v="0"/>
    <m/>
    <m/>
    <x v="0"/>
    <d v="2014-12-05T00:00:00"/>
    <x v="0"/>
    <d v="2014-12-05T00:00:00"/>
    <x v="0"/>
    <x v="2"/>
    <s v="V"/>
    <x v="4"/>
    <x v="0"/>
    <x v="176"/>
    <s v="Edgar Pêra"/>
    <x v="68"/>
    <x v="1"/>
    <x v="0"/>
    <x v="0"/>
    <x v="0"/>
    <d v="1899-12-30T00:00:00"/>
    <d v="1899-12-30T00:00:00"/>
  </r>
  <r>
    <n v="1249"/>
    <x v="1"/>
    <x v="8"/>
    <x v="122"/>
    <m/>
    <x v="4"/>
    <s v="Comboio Nocturno para Lisboa"/>
    <m/>
    <x v="1"/>
    <d v="2014-03-27T00:00:00"/>
    <x v="18"/>
    <d v="2014-04-29T00:00:00"/>
    <d v="2014-07-23T00:00:00"/>
    <x v="16"/>
    <x v="0"/>
    <x v="0"/>
    <x v="14"/>
    <x v="0"/>
    <m/>
    <m/>
    <x v="299"/>
    <m/>
    <m/>
    <x v="0"/>
    <x v="0"/>
    <n v="145074.57"/>
    <n v="145074.57"/>
    <x v="1"/>
    <n v="145074.57"/>
    <x v="12"/>
    <x v="0"/>
    <m/>
    <m/>
    <x v="0"/>
    <m/>
    <x v="0"/>
    <d v="2014-10-06T00:00:00"/>
    <x v="0"/>
    <x v="2"/>
    <s v="A"/>
    <x v="3"/>
    <x v="0"/>
    <x v="108"/>
    <s v=""/>
    <x v="4"/>
    <x v="2"/>
    <x v="0"/>
    <x v="0"/>
    <x v="0"/>
    <d v="1899-12-30T00:00:00"/>
    <d v="1899-12-30T00:00:00"/>
  </r>
  <r>
    <n v="1250"/>
    <x v="1"/>
    <x v="19"/>
    <x v="122"/>
    <m/>
    <x v="4"/>
    <s v="RPG"/>
    <m/>
    <x v="1"/>
    <d v="2014-03-27T00:00:00"/>
    <x v="18"/>
    <d v="2014-04-29T00:00:00"/>
    <d v="2014-07-23T00:00:00"/>
    <x v="16"/>
    <x v="0"/>
    <x v="0"/>
    <x v="14"/>
    <x v="0"/>
    <m/>
    <m/>
    <x v="300"/>
    <m/>
    <m/>
    <x v="0"/>
    <x v="0"/>
    <n v="23983.13"/>
    <n v="23983.13"/>
    <x v="1"/>
    <n v="23983.13"/>
    <x v="12"/>
    <x v="0"/>
    <m/>
    <m/>
    <x v="0"/>
    <m/>
    <x v="0"/>
    <d v="2014-10-06T00:00:00"/>
    <x v="0"/>
    <x v="8"/>
    <s v="A"/>
    <x v="3"/>
    <x v="0"/>
    <x v="108"/>
    <s v=""/>
    <x v="4"/>
    <x v="2"/>
    <x v="0"/>
    <x v="0"/>
    <x v="0"/>
    <d v="1899-12-30T00:00:00"/>
    <d v="1899-12-30T00:00:00"/>
  </r>
  <r>
    <n v="1251"/>
    <x v="1"/>
    <x v="23"/>
    <x v="746"/>
    <m/>
    <x v="4"/>
    <s v="TABU"/>
    <m/>
    <x v="1"/>
    <d v="2014-03-27T00:00:00"/>
    <x v="18"/>
    <d v="2014-04-29T00:00:00"/>
    <d v="2014-07-23T00:00:00"/>
    <x v="16"/>
    <x v="0"/>
    <x v="0"/>
    <x v="14"/>
    <x v="0"/>
    <m/>
    <d v="2014-07-30T00:00:00"/>
    <x v="301"/>
    <m/>
    <m/>
    <x v="0"/>
    <x v="0"/>
    <n v="224008.94"/>
    <n v="7400.88"/>
    <x v="1"/>
    <n v="7400.88"/>
    <x v="3"/>
    <x v="0"/>
    <d v="2014-07-30T00:00:00"/>
    <m/>
    <x v="0"/>
    <m/>
    <x v="0"/>
    <d v="2014-10-06T00:00:00"/>
    <x v="0"/>
    <x v="9"/>
    <s v="A"/>
    <x v="3"/>
    <x v="0"/>
    <x v="47"/>
    <s v=""/>
    <x v="4"/>
    <x v="2"/>
    <x v="0"/>
    <x v="0"/>
    <x v="0"/>
    <d v="2014-07-30T00:00:00"/>
    <d v="1899-12-30T00:00:00"/>
  </r>
  <r>
    <n v="1252"/>
    <x v="1"/>
    <x v="23"/>
    <x v="972"/>
    <m/>
    <x v="4"/>
    <m/>
    <m/>
    <x v="1"/>
    <d v="2014-03-27T00:00:00"/>
    <x v="18"/>
    <d v="2014-05-19T00:00:00"/>
    <d v="2014-09-26T00:00:00"/>
    <x v="16"/>
    <x v="0"/>
    <x v="0"/>
    <x v="6"/>
    <x v="0"/>
    <m/>
    <m/>
    <x v="302"/>
    <m/>
    <m/>
    <x v="0"/>
    <x v="0"/>
    <n v="117813.38"/>
    <n v="117813.38"/>
    <x v="1"/>
    <n v="117813.38"/>
    <x v="12"/>
    <x v="0"/>
    <m/>
    <m/>
    <x v="0"/>
    <m/>
    <x v="0"/>
    <d v="2014-10-17T00:00:00"/>
    <x v="0"/>
    <x v="9"/>
    <s v="U"/>
    <x v="3"/>
    <x v="0"/>
    <x v="389"/>
    <s v=""/>
    <x v="4"/>
    <x v="2"/>
    <x v="0"/>
    <x v="0"/>
    <x v="0"/>
    <d v="1899-12-30T00:00:00"/>
    <d v="1899-12-30T00:00:00"/>
  </r>
  <r>
    <n v="1253"/>
    <x v="1"/>
    <x v="42"/>
    <x v="973"/>
    <m/>
    <x v="4"/>
    <m/>
    <m/>
    <x v="1"/>
    <d v="2014-03-27T00:00:00"/>
    <x v="18"/>
    <d v="2014-05-19T00:00:00"/>
    <d v="2014-09-26T00:00:00"/>
    <x v="16"/>
    <x v="0"/>
    <x v="0"/>
    <x v="6"/>
    <x v="0"/>
    <m/>
    <m/>
    <x v="302"/>
    <m/>
    <m/>
    <x v="0"/>
    <x v="0"/>
    <n v="117813.38"/>
    <n v="117813.38"/>
    <x v="1"/>
    <n v="117813.38"/>
    <x v="12"/>
    <x v="0"/>
    <m/>
    <m/>
    <x v="0"/>
    <m/>
    <x v="0"/>
    <d v="2014-10-17T00:00:00"/>
    <x v="0"/>
    <x v="14"/>
    <s v="U"/>
    <x v="3"/>
    <x v="0"/>
    <x v="390"/>
    <s v=""/>
    <x v="4"/>
    <x v="2"/>
    <x v="0"/>
    <x v="0"/>
    <x v="0"/>
    <d v="1899-12-30T00:00:00"/>
    <d v="1899-12-30T00:00:00"/>
  </r>
  <r>
    <n v="1254"/>
    <x v="0"/>
    <x v="109"/>
    <x v="266"/>
    <m/>
    <x v="4"/>
    <m/>
    <m/>
    <x v="1"/>
    <d v="2014-03-27T00:00:00"/>
    <x v="18"/>
    <d v="2014-06-26T00:00:00"/>
    <d v="2014-12-23T00:00:00"/>
    <x v="16"/>
    <x v="0"/>
    <x v="0"/>
    <x v="11"/>
    <x v="0"/>
    <m/>
    <m/>
    <x v="138"/>
    <m/>
    <m/>
    <x v="0"/>
    <x v="0"/>
    <n v="1000000"/>
    <m/>
    <x v="1"/>
    <n v="0"/>
    <x v="10"/>
    <x v="0"/>
    <m/>
    <m/>
    <x v="0"/>
    <m/>
    <x v="0"/>
    <d v="2014-10-17T00:00:00"/>
    <x v="0"/>
    <x v="21"/>
    <s v="C"/>
    <x v="3"/>
    <x v="0"/>
    <x v="108"/>
    <s v=""/>
    <x v="4"/>
    <x v="2"/>
    <x v="0"/>
    <x v="0"/>
    <x v="0"/>
    <d v="1899-12-30T00:00:00"/>
    <d v="1899-12-30T00:00:00"/>
  </r>
  <r>
    <n v="1255"/>
    <x v="0"/>
    <x v="109"/>
    <x v="266"/>
    <m/>
    <x v="4"/>
    <m/>
    <m/>
    <x v="0"/>
    <d v="2014-03-27T00:00:00"/>
    <x v="18"/>
    <d v="2014-05-29T00:00:00"/>
    <d v="2015-01-19T00:00:00"/>
    <x v="20"/>
    <x v="0"/>
    <x v="0"/>
    <x v="0"/>
    <x v="0"/>
    <m/>
    <m/>
    <x v="139"/>
    <m/>
    <m/>
    <x v="0"/>
    <x v="0"/>
    <n v="1200000"/>
    <m/>
    <x v="1"/>
    <n v="0"/>
    <x v="10"/>
    <x v="0"/>
    <m/>
    <m/>
    <x v="0"/>
    <m/>
    <x v="0"/>
    <d v="2014-10-17T00:00:00"/>
    <x v="0"/>
    <x v="21"/>
    <s v="C"/>
    <x v="3"/>
    <x v="0"/>
    <x v="108"/>
    <s v=""/>
    <x v="4"/>
    <x v="2"/>
    <x v="0"/>
    <x v="0"/>
    <x v="0"/>
    <d v="1899-12-30T00:00:00"/>
    <d v="1899-12-30T00:00:00"/>
  </r>
  <r>
    <n v="1256"/>
    <x v="2"/>
    <x v="109"/>
    <x v="266"/>
    <m/>
    <x v="4"/>
    <m/>
    <m/>
    <x v="2"/>
    <d v="2014-03-27T00:00:00"/>
    <x v="18"/>
    <d v="2014-10-16T00:00:00"/>
    <d v="2015-03-30T00:00:00"/>
    <x v="20"/>
    <x v="0"/>
    <x v="0"/>
    <x v="0"/>
    <x v="0"/>
    <m/>
    <m/>
    <x v="139"/>
    <m/>
    <m/>
    <x v="0"/>
    <x v="0"/>
    <n v="1200000"/>
    <m/>
    <x v="1"/>
    <n v="0"/>
    <x v="10"/>
    <x v="0"/>
    <m/>
    <m/>
    <x v="0"/>
    <m/>
    <x v="0"/>
    <d v="2014-10-17T00:00:00"/>
    <x v="0"/>
    <x v="21"/>
    <s v="C"/>
    <x v="3"/>
    <x v="0"/>
    <x v="108"/>
    <s v=""/>
    <x v="4"/>
    <x v="2"/>
    <x v="0"/>
    <x v="0"/>
    <x v="0"/>
    <d v="1899-12-30T00:00:00"/>
    <d v="1899-12-30T00:00:00"/>
  </r>
  <r>
    <n v="1257"/>
    <x v="3"/>
    <x v="109"/>
    <x v="266"/>
    <m/>
    <x v="4"/>
    <m/>
    <m/>
    <x v="1"/>
    <d v="2014-03-27T00:00:00"/>
    <x v="18"/>
    <d v="2014-09-18T00:00:00"/>
    <m/>
    <x v="8"/>
    <x v="0"/>
    <x v="0"/>
    <x v="3"/>
    <x v="0"/>
    <m/>
    <m/>
    <x v="46"/>
    <m/>
    <m/>
    <x v="0"/>
    <x v="0"/>
    <n v="630000"/>
    <n v="630000"/>
    <x v="1"/>
    <n v="630000"/>
    <x v="14"/>
    <x v="0"/>
    <m/>
    <m/>
    <x v="0"/>
    <m/>
    <x v="0"/>
    <d v="2014-10-17T00:00:00"/>
    <x v="2"/>
    <x v="21"/>
    <s v="C"/>
    <x v="3"/>
    <x v="2"/>
    <x v="108"/>
    <s v=""/>
    <x v="4"/>
    <x v="2"/>
    <x v="0"/>
    <x v="1"/>
    <x v="0"/>
    <d v="1899-12-30T00:00:00"/>
    <d v="1899-12-30T00:00:00"/>
  </r>
  <r>
    <n v="1258"/>
    <x v="4"/>
    <x v="109"/>
    <x v="266"/>
    <m/>
    <x v="4"/>
    <m/>
    <m/>
    <x v="1"/>
    <d v="2014-03-27T00:00:00"/>
    <x v="18"/>
    <d v="2014-09-25T00:00:00"/>
    <m/>
    <x v="8"/>
    <x v="0"/>
    <x v="0"/>
    <x v="4"/>
    <x v="0"/>
    <m/>
    <m/>
    <x v="303"/>
    <m/>
    <m/>
    <x v="0"/>
    <x v="0"/>
    <n v="800000"/>
    <n v="800000"/>
    <x v="1"/>
    <n v="800000"/>
    <x v="14"/>
    <x v="0"/>
    <m/>
    <m/>
    <x v="0"/>
    <m/>
    <x v="0"/>
    <d v="2014-10-17T00:00:00"/>
    <x v="3"/>
    <x v="21"/>
    <s v="C"/>
    <x v="3"/>
    <x v="2"/>
    <x v="108"/>
    <s v=""/>
    <x v="4"/>
    <x v="2"/>
    <x v="2"/>
    <x v="3"/>
    <x v="0"/>
    <d v="1899-12-30T00:00:00"/>
    <d v="1899-12-30T00:00:00"/>
  </r>
  <r>
    <n v="1259"/>
    <x v="1"/>
    <x v="109"/>
    <x v="266"/>
    <m/>
    <x v="4"/>
    <m/>
    <m/>
    <x v="1"/>
    <d v="2014-03-27T00:00:00"/>
    <x v="18"/>
    <d v="2014-10-02T00:00:00"/>
    <m/>
    <x v="8"/>
    <x v="0"/>
    <x v="0"/>
    <x v="30"/>
    <x v="0"/>
    <m/>
    <m/>
    <x v="138"/>
    <m/>
    <m/>
    <x v="0"/>
    <x v="0"/>
    <n v="1000000"/>
    <n v="1000000"/>
    <x v="1"/>
    <n v="1000000"/>
    <x v="14"/>
    <x v="0"/>
    <m/>
    <m/>
    <x v="0"/>
    <m/>
    <x v="0"/>
    <d v="2014-10-17T00:00:00"/>
    <x v="1"/>
    <x v="21"/>
    <s v="C"/>
    <x v="3"/>
    <x v="2"/>
    <x v="108"/>
    <s v=""/>
    <x v="4"/>
    <x v="2"/>
    <x v="1"/>
    <x v="0"/>
    <x v="0"/>
    <d v="1899-12-30T00:00:00"/>
    <d v="1899-12-30T00:00:00"/>
  </r>
  <r>
    <n v="1260"/>
    <x v="0"/>
    <x v="109"/>
    <x v="266"/>
    <m/>
    <x v="4"/>
    <m/>
    <m/>
    <x v="1"/>
    <d v="2014-03-27T00:00:00"/>
    <x v="18"/>
    <d v="2014-07-03T00:00:00"/>
    <d v="2015-02-03T00:00:00"/>
    <x v="20"/>
    <x v="0"/>
    <x v="0"/>
    <x v="31"/>
    <x v="0"/>
    <m/>
    <m/>
    <x v="266"/>
    <m/>
    <m/>
    <x v="0"/>
    <x v="0"/>
    <n v="750000"/>
    <m/>
    <x v="1"/>
    <n v="0"/>
    <x v="10"/>
    <x v="0"/>
    <m/>
    <m/>
    <x v="0"/>
    <m/>
    <x v="0"/>
    <d v="2014-10-17T00:00:00"/>
    <x v="1"/>
    <x v="21"/>
    <s v="C"/>
    <x v="3"/>
    <x v="0"/>
    <x v="108"/>
    <s v=""/>
    <x v="4"/>
    <x v="2"/>
    <x v="1"/>
    <x v="1"/>
    <x v="0"/>
    <d v="1899-12-30T00:00:00"/>
    <d v="1899-12-30T00:00:00"/>
  </r>
  <r>
    <n v="1261"/>
    <x v="0"/>
    <x v="109"/>
    <x v="266"/>
    <m/>
    <x v="4"/>
    <m/>
    <m/>
    <x v="1"/>
    <d v="2014-03-27T00:00:00"/>
    <x v="18"/>
    <d v="2014-07-17T00:00:00"/>
    <d v="2015-01-19T00:00:00"/>
    <x v="20"/>
    <x v="0"/>
    <x v="0"/>
    <x v="32"/>
    <x v="0"/>
    <m/>
    <m/>
    <x v="137"/>
    <m/>
    <m/>
    <x v="0"/>
    <x v="0"/>
    <n v="400000"/>
    <m/>
    <x v="1"/>
    <n v="0"/>
    <x v="10"/>
    <x v="0"/>
    <m/>
    <m/>
    <x v="0"/>
    <m/>
    <x v="0"/>
    <d v="2014-10-17T00:00:00"/>
    <x v="5"/>
    <x v="21"/>
    <s v="C"/>
    <x v="3"/>
    <x v="0"/>
    <x v="108"/>
    <s v=""/>
    <x v="4"/>
    <x v="2"/>
    <x v="4"/>
    <x v="3"/>
    <x v="0"/>
    <d v="1899-12-30T00:00:00"/>
    <d v="1899-12-30T00:00:00"/>
  </r>
  <r>
    <n v="1262"/>
    <x v="0"/>
    <x v="109"/>
    <x v="266"/>
    <m/>
    <x v="4"/>
    <m/>
    <m/>
    <x v="1"/>
    <d v="2014-03-27T00:00:00"/>
    <x v="18"/>
    <d v="2014-04-29T00:00:00"/>
    <d v="2014-07-23T00:00:00"/>
    <x v="16"/>
    <x v="0"/>
    <x v="0"/>
    <x v="14"/>
    <x v="0"/>
    <m/>
    <m/>
    <x v="34"/>
    <m/>
    <m/>
    <x v="0"/>
    <x v="0"/>
    <n v="700000"/>
    <m/>
    <x v="1"/>
    <n v="0"/>
    <x v="10"/>
    <x v="0"/>
    <m/>
    <m/>
    <x v="0"/>
    <m/>
    <x v="0"/>
    <d v="2014-10-17T00:00:00"/>
    <x v="5"/>
    <x v="21"/>
    <s v="C"/>
    <x v="3"/>
    <x v="0"/>
    <x v="108"/>
    <s v=""/>
    <x v="4"/>
    <x v="2"/>
    <x v="4"/>
    <x v="3"/>
    <x v="0"/>
    <d v="1899-12-30T00:00:00"/>
    <d v="1899-12-30T00:00:00"/>
  </r>
  <r>
    <n v="1263"/>
    <x v="0"/>
    <x v="109"/>
    <x v="266"/>
    <m/>
    <x v="4"/>
    <m/>
    <m/>
    <x v="1"/>
    <d v="2014-03-27T00:00:00"/>
    <x v="18"/>
    <d v="2014-08-13T00:00:00"/>
    <d v="2014-11-24T00:00:00"/>
    <x v="16"/>
    <x v="0"/>
    <x v="0"/>
    <x v="10"/>
    <x v="0"/>
    <m/>
    <m/>
    <x v="0"/>
    <m/>
    <m/>
    <x v="0"/>
    <x v="0"/>
    <n v="600000"/>
    <m/>
    <x v="1"/>
    <n v="0"/>
    <x v="10"/>
    <x v="0"/>
    <m/>
    <m/>
    <x v="0"/>
    <m/>
    <x v="0"/>
    <d v="2014-10-17T00:00:00"/>
    <x v="5"/>
    <x v="21"/>
    <s v="C"/>
    <x v="3"/>
    <x v="0"/>
    <x v="108"/>
    <s v=""/>
    <x v="4"/>
    <x v="2"/>
    <x v="4"/>
    <x v="3"/>
    <x v="0"/>
    <d v="1899-12-30T00:00:00"/>
    <d v="1899-12-30T00:00:00"/>
  </r>
  <r>
    <n v="1264"/>
    <x v="0"/>
    <x v="109"/>
    <x v="266"/>
    <m/>
    <x v="4"/>
    <m/>
    <m/>
    <x v="1"/>
    <d v="2014-03-27T00:00:00"/>
    <x v="18"/>
    <d v="2014-09-11T00:00:00"/>
    <d v="2015-03-31T00:00:00"/>
    <x v="20"/>
    <x v="0"/>
    <x v="0"/>
    <x v="8"/>
    <x v="0"/>
    <m/>
    <m/>
    <x v="27"/>
    <m/>
    <m/>
    <x v="0"/>
    <x v="0"/>
    <n v="500000"/>
    <m/>
    <x v="1"/>
    <n v="0"/>
    <x v="10"/>
    <x v="0"/>
    <m/>
    <m/>
    <x v="0"/>
    <m/>
    <x v="0"/>
    <d v="2014-10-17T00:00:00"/>
    <x v="5"/>
    <x v="21"/>
    <s v="C"/>
    <x v="3"/>
    <x v="0"/>
    <x v="108"/>
    <s v=""/>
    <x v="4"/>
    <x v="2"/>
    <x v="4"/>
    <x v="3"/>
    <x v="0"/>
    <d v="1899-12-30T00:00:00"/>
    <d v="1899-12-30T00:00:00"/>
  </r>
  <r>
    <n v="1265"/>
    <x v="3"/>
    <x v="109"/>
    <x v="266"/>
    <m/>
    <x v="4"/>
    <m/>
    <m/>
    <x v="1"/>
    <d v="2014-03-27T00:00:00"/>
    <x v="18"/>
    <d v="2014-10-09T00:00:00"/>
    <m/>
    <x v="8"/>
    <x v="5"/>
    <x v="7"/>
    <x v="33"/>
    <x v="0"/>
    <m/>
    <m/>
    <x v="304"/>
    <m/>
    <m/>
    <x v="0"/>
    <x v="0"/>
    <n v="230000"/>
    <n v="230000"/>
    <x v="1"/>
    <n v="230000"/>
    <x v="14"/>
    <x v="0"/>
    <m/>
    <m/>
    <x v="0"/>
    <m/>
    <x v="0"/>
    <d v="2014-10-17T00:00:00"/>
    <x v="5"/>
    <x v="21"/>
    <s v="C"/>
    <x v="3"/>
    <x v="2"/>
    <x v="108"/>
    <s v=""/>
    <x v="4"/>
    <x v="2"/>
    <x v="4"/>
    <x v="3"/>
    <x v="0"/>
    <d v="1899-12-30T00:00:00"/>
    <d v="1899-12-30T00:00:00"/>
  </r>
  <r>
    <n v="1266"/>
    <x v="5"/>
    <x v="109"/>
    <x v="266"/>
    <m/>
    <x v="4"/>
    <m/>
    <m/>
    <x v="1"/>
    <d v="2014-03-27T00:00:00"/>
    <x v="18"/>
    <d v="2014-10-30T00:00:00"/>
    <m/>
    <x v="8"/>
    <x v="5"/>
    <x v="0"/>
    <x v="34"/>
    <x v="0"/>
    <m/>
    <m/>
    <x v="305"/>
    <m/>
    <m/>
    <x v="0"/>
    <x v="0"/>
    <n v="2434000"/>
    <n v="2434000"/>
    <x v="1"/>
    <n v="2434000"/>
    <x v="14"/>
    <x v="0"/>
    <m/>
    <m/>
    <x v="0"/>
    <m/>
    <x v="0"/>
    <d v="2014-10-17T00:00:00"/>
    <x v="5"/>
    <x v="21"/>
    <s v="C"/>
    <x v="3"/>
    <x v="2"/>
    <x v="108"/>
    <s v=""/>
    <x v="4"/>
    <x v="2"/>
    <x v="4"/>
    <x v="3"/>
    <x v="0"/>
    <d v="1899-12-30T00:00:00"/>
    <d v="1899-12-30T00:00:00"/>
  </r>
  <r>
    <n v="1267"/>
    <x v="0"/>
    <x v="109"/>
    <x v="266"/>
    <m/>
    <x v="4"/>
    <m/>
    <m/>
    <x v="1"/>
    <d v="2014-03-27T00:00:00"/>
    <x v="18"/>
    <s v=" 19-05-2014"/>
    <d v="2014-09-26T00:00:00"/>
    <x v="16"/>
    <x v="0"/>
    <x v="0"/>
    <x v="6"/>
    <x v="0"/>
    <m/>
    <m/>
    <x v="306"/>
    <m/>
    <m/>
    <x v="0"/>
    <x v="0"/>
    <n v="235626.76"/>
    <m/>
    <x v="1"/>
    <n v="0"/>
    <x v="10"/>
    <x v="0"/>
    <m/>
    <m/>
    <x v="0"/>
    <m/>
    <x v="0"/>
    <d v="2014-10-17T00:00:00"/>
    <x v="5"/>
    <x v="21"/>
    <s v="C"/>
    <x v="3"/>
    <x v="0"/>
    <x v="108"/>
    <s v=""/>
    <x v="4"/>
    <x v="2"/>
    <x v="4"/>
    <x v="3"/>
    <x v="0"/>
    <d v="1899-12-30T00:00:00"/>
    <d v="1899-12-30T00:00:00"/>
  </r>
  <r>
    <n v="1268"/>
    <x v="1"/>
    <x v="18"/>
    <x v="974"/>
    <m/>
    <x v="4"/>
    <m/>
    <m/>
    <x v="1"/>
    <d v="2014-03-27T00:00:00"/>
    <x v="18"/>
    <d v="2014-06-24T00:00:00"/>
    <d v="2014-10-27T00:00:00"/>
    <x v="16"/>
    <x v="2"/>
    <x v="3"/>
    <x v="35"/>
    <x v="0"/>
    <m/>
    <d v="2014-10-30T00:00:00"/>
    <x v="95"/>
    <m/>
    <m/>
    <x v="0"/>
    <x v="0"/>
    <n v="25000"/>
    <n v="10000"/>
    <x v="1"/>
    <n v="10000"/>
    <x v="9"/>
    <x v="0"/>
    <m/>
    <m/>
    <x v="0"/>
    <m/>
    <x v="0"/>
    <d v="2014-11-06T00:00:00"/>
    <x v="5"/>
    <x v="8"/>
    <s v="C"/>
    <x v="3"/>
    <x v="0"/>
    <x v="108"/>
    <s v=""/>
    <x v="4"/>
    <x v="2"/>
    <x v="4"/>
    <x v="3"/>
    <x v="0"/>
    <d v="1899-12-30T00:00:00"/>
    <d v="1899-12-30T00:00:00"/>
  </r>
  <r>
    <n v="1269"/>
    <x v="0"/>
    <x v="75"/>
    <x v="485"/>
    <m/>
    <x v="4"/>
    <m/>
    <m/>
    <x v="1"/>
    <d v="2014-03-27T00:00:00"/>
    <x v="18"/>
    <d v="2014-06-24T00:00:00"/>
    <d v="2014-10-27T00:00:00"/>
    <x v="16"/>
    <x v="2"/>
    <x v="3"/>
    <x v="35"/>
    <x v="0"/>
    <m/>
    <d v="2014-10-30T00:00:00"/>
    <x v="95"/>
    <m/>
    <m/>
    <x v="0"/>
    <x v="0"/>
    <n v="25000"/>
    <m/>
    <x v="1"/>
    <n v="0"/>
    <x v="0"/>
    <x v="0"/>
    <m/>
    <m/>
    <x v="0"/>
    <m/>
    <x v="0"/>
    <d v="2014-11-03T00:00:00"/>
    <x v="5"/>
    <x v="8"/>
    <s v="T"/>
    <x v="3"/>
    <x v="0"/>
    <x v="108"/>
    <s v=""/>
    <x v="4"/>
    <x v="2"/>
    <x v="4"/>
    <x v="3"/>
    <x v="0"/>
    <d v="1899-12-30T00:00:00"/>
    <d v="1899-12-30T00:00:00"/>
  </r>
  <r>
    <n v="1270"/>
    <x v="0"/>
    <x v="75"/>
    <x v="975"/>
    <m/>
    <x v="4"/>
    <m/>
    <m/>
    <x v="1"/>
    <d v="2014-03-27T00:00:00"/>
    <x v="18"/>
    <d v="2014-06-24T00:00:00"/>
    <d v="2014-10-27T00:00:00"/>
    <x v="16"/>
    <x v="2"/>
    <x v="3"/>
    <x v="35"/>
    <x v="0"/>
    <m/>
    <d v="2014-10-29T00:00:00"/>
    <x v="95"/>
    <m/>
    <m/>
    <x v="0"/>
    <x v="0"/>
    <n v="25000"/>
    <m/>
    <x v="1"/>
    <n v="0"/>
    <x v="0"/>
    <x v="0"/>
    <m/>
    <m/>
    <x v="0"/>
    <m/>
    <x v="0"/>
    <d v="2014-11-06T00:00:00"/>
    <x v="5"/>
    <x v="8"/>
    <s v="C"/>
    <x v="3"/>
    <x v="0"/>
    <x v="108"/>
    <s v=""/>
    <x v="4"/>
    <x v="2"/>
    <x v="4"/>
    <x v="3"/>
    <x v="0"/>
    <d v="1899-12-30T00:00:00"/>
    <d v="1899-12-30T00:00:00"/>
  </r>
  <r>
    <n v="1271"/>
    <x v="0"/>
    <x v="75"/>
    <x v="964"/>
    <m/>
    <x v="4"/>
    <m/>
    <m/>
    <x v="1"/>
    <d v="2014-03-27T00:00:00"/>
    <x v="18"/>
    <d v="2014-06-24T00:00:00"/>
    <d v="2014-10-27T00:00:00"/>
    <x v="16"/>
    <x v="2"/>
    <x v="3"/>
    <x v="35"/>
    <x v="0"/>
    <m/>
    <d v="2014-10-29T00:00:00"/>
    <x v="307"/>
    <m/>
    <m/>
    <x v="0"/>
    <x v="0"/>
    <n v="18750"/>
    <m/>
    <x v="1"/>
    <n v="0"/>
    <x v="0"/>
    <x v="0"/>
    <m/>
    <m/>
    <x v="0"/>
    <m/>
    <x v="0"/>
    <d v="2014-11-06T00:00:00"/>
    <x v="5"/>
    <x v="8"/>
    <s v="C"/>
    <x v="3"/>
    <x v="0"/>
    <x v="108"/>
    <s v=""/>
    <x v="4"/>
    <x v="2"/>
    <x v="4"/>
    <x v="3"/>
    <x v="0"/>
    <d v="1899-12-30T00:00:00"/>
    <d v="1899-12-30T00:00:00"/>
  </r>
  <r>
    <n v="1272"/>
    <x v="0"/>
    <x v="75"/>
    <x v="976"/>
    <m/>
    <x v="4"/>
    <m/>
    <m/>
    <x v="1"/>
    <d v="2014-03-27T00:00:00"/>
    <x v="18"/>
    <d v="2014-06-24T00:00:00"/>
    <d v="2014-10-27T00:00:00"/>
    <x v="16"/>
    <x v="2"/>
    <x v="3"/>
    <x v="35"/>
    <x v="0"/>
    <m/>
    <d v="2014-10-29T00:00:00"/>
    <x v="307"/>
    <m/>
    <m/>
    <x v="0"/>
    <x v="0"/>
    <n v="18750"/>
    <m/>
    <x v="1"/>
    <n v="0"/>
    <x v="0"/>
    <x v="0"/>
    <m/>
    <m/>
    <x v="0"/>
    <m/>
    <x v="0"/>
    <d v="2014-11-06T00:00:00"/>
    <x v="5"/>
    <x v="8"/>
    <s v="M"/>
    <x v="3"/>
    <x v="0"/>
    <x v="108"/>
    <s v=""/>
    <x v="4"/>
    <x v="2"/>
    <x v="4"/>
    <x v="3"/>
    <x v="0"/>
    <d v="1899-12-30T00:00:00"/>
    <d v="1899-12-30T00:00:00"/>
  </r>
  <r>
    <n v="1273"/>
    <x v="0"/>
    <x v="75"/>
    <x v="977"/>
    <m/>
    <x v="4"/>
    <m/>
    <m/>
    <x v="1"/>
    <d v="2014-03-27T00:00:00"/>
    <x v="18"/>
    <d v="2014-06-24T00:00:00"/>
    <d v="2014-10-27T00:00:00"/>
    <x v="16"/>
    <x v="2"/>
    <x v="3"/>
    <x v="35"/>
    <x v="0"/>
    <m/>
    <d v="2014-10-29T00:00:00"/>
    <x v="307"/>
    <m/>
    <m/>
    <x v="0"/>
    <x v="0"/>
    <n v="18750"/>
    <m/>
    <x v="1"/>
    <n v="0"/>
    <x v="0"/>
    <x v="0"/>
    <m/>
    <m/>
    <x v="0"/>
    <m/>
    <x v="0"/>
    <d v="2014-11-06T00:00:00"/>
    <x v="5"/>
    <x v="8"/>
    <s v="M"/>
    <x v="3"/>
    <x v="0"/>
    <x v="108"/>
    <s v=""/>
    <x v="4"/>
    <x v="2"/>
    <x v="4"/>
    <x v="3"/>
    <x v="0"/>
    <d v="1899-12-30T00:00:00"/>
    <d v="1899-12-30T00:00:00"/>
  </r>
  <r>
    <n v="1274"/>
    <x v="0"/>
    <x v="75"/>
    <x v="977"/>
    <m/>
    <x v="4"/>
    <m/>
    <m/>
    <x v="1"/>
    <d v="2014-03-27T00:00:00"/>
    <x v="18"/>
    <d v="2014-06-24T00:00:00"/>
    <d v="2014-10-27T00:00:00"/>
    <x v="16"/>
    <x v="2"/>
    <x v="3"/>
    <x v="35"/>
    <x v="0"/>
    <m/>
    <d v="2014-10-29T00:00:00"/>
    <x v="307"/>
    <m/>
    <m/>
    <x v="0"/>
    <x v="0"/>
    <n v="18750"/>
    <m/>
    <x v="1"/>
    <n v="0"/>
    <x v="0"/>
    <x v="0"/>
    <m/>
    <m/>
    <x v="0"/>
    <m/>
    <x v="0"/>
    <d v="2014-11-06T00:00:00"/>
    <x v="5"/>
    <x v="8"/>
    <s v="M"/>
    <x v="3"/>
    <x v="0"/>
    <x v="108"/>
    <s v=""/>
    <x v="4"/>
    <x v="2"/>
    <x v="4"/>
    <x v="3"/>
    <x v="0"/>
    <d v="1899-12-30T00:00:00"/>
    <d v="1899-12-30T00:00:00"/>
  </r>
  <r>
    <n v="1275"/>
    <x v="1"/>
    <x v="18"/>
    <x v="978"/>
    <m/>
    <x v="4"/>
    <m/>
    <m/>
    <x v="1"/>
    <d v="2014-03-27T00:00:00"/>
    <x v="18"/>
    <d v="2014-04-22T00:00:00"/>
    <d v="2014-09-19T00:00:00"/>
    <x v="16"/>
    <x v="1"/>
    <x v="2"/>
    <x v="17"/>
    <x v="0"/>
    <m/>
    <m/>
    <x v="308"/>
    <m/>
    <m/>
    <x v="0"/>
    <x v="0"/>
    <n v="82500"/>
    <n v="82500"/>
    <x v="1"/>
    <n v="82500"/>
    <x v="9"/>
    <x v="0"/>
    <m/>
    <m/>
    <x v="0"/>
    <m/>
    <x v="0"/>
    <d v="2014-11-03T00:00:00"/>
    <x v="5"/>
    <x v="8"/>
    <s v="D"/>
    <x v="3"/>
    <x v="0"/>
    <x v="108"/>
    <s v=""/>
    <x v="4"/>
    <x v="2"/>
    <x v="4"/>
    <x v="3"/>
    <x v="0"/>
    <d v="1899-12-30T00:00:00"/>
    <d v="1899-12-30T00:00:00"/>
  </r>
  <r>
    <n v="1276"/>
    <x v="1"/>
    <x v="49"/>
    <x v="979"/>
    <m/>
    <x v="4"/>
    <m/>
    <m/>
    <x v="1"/>
    <d v="2014-03-27T00:00:00"/>
    <x v="18"/>
    <d v="2014-04-22T00:00:00"/>
    <d v="2014-09-19T00:00:00"/>
    <x v="16"/>
    <x v="1"/>
    <x v="2"/>
    <x v="17"/>
    <x v="0"/>
    <m/>
    <d v="2015-02-03T00:00:00"/>
    <x v="308"/>
    <m/>
    <m/>
    <x v="0"/>
    <x v="0"/>
    <n v="82500"/>
    <n v="41250"/>
    <x v="1"/>
    <n v="41250"/>
    <x v="9"/>
    <x v="0"/>
    <m/>
    <m/>
    <x v="0"/>
    <m/>
    <x v="0"/>
    <d v="2015-04-01T00:00:00"/>
    <x v="5"/>
    <x v="0"/>
    <s v="D"/>
    <x v="3"/>
    <x v="0"/>
    <x v="108"/>
    <s v=""/>
    <x v="4"/>
    <x v="2"/>
    <x v="4"/>
    <x v="3"/>
    <x v="0"/>
    <d v="1899-12-30T00:00:00"/>
    <d v="1899-12-30T00:00:00"/>
  </r>
  <r>
    <n v="1277"/>
    <x v="0"/>
    <x v="50"/>
    <x v="980"/>
    <m/>
    <x v="4"/>
    <m/>
    <m/>
    <x v="1"/>
    <d v="2014-03-27T00:00:00"/>
    <x v="18"/>
    <d v="2014-04-22T00:00:00"/>
    <d v="2014-09-19T00:00:00"/>
    <x v="16"/>
    <x v="1"/>
    <x v="2"/>
    <x v="17"/>
    <x v="0"/>
    <m/>
    <d v="2014-09-24T00:00:00"/>
    <x v="308"/>
    <m/>
    <m/>
    <x v="0"/>
    <x v="0"/>
    <n v="82500"/>
    <m/>
    <x v="1"/>
    <n v="0"/>
    <x v="0"/>
    <x v="0"/>
    <m/>
    <m/>
    <x v="0"/>
    <m/>
    <x v="0"/>
    <d v="2015-03-02T00:00:00"/>
    <x v="5"/>
    <x v="7"/>
    <s v="D"/>
    <x v="3"/>
    <x v="0"/>
    <x v="108"/>
    <s v=""/>
    <x v="4"/>
    <x v="2"/>
    <x v="4"/>
    <x v="3"/>
    <x v="0"/>
    <d v="1899-12-30T00:00:00"/>
    <d v="1899-12-30T00:00:00"/>
  </r>
  <r>
    <n v="1278"/>
    <x v="1"/>
    <x v="216"/>
    <x v="981"/>
    <m/>
    <x v="4"/>
    <m/>
    <m/>
    <x v="1"/>
    <d v="2014-03-27T00:00:00"/>
    <x v="18"/>
    <d v="2014-04-22T00:00:00"/>
    <d v="2014-09-19T00:00:00"/>
    <x v="16"/>
    <x v="1"/>
    <x v="2"/>
    <x v="17"/>
    <x v="0"/>
    <m/>
    <m/>
    <x v="39"/>
    <m/>
    <m/>
    <x v="0"/>
    <x v="0"/>
    <n v="35000"/>
    <n v="35000"/>
    <x v="1"/>
    <n v="35000"/>
    <x v="9"/>
    <x v="0"/>
    <m/>
    <m/>
    <x v="0"/>
    <m/>
    <x v="0"/>
    <d v="2014-11-03T00:00:00"/>
    <x v="5"/>
    <x v="7"/>
    <s v="D"/>
    <x v="3"/>
    <x v="0"/>
    <x v="108"/>
    <s v=""/>
    <x v="4"/>
    <x v="2"/>
    <x v="4"/>
    <x v="3"/>
    <x v="0"/>
    <d v="1899-12-30T00:00:00"/>
    <d v="1899-12-30T00:00:00"/>
  </r>
  <r>
    <n v="1279"/>
    <x v="1"/>
    <x v="218"/>
    <x v="982"/>
    <m/>
    <x v="4"/>
    <m/>
    <m/>
    <x v="1"/>
    <d v="2014-03-27T00:00:00"/>
    <x v="18"/>
    <d v="2014-04-22T00:00:00"/>
    <d v="2014-09-19T00:00:00"/>
    <x v="16"/>
    <x v="1"/>
    <x v="2"/>
    <x v="17"/>
    <x v="0"/>
    <m/>
    <m/>
    <x v="3"/>
    <m/>
    <m/>
    <x v="0"/>
    <x v="0"/>
    <n v="20000"/>
    <n v="20000"/>
    <x v="1"/>
    <n v="20000"/>
    <x v="9"/>
    <x v="0"/>
    <m/>
    <m/>
    <x v="0"/>
    <m/>
    <x v="0"/>
    <d v="2014-11-03T00:00:00"/>
    <x v="5"/>
    <x v="15"/>
    <s v="D"/>
    <x v="3"/>
    <x v="0"/>
    <x v="108"/>
    <s v=""/>
    <x v="4"/>
    <x v="2"/>
    <x v="4"/>
    <x v="3"/>
    <x v="0"/>
    <d v="1899-12-30T00:00:00"/>
    <d v="1899-12-30T00:00:00"/>
  </r>
  <r>
    <n v="1280"/>
    <x v="1"/>
    <x v="188"/>
    <x v="983"/>
    <m/>
    <x v="4"/>
    <m/>
    <m/>
    <x v="1"/>
    <d v="2014-03-27T00:00:00"/>
    <x v="18"/>
    <d v="2014-04-22T00:00:00"/>
    <d v="2014-09-19T00:00:00"/>
    <x v="16"/>
    <x v="1"/>
    <x v="2"/>
    <x v="17"/>
    <x v="0"/>
    <m/>
    <m/>
    <x v="3"/>
    <m/>
    <m/>
    <x v="0"/>
    <x v="0"/>
    <n v="20000"/>
    <n v="20000"/>
    <x v="1"/>
    <n v="20000"/>
    <x v="9"/>
    <x v="0"/>
    <m/>
    <m/>
    <x v="0"/>
    <m/>
    <x v="0"/>
    <d v="2014-11-03T00:00:00"/>
    <x v="5"/>
    <x v="9"/>
    <s v="D"/>
    <x v="3"/>
    <x v="0"/>
    <x v="108"/>
    <s v=""/>
    <x v="4"/>
    <x v="2"/>
    <x v="4"/>
    <x v="3"/>
    <x v="0"/>
    <d v="1899-12-30T00:00:00"/>
    <d v="1899-12-30T00:00:00"/>
  </r>
  <r>
    <n v="1281"/>
    <x v="1"/>
    <x v="14"/>
    <x v="984"/>
    <m/>
    <x v="4"/>
    <m/>
    <m/>
    <x v="1"/>
    <d v="2014-03-27T00:00:00"/>
    <x v="18"/>
    <d v="2014-04-22T00:00:00"/>
    <d v="2014-09-19T00:00:00"/>
    <x v="16"/>
    <x v="1"/>
    <x v="2"/>
    <x v="17"/>
    <x v="0"/>
    <m/>
    <m/>
    <x v="31"/>
    <m/>
    <m/>
    <x v="0"/>
    <x v="0"/>
    <n v="7500"/>
    <n v="7500"/>
    <x v="1"/>
    <n v="7500"/>
    <x v="9"/>
    <x v="0"/>
    <m/>
    <m/>
    <x v="0"/>
    <m/>
    <x v="0"/>
    <d v="2014-11-03T00:00:00"/>
    <x v="5"/>
    <x v="4"/>
    <s v="D"/>
    <x v="3"/>
    <x v="0"/>
    <x v="108"/>
    <s v=""/>
    <x v="4"/>
    <x v="2"/>
    <x v="4"/>
    <x v="3"/>
    <x v="0"/>
    <d v="1899-12-30T00:00:00"/>
    <d v="1899-12-30T00:00:00"/>
  </r>
  <r>
    <n v="1282"/>
    <x v="1"/>
    <x v="59"/>
    <x v="985"/>
    <m/>
    <x v="4"/>
    <m/>
    <m/>
    <x v="1"/>
    <d v="2014-03-27T00:00:00"/>
    <x v="18"/>
    <d v="2014-05-08T00:00:00"/>
    <d v="2014-10-01T00:00:00"/>
    <x v="16"/>
    <x v="2"/>
    <x v="3"/>
    <x v="36"/>
    <x v="0"/>
    <m/>
    <d v="2014-11-03T00:00:00"/>
    <x v="122"/>
    <m/>
    <m/>
    <x v="0"/>
    <x v="0"/>
    <n v="5000"/>
    <n v="6000"/>
    <x v="1"/>
    <n v="6000"/>
    <x v="9"/>
    <x v="0"/>
    <m/>
    <m/>
    <x v="0"/>
    <m/>
    <x v="0"/>
    <d v="2015-02-03T00:00:00"/>
    <x v="5"/>
    <x v="0"/>
    <s v="A"/>
    <x v="3"/>
    <x v="0"/>
    <x v="108"/>
    <s v=""/>
    <x v="4"/>
    <x v="2"/>
    <x v="4"/>
    <x v="3"/>
    <x v="0"/>
    <d v="1899-12-30T00:00:00"/>
    <d v="1899-12-30T00:00:00"/>
  </r>
  <r>
    <n v="1283"/>
    <x v="1"/>
    <x v="60"/>
    <x v="986"/>
    <m/>
    <x v="4"/>
    <m/>
    <m/>
    <x v="1"/>
    <d v="2014-03-27T00:00:00"/>
    <x v="18"/>
    <d v="2014-05-08T00:00:00"/>
    <d v="2014-10-01T00:00:00"/>
    <x v="16"/>
    <x v="2"/>
    <x v="3"/>
    <x v="36"/>
    <x v="0"/>
    <m/>
    <d v="2014-10-29T00:00:00"/>
    <x v="45"/>
    <m/>
    <m/>
    <x v="0"/>
    <x v="0"/>
    <n v="10000"/>
    <n v="2000"/>
    <x v="1"/>
    <n v="2000"/>
    <x v="9"/>
    <x v="0"/>
    <m/>
    <m/>
    <x v="0"/>
    <m/>
    <x v="0"/>
    <d v="2015-02-03T00:00:00"/>
    <x v="5"/>
    <x v="2"/>
    <s v="C"/>
    <x v="3"/>
    <x v="0"/>
    <x v="108"/>
    <s v=""/>
    <x v="4"/>
    <x v="2"/>
    <x v="4"/>
    <x v="3"/>
    <x v="0"/>
    <d v="1899-12-30T00:00:00"/>
    <d v="1899-12-30T00:00:00"/>
  </r>
  <r>
    <n v="1284"/>
    <x v="1"/>
    <x v="65"/>
    <x v="987"/>
    <m/>
    <x v="4"/>
    <m/>
    <m/>
    <x v="1"/>
    <d v="2014-03-27T00:00:00"/>
    <x v="18"/>
    <d v="2014-05-08T00:00:00"/>
    <d v="2014-10-01T00:00:00"/>
    <x v="16"/>
    <x v="2"/>
    <x v="3"/>
    <x v="36"/>
    <x v="0"/>
    <m/>
    <d v="2014-10-29T00:00:00"/>
    <x v="45"/>
    <m/>
    <m/>
    <x v="0"/>
    <x v="0"/>
    <n v="10000"/>
    <n v="6000"/>
    <x v="1"/>
    <n v="6000"/>
    <x v="9"/>
    <x v="0"/>
    <m/>
    <m/>
    <x v="0"/>
    <m/>
    <x v="0"/>
    <d v="2015-02-03T00:00:00"/>
    <x v="5"/>
    <x v="2"/>
    <s v="E"/>
    <x v="3"/>
    <x v="0"/>
    <x v="108"/>
    <s v=""/>
    <x v="4"/>
    <x v="2"/>
    <x v="4"/>
    <x v="3"/>
    <x v="0"/>
    <d v="1899-12-30T00:00:00"/>
    <d v="1899-12-30T00:00:00"/>
  </r>
  <r>
    <n v="1285"/>
    <x v="1"/>
    <x v="67"/>
    <x v="988"/>
    <m/>
    <x v="4"/>
    <m/>
    <m/>
    <x v="1"/>
    <d v="2014-03-27T00:00:00"/>
    <x v="18"/>
    <d v="2014-05-08T00:00:00"/>
    <d v="2014-10-01T00:00:00"/>
    <x v="16"/>
    <x v="2"/>
    <x v="3"/>
    <x v="36"/>
    <x v="0"/>
    <m/>
    <d v="2014-10-29T00:00:00"/>
    <x v="122"/>
    <m/>
    <m/>
    <x v="0"/>
    <x v="0"/>
    <n v="5000"/>
    <n v="1000"/>
    <x v="1"/>
    <n v="1000"/>
    <x v="9"/>
    <x v="0"/>
    <m/>
    <m/>
    <x v="0"/>
    <m/>
    <x v="0"/>
    <d v="2014-12-02T00:00:00"/>
    <x v="5"/>
    <x v="2"/>
    <s v="A"/>
    <x v="3"/>
    <x v="0"/>
    <x v="108"/>
    <s v=""/>
    <x v="4"/>
    <x v="2"/>
    <x v="4"/>
    <x v="3"/>
    <x v="0"/>
    <d v="1899-12-30T00:00:00"/>
    <d v="1899-12-30T00:00:00"/>
  </r>
  <r>
    <n v="1286"/>
    <x v="1"/>
    <x v="61"/>
    <x v="989"/>
    <m/>
    <x v="4"/>
    <m/>
    <m/>
    <x v="1"/>
    <d v="2014-03-27T00:00:00"/>
    <x v="18"/>
    <d v="2014-05-08T00:00:00"/>
    <d v="2014-10-01T00:00:00"/>
    <x v="16"/>
    <x v="2"/>
    <x v="3"/>
    <x v="36"/>
    <x v="0"/>
    <m/>
    <m/>
    <x v="122"/>
    <m/>
    <m/>
    <x v="0"/>
    <x v="0"/>
    <n v="5000"/>
    <n v="5000"/>
    <x v="1"/>
    <n v="5000"/>
    <x v="9"/>
    <x v="0"/>
    <m/>
    <m/>
    <x v="0"/>
    <m/>
    <x v="0"/>
    <d v="2014-11-03T00:00:00"/>
    <x v="5"/>
    <x v="2"/>
    <s v="C"/>
    <x v="3"/>
    <x v="0"/>
    <x v="108"/>
    <s v=""/>
    <x v="4"/>
    <x v="2"/>
    <x v="4"/>
    <x v="3"/>
    <x v="0"/>
    <d v="1899-12-30T00:00:00"/>
    <d v="1899-12-30T00:00:00"/>
  </r>
  <r>
    <n v="1287"/>
    <x v="1"/>
    <x v="73"/>
    <x v="918"/>
    <m/>
    <x v="4"/>
    <m/>
    <m/>
    <x v="1"/>
    <d v="2014-03-27T00:00:00"/>
    <x v="18"/>
    <d v="2014-05-08T00:00:00"/>
    <d v="2014-10-01T00:00:00"/>
    <x v="16"/>
    <x v="2"/>
    <x v="3"/>
    <x v="36"/>
    <x v="0"/>
    <m/>
    <d v="2014-10-29T00:00:00"/>
    <x v="122"/>
    <m/>
    <m/>
    <x v="0"/>
    <x v="0"/>
    <n v="5000"/>
    <n v="1000"/>
    <x v="1"/>
    <n v="1000"/>
    <x v="9"/>
    <x v="0"/>
    <m/>
    <m/>
    <x v="0"/>
    <m/>
    <x v="0"/>
    <d v="2015-01-16T00:00:00"/>
    <x v="5"/>
    <x v="0"/>
    <s v="S"/>
    <x v="3"/>
    <x v="0"/>
    <x v="108"/>
    <s v=""/>
    <x v="4"/>
    <x v="2"/>
    <x v="4"/>
    <x v="3"/>
    <x v="0"/>
    <d v="1899-12-30T00:00:00"/>
    <d v="1899-12-30T00:00:00"/>
  </r>
  <r>
    <n v="1288"/>
    <x v="1"/>
    <x v="71"/>
    <x v="990"/>
    <m/>
    <x v="4"/>
    <m/>
    <m/>
    <x v="1"/>
    <d v="2014-03-27T00:00:00"/>
    <x v="18"/>
    <d v="2014-05-08T00:00:00"/>
    <d v="2014-10-01T00:00:00"/>
    <x v="16"/>
    <x v="2"/>
    <x v="3"/>
    <x v="36"/>
    <x v="0"/>
    <m/>
    <d v="2014-10-29T00:00:00"/>
    <x v="122"/>
    <m/>
    <m/>
    <x v="0"/>
    <x v="0"/>
    <n v="5000"/>
    <n v="1000"/>
    <x v="1"/>
    <n v="1000"/>
    <x v="9"/>
    <x v="0"/>
    <m/>
    <m/>
    <x v="0"/>
    <m/>
    <x v="0"/>
    <d v="2015-01-16T00:00:00"/>
    <x v="5"/>
    <x v="10"/>
    <s v="O"/>
    <x v="3"/>
    <x v="0"/>
    <x v="108"/>
    <s v=""/>
    <x v="4"/>
    <x v="2"/>
    <x v="4"/>
    <x v="3"/>
    <x v="0"/>
    <d v="1899-12-30T00:00:00"/>
    <d v="1899-12-30T00:00:00"/>
  </r>
  <r>
    <n v="1289"/>
    <x v="1"/>
    <x v="55"/>
    <x v="991"/>
    <m/>
    <x v="4"/>
    <m/>
    <m/>
    <x v="1"/>
    <d v="2014-03-27T00:00:00"/>
    <x v="18"/>
    <d v="2014-05-08T00:00:00"/>
    <d v="2014-10-01T00:00:00"/>
    <x v="16"/>
    <x v="2"/>
    <x v="3"/>
    <x v="36"/>
    <x v="0"/>
    <m/>
    <d v="2014-10-29T00:00:00"/>
    <x v="45"/>
    <m/>
    <m/>
    <x v="0"/>
    <x v="0"/>
    <n v="10000"/>
    <n v="2000"/>
    <x v="1"/>
    <n v="2000"/>
    <x v="9"/>
    <x v="0"/>
    <m/>
    <m/>
    <x v="0"/>
    <m/>
    <x v="0"/>
    <d v="2015-04-06T00:00:00"/>
    <x v="5"/>
    <x v="2"/>
    <s v="C"/>
    <x v="3"/>
    <x v="0"/>
    <x v="108"/>
    <s v=""/>
    <x v="4"/>
    <x v="2"/>
    <x v="4"/>
    <x v="3"/>
    <x v="0"/>
    <d v="1899-12-30T00:00:00"/>
    <d v="1899-12-30T00:00:00"/>
  </r>
  <r>
    <n v="1290"/>
    <x v="1"/>
    <x v="63"/>
    <x v="992"/>
    <m/>
    <x v="4"/>
    <m/>
    <m/>
    <x v="1"/>
    <d v="2014-03-27T00:00:00"/>
    <x v="18"/>
    <d v="2014-05-08T00:00:00"/>
    <d v="2014-10-01T00:00:00"/>
    <x v="16"/>
    <x v="2"/>
    <x v="3"/>
    <x v="36"/>
    <x v="0"/>
    <m/>
    <d v="2015-01-28T00:00:00"/>
    <x v="45"/>
    <m/>
    <m/>
    <x v="0"/>
    <x v="0"/>
    <n v="10000"/>
    <n v="10000"/>
    <x v="1"/>
    <n v="10000"/>
    <x v="9"/>
    <x v="0"/>
    <m/>
    <m/>
    <x v="0"/>
    <m/>
    <x v="0"/>
    <d v="2014-11-03T00:00:00"/>
    <x v="5"/>
    <x v="2"/>
    <s v="A"/>
    <x v="3"/>
    <x v="0"/>
    <x v="108"/>
    <s v=""/>
    <x v="4"/>
    <x v="2"/>
    <x v="4"/>
    <x v="3"/>
    <x v="0"/>
    <d v="1899-12-30T00:00:00"/>
    <d v="1899-12-30T00:00:00"/>
  </r>
  <r>
    <n v="1291"/>
    <x v="1"/>
    <x v="54"/>
    <x v="993"/>
    <m/>
    <x v="4"/>
    <m/>
    <m/>
    <x v="1"/>
    <d v="2014-03-27T00:00:00"/>
    <x v="18"/>
    <d v="2014-05-08T00:00:00"/>
    <d v="2014-10-01T00:00:00"/>
    <x v="16"/>
    <x v="2"/>
    <x v="3"/>
    <x v="36"/>
    <x v="0"/>
    <m/>
    <d v="2014-11-03T00:00:00"/>
    <x v="122"/>
    <m/>
    <m/>
    <x v="0"/>
    <x v="0"/>
    <n v="5000"/>
    <n v="1000"/>
    <x v="1"/>
    <n v="1000"/>
    <x v="9"/>
    <x v="0"/>
    <m/>
    <m/>
    <x v="0"/>
    <m/>
    <x v="0"/>
    <d v="2015-01-16T00:00:00"/>
    <x v="5"/>
    <x v="2"/>
    <s v="C"/>
    <x v="3"/>
    <x v="0"/>
    <x v="108"/>
    <s v=""/>
    <x v="4"/>
    <x v="2"/>
    <x v="4"/>
    <x v="3"/>
    <x v="0"/>
    <d v="1899-12-30T00:00:00"/>
    <d v="1899-12-30T00:00:00"/>
  </r>
  <r>
    <n v="1292"/>
    <x v="1"/>
    <x v="57"/>
    <x v="994"/>
    <m/>
    <x v="4"/>
    <m/>
    <m/>
    <x v="1"/>
    <d v="2014-03-27T00:00:00"/>
    <x v="18"/>
    <d v="2014-05-08T00:00:00"/>
    <d v="2014-10-01T00:00:00"/>
    <x v="16"/>
    <x v="2"/>
    <x v="3"/>
    <x v="36"/>
    <x v="0"/>
    <m/>
    <d v="2014-11-10T00:00:00"/>
    <x v="122"/>
    <m/>
    <m/>
    <x v="0"/>
    <x v="0"/>
    <n v="5000"/>
    <n v="996"/>
    <x v="1"/>
    <n v="996"/>
    <x v="9"/>
    <x v="0"/>
    <m/>
    <m/>
    <x v="0"/>
    <m/>
    <x v="0"/>
    <d v="2015-01-16T00:00:00"/>
    <x v="5"/>
    <x v="2"/>
    <s v="C"/>
    <x v="3"/>
    <x v="0"/>
    <x v="108"/>
    <s v=""/>
    <x v="4"/>
    <x v="2"/>
    <x v="4"/>
    <x v="3"/>
    <x v="0"/>
    <d v="1899-12-30T00:00:00"/>
    <d v="1899-12-30T00:00:00"/>
  </r>
  <r>
    <n v="1293"/>
    <x v="1"/>
    <x v="56"/>
    <x v="995"/>
    <m/>
    <x v="4"/>
    <m/>
    <m/>
    <x v="1"/>
    <d v="2014-03-27T00:00:00"/>
    <x v="18"/>
    <d v="2014-05-08T00:00:00"/>
    <d v="2014-10-01T00:00:00"/>
    <x v="16"/>
    <x v="2"/>
    <x v="3"/>
    <x v="36"/>
    <x v="0"/>
    <m/>
    <d v="2014-10-29T00:00:00"/>
    <x v="45"/>
    <m/>
    <m/>
    <x v="0"/>
    <x v="0"/>
    <n v="10000"/>
    <n v="5351.04"/>
    <x v="1"/>
    <n v="5351.04"/>
    <x v="9"/>
    <x v="0"/>
    <m/>
    <m/>
    <x v="0"/>
    <m/>
    <x v="0"/>
    <d v="2015-02-03T00:00:00"/>
    <x v="5"/>
    <x v="2"/>
    <s v="C"/>
    <x v="3"/>
    <x v="0"/>
    <x v="108"/>
    <s v=""/>
    <x v="4"/>
    <x v="2"/>
    <x v="4"/>
    <x v="3"/>
    <x v="0"/>
    <d v="1899-12-30T00:00:00"/>
    <d v="1899-12-30T00:00:00"/>
  </r>
  <r>
    <n v="1294"/>
    <x v="1"/>
    <x v="190"/>
    <x v="996"/>
    <m/>
    <x v="4"/>
    <m/>
    <m/>
    <x v="1"/>
    <d v="2014-03-27T00:00:00"/>
    <x v="18"/>
    <d v="2014-05-08T00:00:00"/>
    <d v="2014-10-01T00:00:00"/>
    <x v="16"/>
    <x v="2"/>
    <x v="3"/>
    <x v="36"/>
    <x v="0"/>
    <m/>
    <d v="2014-11-28T00:00:00"/>
    <x v="122"/>
    <m/>
    <m/>
    <x v="0"/>
    <x v="0"/>
    <n v="5000"/>
    <n v="5000"/>
    <x v="1"/>
    <n v="5000"/>
    <x v="9"/>
    <x v="0"/>
    <m/>
    <m/>
    <x v="0"/>
    <m/>
    <x v="0"/>
    <d v="2015-02-03T00:00:00"/>
    <x v="5"/>
    <x v="10"/>
    <s v="T"/>
    <x v="3"/>
    <x v="0"/>
    <x v="108"/>
    <s v=""/>
    <x v="4"/>
    <x v="2"/>
    <x v="4"/>
    <x v="3"/>
    <x v="0"/>
    <d v="1899-12-30T00:00:00"/>
    <d v="1899-12-30T00:00:00"/>
  </r>
  <r>
    <n v="1295"/>
    <x v="1"/>
    <x v="70"/>
    <x v="997"/>
    <m/>
    <x v="4"/>
    <m/>
    <m/>
    <x v="1"/>
    <d v="2014-03-27T00:00:00"/>
    <x v="18"/>
    <d v="2014-05-08T00:00:00"/>
    <d v="2014-10-01T00:00:00"/>
    <x v="16"/>
    <x v="2"/>
    <x v="3"/>
    <x v="36"/>
    <x v="0"/>
    <m/>
    <d v="2014-10-29T00:00:00"/>
    <x v="122"/>
    <m/>
    <m/>
    <x v="0"/>
    <x v="0"/>
    <n v="5000"/>
    <n v="1000"/>
    <x v="1"/>
    <n v="1000"/>
    <x v="9"/>
    <x v="0"/>
    <m/>
    <m/>
    <x v="0"/>
    <m/>
    <x v="0"/>
    <d v="2015-01-16T00:00:00"/>
    <x v="5"/>
    <x v="8"/>
    <s v="M"/>
    <x v="3"/>
    <x v="0"/>
    <x v="108"/>
    <s v=""/>
    <x v="4"/>
    <x v="2"/>
    <x v="4"/>
    <x v="3"/>
    <x v="0"/>
    <d v="1899-12-30T00:00:00"/>
    <d v="1899-12-30T00:00:00"/>
  </r>
  <r>
    <n v="1296"/>
    <x v="1"/>
    <x v="79"/>
    <x v="998"/>
    <m/>
    <x v="4"/>
    <m/>
    <m/>
    <x v="1"/>
    <d v="2014-03-27T00:00:00"/>
    <x v="18"/>
    <d v="2014-05-08T00:00:00"/>
    <d v="2014-10-01T00:00:00"/>
    <x v="16"/>
    <x v="2"/>
    <x v="3"/>
    <x v="36"/>
    <x v="0"/>
    <m/>
    <d v="2014-11-14T00:00:00"/>
    <x v="122"/>
    <m/>
    <m/>
    <x v="0"/>
    <x v="0"/>
    <n v="5000"/>
    <n v="1000"/>
    <x v="1"/>
    <n v="1000"/>
    <x v="9"/>
    <x v="0"/>
    <m/>
    <m/>
    <x v="0"/>
    <m/>
    <x v="0"/>
    <d v="2014-12-02T00:00:00"/>
    <x v="5"/>
    <x v="0"/>
    <s v="R"/>
    <x v="3"/>
    <x v="0"/>
    <x v="108"/>
    <s v=""/>
    <x v="4"/>
    <x v="2"/>
    <x v="4"/>
    <x v="3"/>
    <x v="0"/>
    <d v="1899-12-30T00:00:00"/>
    <d v="1899-12-30T00:00:00"/>
  </r>
  <r>
    <n v="1297"/>
    <x v="1"/>
    <x v="64"/>
    <x v="999"/>
    <m/>
    <x v="4"/>
    <m/>
    <m/>
    <x v="1"/>
    <d v="2014-03-27T00:00:00"/>
    <x v="18"/>
    <d v="2014-05-08T00:00:00"/>
    <d v="2014-10-01T00:00:00"/>
    <x v="16"/>
    <x v="2"/>
    <x v="3"/>
    <x v="36"/>
    <x v="0"/>
    <m/>
    <d v="2014-11-03T00:00:00"/>
    <x v="45"/>
    <m/>
    <m/>
    <x v="0"/>
    <x v="0"/>
    <n v="10000"/>
    <n v="6000"/>
    <x v="1"/>
    <n v="6000"/>
    <x v="9"/>
    <x v="0"/>
    <m/>
    <m/>
    <x v="0"/>
    <m/>
    <x v="0"/>
    <d v="2015-03-02T00:00:00"/>
    <x v="5"/>
    <x v="2"/>
    <s v="C"/>
    <x v="3"/>
    <x v="0"/>
    <x v="108"/>
    <s v=""/>
    <x v="4"/>
    <x v="2"/>
    <x v="4"/>
    <x v="3"/>
    <x v="0"/>
    <d v="1899-12-30T00:00:00"/>
    <d v="1899-12-30T00:00:00"/>
  </r>
  <r>
    <n v="1298"/>
    <x v="1"/>
    <x v="219"/>
    <x v="1000"/>
    <m/>
    <x v="4"/>
    <m/>
    <m/>
    <x v="1"/>
    <d v="2014-03-27T00:00:00"/>
    <x v="18"/>
    <d v="2014-05-08T00:00:00"/>
    <d v="2014-10-01T00:00:00"/>
    <x v="16"/>
    <x v="2"/>
    <x v="3"/>
    <x v="36"/>
    <x v="0"/>
    <m/>
    <d v="2014-10-30T00:00:00"/>
    <x v="122"/>
    <m/>
    <m/>
    <x v="0"/>
    <x v="0"/>
    <n v="5000"/>
    <n v="1000"/>
    <x v="1"/>
    <n v="1000"/>
    <x v="9"/>
    <x v="0"/>
    <m/>
    <m/>
    <x v="0"/>
    <m/>
    <x v="0"/>
    <d v="2015-01-16T00:00:00"/>
    <x v="5"/>
    <x v="10"/>
    <s v="H"/>
    <x v="3"/>
    <x v="0"/>
    <x v="108"/>
    <s v=""/>
    <x v="4"/>
    <x v="2"/>
    <x v="4"/>
    <x v="3"/>
    <x v="0"/>
    <d v="1899-12-30T00:00:00"/>
    <d v="1899-12-30T00:00:00"/>
  </r>
  <r>
    <n v="1299"/>
    <x v="1"/>
    <x v="192"/>
    <x v="1001"/>
    <m/>
    <x v="4"/>
    <m/>
    <m/>
    <x v="1"/>
    <d v="2014-03-27T00:00:00"/>
    <x v="18"/>
    <d v="2014-05-08T00:00:00"/>
    <d v="2014-10-01T00:00:00"/>
    <x v="16"/>
    <x v="2"/>
    <x v="3"/>
    <x v="36"/>
    <x v="0"/>
    <m/>
    <d v="2014-11-17T00:00:00"/>
    <x v="45"/>
    <m/>
    <m/>
    <x v="0"/>
    <x v="0"/>
    <n v="10000"/>
    <n v="6000"/>
    <x v="1"/>
    <n v="6000"/>
    <x v="9"/>
    <x v="0"/>
    <m/>
    <m/>
    <x v="0"/>
    <m/>
    <x v="0"/>
    <d v="2015-04-06T00:00:00"/>
    <x v="5"/>
    <x v="2"/>
    <s v="C"/>
    <x v="3"/>
    <x v="0"/>
    <x v="108"/>
    <s v=""/>
    <x v="4"/>
    <x v="2"/>
    <x v="4"/>
    <x v="3"/>
    <x v="0"/>
    <d v="1899-12-30T00:00:00"/>
    <d v="1899-12-30T00:00:00"/>
  </r>
  <r>
    <n v="1300"/>
    <x v="1"/>
    <x v="86"/>
    <x v="1002"/>
    <m/>
    <x v="4"/>
    <m/>
    <m/>
    <x v="1"/>
    <d v="2014-03-27T00:00:00"/>
    <x v="18"/>
    <d v="2014-05-08T00:00:00"/>
    <d v="2014-10-01T00:00:00"/>
    <x v="16"/>
    <x v="2"/>
    <x v="3"/>
    <x v="36"/>
    <x v="0"/>
    <m/>
    <d v="2014-11-29T00:00:00"/>
    <x v="122"/>
    <m/>
    <m/>
    <x v="0"/>
    <x v="0"/>
    <n v="5000"/>
    <n v="1000"/>
    <x v="1"/>
    <n v="1000"/>
    <x v="9"/>
    <x v="0"/>
    <m/>
    <m/>
    <x v="0"/>
    <m/>
    <x v="0"/>
    <d v="2015-01-16T00:00:00"/>
    <x v="5"/>
    <x v="2"/>
    <s v="2"/>
    <x v="3"/>
    <x v="0"/>
    <x v="108"/>
    <s v=""/>
    <x v="4"/>
    <x v="2"/>
    <x v="4"/>
    <x v="3"/>
    <x v="0"/>
    <d v="1899-12-30T00:00:00"/>
    <d v="1899-12-30T00:00:00"/>
  </r>
  <r>
    <n v="1301"/>
    <x v="1"/>
    <x v="58"/>
    <x v="1003"/>
    <m/>
    <x v="4"/>
    <m/>
    <m/>
    <x v="1"/>
    <d v="2014-03-27T00:00:00"/>
    <x v="18"/>
    <d v="2014-05-08T00:00:00"/>
    <d v="2014-10-01T00:00:00"/>
    <x v="16"/>
    <x v="2"/>
    <x v="3"/>
    <x v="36"/>
    <x v="0"/>
    <m/>
    <d v="2014-10-30T00:00:00"/>
    <x v="45"/>
    <m/>
    <m/>
    <x v="0"/>
    <x v="0"/>
    <n v="10000"/>
    <n v="6000"/>
    <x v="1"/>
    <n v="6000"/>
    <x v="9"/>
    <x v="0"/>
    <m/>
    <m/>
    <x v="0"/>
    <m/>
    <x v="0"/>
    <d v="2015-02-03T00:00:00"/>
    <x v="5"/>
    <x v="4"/>
    <s v="F"/>
    <x v="3"/>
    <x v="0"/>
    <x v="108"/>
    <s v=""/>
    <x v="4"/>
    <x v="2"/>
    <x v="4"/>
    <x v="3"/>
    <x v="0"/>
    <d v="1899-12-30T00:00:00"/>
    <d v="1899-12-30T00:00:00"/>
  </r>
  <r>
    <n v="1302"/>
    <x v="0"/>
    <x v="18"/>
    <x v="104"/>
    <m/>
    <x v="4"/>
    <m/>
    <m/>
    <x v="1"/>
    <d v="2014-03-27T00:00:00"/>
    <x v="18"/>
    <d v="2014-06-17T00:00:00"/>
    <d v="2014-06-20T00:00:00"/>
    <x v="16"/>
    <x v="1"/>
    <x v="2"/>
    <x v="13"/>
    <x v="0"/>
    <m/>
    <d v="2014-09-02T00:00:00"/>
    <x v="309"/>
    <n v="7369.04"/>
    <m/>
    <x v="0"/>
    <x v="0"/>
    <n v="7369.04"/>
    <m/>
    <x v="1"/>
    <n v="0"/>
    <x v="0"/>
    <x v="0"/>
    <m/>
    <m/>
    <x v="0"/>
    <m/>
    <x v="0"/>
    <d v="2014-11-03T00:00:00"/>
    <x v="5"/>
    <x v="8"/>
    <s v="A"/>
    <x v="3"/>
    <x v="0"/>
    <x v="108"/>
    <s v=""/>
    <x v="4"/>
    <x v="2"/>
    <x v="4"/>
    <x v="3"/>
    <x v="0"/>
    <d v="1899-12-30T00:00:00"/>
    <d v="1899-12-30T00:00:00"/>
  </r>
  <r>
    <n v="1303"/>
    <x v="0"/>
    <x v="18"/>
    <x v="810"/>
    <m/>
    <x v="4"/>
    <m/>
    <m/>
    <x v="1"/>
    <d v="2014-03-27T00:00:00"/>
    <x v="18"/>
    <d v="2014-09-08T00:00:00"/>
    <d v="2014-09-10T00:00:00"/>
    <x v="16"/>
    <x v="1"/>
    <x v="2"/>
    <x v="13"/>
    <x v="0"/>
    <m/>
    <d v="2014-09-30T00:00:00"/>
    <x v="165"/>
    <n v="6300"/>
    <m/>
    <x v="0"/>
    <x v="0"/>
    <n v="6300"/>
    <m/>
    <x v="1"/>
    <n v="0"/>
    <x v="0"/>
    <x v="0"/>
    <m/>
    <m/>
    <x v="0"/>
    <m/>
    <x v="0"/>
    <d v="2014-11-03T00:00:00"/>
    <x v="5"/>
    <x v="8"/>
    <s v="E"/>
    <x v="3"/>
    <x v="0"/>
    <x v="108"/>
    <s v=""/>
    <x v="4"/>
    <x v="2"/>
    <x v="4"/>
    <x v="3"/>
    <x v="0"/>
    <d v="1899-12-30T00:00:00"/>
    <d v="1899-12-30T00:00:00"/>
  </r>
  <r>
    <n v="1304"/>
    <x v="0"/>
    <x v="18"/>
    <x v="121"/>
    <m/>
    <x v="4"/>
    <m/>
    <m/>
    <x v="1"/>
    <d v="2014-03-27T00:00:00"/>
    <x v="18"/>
    <d v="2014-10-23T00:00:00"/>
    <d v="2014-10-24T00:00:00"/>
    <x v="16"/>
    <x v="1"/>
    <x v="2"/>
    <x v="13"/>
    <x v="0"/>
    <m/>
    <d v="2014-10-30T00:00:00"/>
    <x v="134"/>
    <m/>
    <m/>
    <x v="0"/>
    <x v="0"/>
    <n v="7000"/>
    <m/>
    <x v="1"/>
    <n v="0"/>
    <x v="0"/>
    <x v="0"/>
    <m/>
    <m/>
    <x v="0"/>
    <m/>
    <x v="0"/>
    <d v="2014-12-02T00:00:00"/>
    <x v="5"/>
    <x v="8"/>
    <s v="G"/>
    <x v="3"/>
    <x v="0"/>
    <x v="108"/>
    <s v=""/>
    <x v="4"/>
    <x v="2"/>
    <x v="4"/>
    <x v="3"/>
    <x v="0"/>
    <d v="1899-12-30T00:00:00"/>
    <d v="1899-12-30T00:00:00"/>
  </r>
  <r>
    <n v="1305"/>
    <x v="0"/>
    <x v="28"/>
    <x v="1004"/>
    <m/>
    <x v="4"/>
    <m/>
    <m/>
    <x v="1"/>
    <d v="2014-03-27T00:00:00"/>
    <x v="18"/>
    <d v="2014-05-12T00:00:00"/>
    <d v="2014-05-26T00:00:00"/>
    <x v="16"/>
    <x v="1"/>
    <x v="2"/>
    <x v="13"/>
    <x v="0"/>
    <m/>
    <d v="2014-07-30T00:00:00"/>
    <x v="310"/>
    <n v="3319.59"/>
    <m/>
    <x v="0"/>
    <x v="0"/>
    <n v="3319.59"/>
    <m/>
    <x v="1"/>
    <n v="0"/>
    <x v="0"/>
    <x v="0"/>
    <m/>
    <m/>
    <x v="0"/>
    <m/>
    <x v="0"/>
    <d v="2014-11-03T00:00:00"/>
    <x v="5"/>
    <x v="11"/>
    <s v="G"/>
    <x v="3"/>
    <x v="0"/>
    <x v="108"/>
    <s v=""/>
    <x v="4"/>
    <x v="2"/>
    <x v="4"/>
    <x v="3"/>
    <x v="0"/>
    <d v="1899-12-30T00:00:00"/>
    <d v="1899-12-30T00:00:00"/>
  </r>
  <r>
    <n v="1306"/>
    <x v="0"/>
    <x v="51"/>
    <x v="131"/>
    <m/>
    <x v="4"/>
    <s v="Espanha"/>
    <m/>
    <x v="1"/>
    <d v="2014-03-27T00:00:00"/>
    <x v="18"/>
    <d v="2014-09-24T00:00:00"/>
    <d v="2014-09-29T00:00:00"/>
    <x v="16"/>
    <x v="1"/>
    <x v="2"/>
    <x v="16"/>
    <x v="0"/>
    <m/>
    <d v="2014-11-13T00:00:00"/>
    <x v="31"/>
    <m/>
    <m/>
    <x v="0"/>
    <x v="0"/>
    <n v="7500"/>
    <m/>
    <x v="1"/>
    <n v="0"/>
    <x v="0"/>
    <x v="0"/>
    <m/>
    <m/>
    <x v="0"/>
    <m/>
    <x v="0"/>
    <d v="2015-01-16T00:00:00"/>
    <x v="5"/>
    <x v="7"/>
    <s v="O"/>
    <x v="3"/>
    <x v="0"/>
    <x v="108"/>
    <s v=""/>
    <x v="4"/>
    <x v="2"/>
    <x v="4"/>
    <x v="3"/>
    <x v="0"/>
    <d v="1899-12-30T00:00:00"/>
    <d v="1899-12-30T00:00:00"/>
  </r>
  <r>
    <n v="1307"/>
    <x v="0"/>
    <x v="23"/>
    <x v="756"/>
    <m/>
    <x v="4"/>
    <s v="Estreia França"/>
    <m/>
    <x v="1"/>
    <d v="2014-03-27T00:00:00"/>
    <x v="18"/>
    <d v="2014-10-27T00:00:00"/>
    <d v="2014-10-28T00:00:00"/>
    <x v="16"/>
    <x v="1"/>
    <x v="2"/>
    <x v="16"/>
    <x v="0"/>
    <m/>
    <d v="2014-12-09T00:00:00"/>
    <x v="31"/>
    <m/>
    <m/>
    <x v="0"/>
    <x v="0"/>
    <n v="7500"/>
    <m/>
    <x v="1"/>
    <n v="0"/>
    <x v="0"/>
    <x v="0"/>
    <m/>
    <m/>
    <x v="0"/>
    <m/>
    <x v="0"/>
    <d v="2014-12-16T00:00:00"/>
    <x v="5"/>
    <x v="9"/>
    <s v="T"/>
    <x v="3"/>
    <x v="0"/>
    <x v="108"/>
    <s v=""/>
    <x v="4"/>
    <x v="2"/>
    <x v="4"/>
    <x v="3"/>
    <x v="0"/>
    <d v="1899-12-30T00:00:00"/>
    <d v="1899-12-30T00:00:00"/>
  </r>
  <r>
    <n v="1308"/>
    <x v="0"/>
    <x v="40"/>
    <x v="106"/>
    <m/>
    <x v="4"/>
    <s v="Guiné Bissau"/>
    <m/>
    <x v="1"/>
    <d v="2014-03-27T00:00:00"/>
    <x v="18"/>
    <d v="2014-09-05T00:00:00"/>
    <d v="2014-09-10T00:00:00"/>
    <x v="16"/>
    <x v="1"/>
    <x v="2"/>
    <x v="16"/>
    <x v="0"/>
    <m/>
    <d v="2014-09-26T00:00:00"/>
    <x v="31"/>
    <m/>
    <m/>
    <x v="0"/>
    <x v="0"/>
    <n v="7500"/>
    <m/>
    <x v="1"/>
    <n v="0"/>
    <x v="0"/>
    <x v="0"/>
    <m/>
    <m/>
    <x v="0"/>
    <m/>
    <x v="0"/>
    <d v="2015-01-16T00:00:00"/>
    <x v="5"/>
    <x v="10"/>
    <s v="A"/>
    <x v="3"/>
    <x v="0"/>
    <x v="108"/>
    <s v=""/>
    <x v="4"/>
    <x v="2"/>
    <x v="4"/>
    <x v="3"/>
    <x v="0"/>
    <d v="1899-12-30T00:00:00"/>
    <d v="1899-12-30T00:00:00"/>
  </r>
  <r>
    <n v="1309"/>
    <x v="0"/>
    <x v="42"/>
    <x v="1005"/>
    <m/>
    <x v="4"/>
    <s v="Brasil"/>
    <m/>
    <x v="1"/>
    <d v="2014-03-27T00:00:00"/>
    <x v="18"/>
    <d v="2014-06-30T00:00:00"/>
    <d v="2014-07-10T00:00:00"/>
    <x v="16"/>
    <x v="1"/>
    <x v="2"/>
    <x v="16"/>
    <x v="0"/>
    <m/>
    <m/>
    <x v="31"/>
    <m/>
    <m/>
    <x v="0"/>
    <x v="0"/>
    <n v="7500"/>
    <m/>
    <x v="1"/>
    <n v="0"/>
    <x v="0"/>
    <x v="0"/>
    <m/>
    <m/>
    <x v="0"/>
    <m/>
    <x v="0"/>
    <d v="2014-11-06T00:00:00"/>
    <x v="5"/>
    <x v="14"/>
    <s v="F"/>
    <x v="3"/>
    <x v="0"/>
    <x v="108"/>
    <s v=""/>
    <x v="4"/>
    <x v="2"/>
    <x v="4"/>
    <x v="3"/>
    <x v="0"/>
    <d v="1899-12-30T00:00:00"/>
    <d v="1899-12-30T00:00:00"/>
  </r>
  <r>
    <n v="1310"/>
    <x v="0"/>
    <x v="42"/>
    <x v="758"/>
    <m/>
    <x v="4"/>
    <s v="Cabo Verde"/>
    <m/>
    <x v="1"/>
    <d v="2014-03-27T00:00:00"/>
    <x v="18"/>
    <d v="2014-08-04T00:00:00"/>
    <d v="2014-08-07T00:00:00"/>
    <x v="16"/>
    <x v="1"/>
    <x v="2"/>
    <x v="16"/>
    <x v="0"/>
    <m/>
    <d v="2014-09-19T00:00:00"/>
    <x v="31"/>
    <m/>
    <m/>
    <x v="0"/>
    <x v="0"/>
    <n v="7500"/>
    <m/>
    <x v="1"/>
    <n v="0"/>
    <x v="0"/>
    <x v="0"/>
    <m/>
    <m/>
    <x v="0"/>
    <m/>
    <x v="0"/>
    <d v="2015-01-16T00:00:00"/>
    <x v="5"/>
    <x v="14"/>
    <s v="V"/>
    <x v="3"/>
    <x v="0"/>
    <x v="108"/>
    <s v=""/>
    <x v="4"/>
    <x v="2"/>
    <x v="4"/>
    <x v="3"/>
    <x v="0"/>
    <d v="1899-12-30T00:00:00"/>
    <d v="1899-12-30T00:00:00"/>
  </r>
  <r>
    <n v="1311"/>
    <x v="1"/>
    <x v="78"/>
    <x v="1006"/>
    <m/>
    <x v="4"/>
    <m/>
    <m/>
    <x v="1"/>
    <d v="2014-03-27T00:00:00"/>
    <x v="18"/>
    <d v="2014-05-15T00:00:00"/>
    <d v="2014-10-24T00:00:00"/>
    <x v="16"/>
    <x v="3"/>
    <x v="4"/>
    <x v="37"/>
    <x v="0"/>
    <m/>
    <d v="2014-11-13T00:00:00"/>
    <x v="15"/>
    <m/>
    <m/>
    <x v="0"/>
    <x v="0"/>
    <n v="55000"/>
    <n v="11000"/>
    <x v="1"/>
    <n v="11000"/>
    <x v="9"/>
    <x v="0"/>
    <m/>
    <m/>
    <x v="0"/>
    <m/>
    <x v="0"/>
    <d v="2014-12-02T00:00:00"/>
    <x v="5"/>
    <x v="2"/>
    <s v="A"/>
    <x v="3"/>
    <x v="0"/>
    <x v="108"/>
    <s v=""/>
    <x v="4"/>
    <x v="2"/>
    <x v="4"/>
    <x v="3"/>
    <x v="0"/>
    <d v="1899-12-30T00:00:00"/>
    <d v="1899-12-30T00:00:00"/>
  </r>
  <r>
    <n v="1312"/>
    <x v="1"/>
    <x v="220"/>
    <x v="1007"/>
    <m/>
    <x v="4"/>
    <m/>
    <m/>
    <x v="1"/>
    <d v="2014-03-27T00:00:00"/>
    <x v="18"/>
    <d v="2014-05-15T00:00:00"/>
    <d v="2014-10-24T00:00:00"/>
    <x v="16"/>
    <x v="3"/>
    <x v="4"/>
    <x v="37"/>
    <x v="0"/>
    <m/>
    <m/>
    <x v="9"/>
    <m/>
    <m/>
    <x v="0"/>
    <x v="0"/>
    <n v="45000"/>
    <n v="9000"/>
    <x v="1"/>
    <n v="9000"/>
    <x v="9"/>
    <x v="0"/>
    <m/>
    <m/>
    <x v="0"/>
    <m/>
    <x v="0"/>
    <d v="2014-12-02T00:00:00"/>
    <x v="5"/>
    <x v="0"/>
    <s v="P"/>
    <x v="3"/>
    <x v="0"/>
    <x v="108"/>
    <s v=""/>
    <x v="4"/>
    <x v="2"/>
    <x v="4"/>
    <x v="3"/>
    <x v="0"/>
    <d v="1899-12-30T00:00:00"/>
    <d v="1899-12-30T00:00:00"/>
  </r>
  <r>
    <n v="1313"/>
    <x v="1"/>
    <x v="79"/>
    <x v="1008"/>
    <m/>
    <x v="4"/>
    <m/>
    <m/>
    <x v="1"/>
    <d v="2014-03-27T00:00:00"/>
    <x v="18"/>
    <d v="2014-05-15T00:00:00"/>
    <d v="2014-10-24T00:00:00"/>
    <x v="16"/>
    <x v="3"/>
    <x v="4"/>
    <x v="37"/>
    <x v="0"/>
    <m/>
    <m/>
    <x v="9"/>
    <m/>
    <m/>
    <x v="0"/>
    <x v="0"/>
    <n v="45000"/>
    <n v="9000"/>
    <x v="1"/>
    <n v="9000"/>
    <x v="9"/>
    <x v="0"/>
    <m/>
    <m/>
    <x v="0"/>
    <m/>
    <x v="0"/>
    <d v="2014-12-01T00:00:00"/>
    <x v="5"/>
    <x v="0"/>
    <s v="A"/>
    <x v="3"/>
    <x v="0"/>
    <x v="108"/>
    <s v=""/>
    <x v="4"/>
    <x v="2"/>
    <x v="4"/>
    <x v="3"/>
    <x v="0"/>
    <d v="1899-12-30T00:00:00"/>
    <d v="1899-12-30T00:00:00"/>
  </r>
  <r>
    <n v="1314"/>
    <x v="1"/>
    <x v="98"/>
    <x v="1009"/>
    <m/>
    <x v="4"/>
    <m/>
    <m/>
    <x v="1"/>
    <d v="2014-03-27T00:00:00"/>
    <x v="18"/>
    <d v="2014-05-15T00:00:00"/>
    <d v="2014-10-24T00:00:00"/>
    <x v="16"/>
    <x v="3"/>
    <x v="4"/>
    <x v="37"/>
    <x v="0"/>
    <m/>
    <d v="2014-11-17T00:00:00"/>
    <x v="39"/>
    <m/>
    <m/>
    <x v="0"/>
    <x v="0"/>
    <n v="35000"/>
    <n v="7000"/>
    <x v="1"/>
    <n v="7000"/>
    <x v="9"/>
    <x v="0"/>
    <m/>
    <m/>
    <x v="0"/>
    <m/>
    <x v="0"/>
    <d v="2015-01-16T00:00:00"/>
    <x v="5"/>
    <x v="2"/>
    <s v="C"/>
    <x v="3"/>
    <x v="0"/>
    <x v="108"/>
    <s v=""/>
    <x v="4"/>
    <x v="2"/>
    <x v="4"/>
    <x v="3"/>
    <x v="0"/>
    <d v="1899-12-30T00:00:00"/>
    <d v="1899-12-30T00:00:00"/>
  </r>
  <r>
    <n v="1315"/>
    <x v="0"/>
    <x v="22"/>
    <x v="970"/>
    <m/>
    <x v="4"/>
    <s v="Toronto"/>
    <s v="Cem Mil Cigarros"/>
    <x v="1"/>
    <d v="2014-03-27T00:00:00"/>
    <x v="18"/>
    <d v="2014-07-28T00:00:00"/>
    <d v="2014-08-08T00:00:00"/>
    <x v="16"/>
    <x v="3"/>
    <x v="4"/>
    <x v="25"/>
    <x v="0"/>
    <m/>
    <d v="2014-08-19T00:00:00"/>
    <x v="49"/>
    <m/>
    <m/>
    <x v="0"/>
    <x v="0"/>
    <n v="2000"/>
    <m/>
    <x v="1"/>
    <n v="0"/>
    <x v="0"/>
    <x v="0"/>
    <m/>
    <m/>
    <x v="0"/>
    <m/>
    <x v="0"/>
    <d v="2014-11-06T00:00:00"/>
    <x v="5"/>
    <x v="9"/>
    <s v="C"/>
    <x v="3"/>
    <x v="0"/>
    <x v="108"/>
    <s v=""/>
    <x v="4"/>
    <x v="2"/>
    <x v="4"/>
    <x v="3"/>
    <x v="0"/>
    <d v="1899-12-30T00:00:00"/>
    <d v="1899-12-30T00:00:00"/>
  </r>
  <r>
    <n v="1316"/>
    <x v="0"/>
    <x v="22"/>
    <x v="970"/>
    <m/>
    <x v="4"/>
    <s v="Copenhaga"/>
    <s v="Cem Mil Cigarros"/>
    <x v="1"/>
    <d v="2014-03-27T00:00:00"/>
    <x v="18"/>
    <d v="2014-10-30T00:00:00"/>
    <d v="2014-11-04T00:00:00"/>
    <x v="16"/>
    <x v="3"/>
    <x v="4"/>
    <x v="25"/>
    <x v="0"/>
    <m/>
    <d v="2014-11-21T00:00:00"/>
    <x v="49"/>
    <m/>
    <m/>
    <x v="0"/>
    <x v="0"/>
    <n v="2000"/>
    <m/>
    <x v="1"/>
    <n v="0"/>
    <x v="0"/>
    <x v="0"/>
    <m/>
    <m/>
    <x v="0"/>
    <m/>
    <x v="0"/>
    <d v="2014-12-02T00:00:00"/>
    <x v="5"/>
    <x v="9"/>
    <s v="C"/>
    <x v="3"/>
    <x v="0"/>
    <x v="108"/>
    <s v=""/>
    <x v="4"/>
    <x v="2"/>
    <x v="4"/>
    <x v="3"/>
    <x v="0"/>
    <d v="1899-12-30T00:00:00"/>
    <d v="1899-12-30T00:00:00"/>
  </r>
  <r>
    <n v="1317"/>
    <x v="0"/>
    <x v="22"/>
    <x v="970"/>
    <m/>
    <x v="4"/>
    <s v="Mar del Plata (Argentina)"/>
    <s v="Cem Mil Cigarros"/>
    <x v="1"/>
    <d v="2014-03-27T00:00:00"/>
    <x v="18"/>
    <d v="2014-11-03T00:00:00"/>
    <d v="2014-11-04T00:00:00"/>
    <x v="16"/>
    <x v="3"/>
    <x v="4"/>
    <x v="25"/>
    <x v="0"/>
    <m/>
    <d v="2014-11-21T00:00:00"/>
    <x v="49"/>
    <m/>
    <m/>
    <x v="0"/>
    <x v="0"/>
    <n v="2000"/>
    <m/>
    <x v="1"/>
    <n v="0"/>
    <x v="0"/>
    <x v="0"/>
    <m/>
    <m/>
    <x v="0"/>
    <m/>
    <x v="0"/>
    <d v="2014-12-02T00:00:00"/>
    <x v="5"/>
    <x v="9"/>
    <s v="C"/>
    <x v="3"/>
    <x v="0"/>
    <x v="108"/>
    <s v=""/>
    <x v="4"/>
    <x v="2"/>
    <x v="4"/>
    <x v="3"/>
    <x v="0"/>
    <d v="1899-12-30T00:00:00"/>
    <d v="1899-12-30T00:00:00"/>
  </r>
  <r>
    <n v="1318"/>
    <x v="0"/>
    <x v="47"/>
    <x v="1010"/>
    <m/>
    <x v="4"/>
    <m/>
    <m/>
    <x v="1"/>
    <d v="2014-03-27T00:00:00"/>
    <x v="18"/>
    <d v="2014-10-13T00:00:00"/>
    <d v="2014-11-04T00:00:00"/>
    <x v="16"/>
    <x v="1"/>
    <x v="2"/>
    <x v="13"/>
    <x v="0"/>
    <m/>
    <d v="2014-11-25T00:00:00"/>
    <x v="311"/>
    <m/>
    <m/>
    <x v="0"/>
    <x v="0"/>
    <n v="34650"/>
    <m/>
    <x v="1"/>
    <n v="0"/>
    <x v="0"/>
    <x v="0"/>
    <m/>
    <m/>
    <x v="0"/>
    <m/>
    <x v="0"/>
    <d v="2015-01-16T00:00:00"/>
    <x v="5"/>
    <x v="0"/>
    <s v="O"/>
    <x v="3"/>
    <x v="0"/>
    <x v="108"/>
    <s v=""/>
    <x v="4"/>
    <x v="2"/>
    <x v="4"/>
    <x v="3"/>
    <x v="0"/>
    <d v="1899-12-30T00:00:00"/>
    <d v="1899-12-30T00:00:00"/>
  </r>
  <r>
    <n v="1319"/>
    <x v="0"/>
    <x v="32"/>
    <x v="73"/>
    <m/>
    <x v="4"/>
    <s v="França"/>
    <m/>
    <x v="1"/>
    <d v="2014-03-27T00:00:00"/>
    <x v="18"/>
    <d v="2014-09-23T00:00:00"/>
    <d v="2014-11-27T00:00:00"/>
    <x v="16"/>
    <x v="1"/>
    <x v="2"/>
    <x v="16"/>
    <x v="0"/>
    <m/>
    <d v="2015-01-22T00:00:00"/>
    <x v="31"/>
    <m/>
    <m/>
    <x v="0"/>
    <x v="0"/>
    <n v="7500"/>
    <m/>
    <x v="1"/>
    <n v="0"/>
    <x v="0"/>
    <x v="0"/>
    <m/>
    <m/>
    <x v="0"/>
    <m/>
    <x v="0"/>
    <d v="2015-03-02T00:00:00"/>
    <x v="5"/>
    <x v="13"/>
    <s v="L"/>
    <x v="3"/>
    <x v="0"/>
    <x v="108"/>
    <s v=""/>
    <x v="4"/>
    <x v="2"/>
    <x v="4"/>
    <x v="3"/>
    <x v="0"/>
    <d v="1899-12-30T00:00:00"/>
    <d v="1899-12-30T00:00:00"/>
  </r>
  <r>
    <n v="1320"/>
    <x v="0"/>
    <x v="49"/>
    <x v="825"/>
    <m/>
    <x v="4"/>
    <m/>
    <m/>
    <x v="1"/>
    <d v="2014-03-27T00:00:00"/>
    <x v="18"/>
    <d v="2014-11-05T00:00:00"/>
    <d v="2014-11-07T00:00:00"/>
    <x v="16"/>
    <x v="1"/>
    <x v="2"/>
    <x v="13"/>
    <x v="0"/>
    <m/>
    <d v="2015-02-04T00:00:00"/>
    <x v="312"/>
    <n v="2400"/>
    <m/>
    <x v="0"/>
    <x v="0"/>
    <n v="2400"/>
    <m/>
    <x v="1"/>
    <n v="0"/>
    <x v="0"/>
    <x v="0"/>
    <m/>
    <m/>
    <x v="0"/>
    <m/>
    <x v="0"/>
    <d v="2015-04-01T00:00:00"/>
    <x v="5"/>
    <x v="0"/>
    <s v="A"/>
    <x v="3"/>
    <x v="0"/>
    <x v="108"/>
    <s v=""/>
    <x v="4"/>
    <x v="2"/>
    <x v="4"/>
    <x v="3"/>
    <x v="0"/>
    <d v="1899-12-30T00:00:00"/>
    <d v="1899-12-30T00:00:00"/>
  </r>
  <r>
    <n v="1321"/>
    <x v="1"/>
    <x v="23"/>
    <x v="1011"/>
    <m/>
    <x v="4"/>
    <s v="Festival Internacional de CM de Oberhausen"/>
    <m/>
    <x v="1"/>
    <d v="2014-03-27T00:00:00"/>
    <x v="18"/>
    <d v="2014-05-28T00:00:00"/>
    <d v="2014-06-04T00:00:00"/>
    <x v="16"/>
    <x v="3"/>
    <x v="4"/>
    <x v="25"/>
    <x v="0"/>
    <m/>
    <m/>
    <x v="65"/>
    <m/>
    <m/>
    <x v="0"/>
    <x v="0"/>
    <n v="1000"/>
    <n v="1000"/>
    <x v="1"/>
    <n v="1000"/>
    <x v="12"/>
    <x v="0"/>
    <m/>
    <m/>
    <x v="0"/>
    <m/>
    <x v="0"/>
    <d v="2014-11-11T00:00:00"/>
    <x v="5"/>
    <x v="9"/>
    <s v="F"/>
    <x v="3"/>
    <x v="0"/>
    <x v="108"/>
    <s v=""/>
    <x v="4"/>
    <x v="2"/>
    <x v="4"/>
    <x v="3"/>
    <x v="0"/>
    <d v="1899-12-30T00:00:00"/>
    <d v="1899-12-30T00:00:00"/>
  </r>
  <r>
    <n v="1322"/>
    <x v="1"/>
    <x v="14"/>
    <x v="1012"/>
    <m/>
    <x v="4"/>
    <s v="Fantasporto"/>
    <m/>
    <x v="1"/>
    <d v="2014-03-27T00:00:00"/>
    <x v="18"/>
    <d v="2014-06-09T00:00:00"/>
    <d v="2014-06-18T00:00:00"/>
    <x v="16"/>
    <x v="3"/>
    <x v="4"/>
    <x v="25"/>
    <x v="0"/>
    <m/>
    <d v="2014-12-04T00:00:00"/>
    <x v="102"/>
    <m/>
    <m/>
    <x v="0"/>
    <x v="0"/>
    <n v="750"/>
    <n v="750"/>
    <x v="1"/>
    <n v="750"/>
    <x v="9"/>
    <x v="0"/>
    <m/>
    <m/>
    <x v="0"/>
    <m/>
    <x v="0"/>
    <d v="2015-02-03T00:00:00"/>
    <x v="5"/>
    <x v="4"/>
    <s v="P"/>
    <x v="3"/>
    <x v="0"/>
    <x v="108"/>
    <s v=""/>
    <x v="4"/>
    <x v="2"/>
    <x v="4"/>
    <x v="3"/>
    <x v="0"/>
    <d v="1899-12-30T00:00:00"/>
    <d v="1899-12-30T00:00:00"/>
  </r>
  <r>
    <n v="1323"/>
    <x v="0"/>
    <x v="42"/>
    <x v="1013"/>
    <m/>
    <x v="4"/>
    <s v="Curtas de Vila do Conde"/>
    <m/>
    <x v="1"/>
    <d v="2014-03-27T00:00:00"/>
    <x v="18"/>
    <d v="2014-07-01T00:00:00"/>
    <d v="2014-07-10T00:00:00"/>
    <x v="16"/>
    <x v="3"/>
    <x v="4"/>
    <x v="25"/>
    <x v="0"/>
    <m/>
    <d v="2014-09-19T00:00:00"/>
    <x v="101"/>
    <m/>
    <m/>
    <x v="0"/>
    <x v="0"/>
    <n v="500"/>
    <m/>
    <x v="1"/>
    <n v="0"/>
    <x v="0"/>
    <x v="0"/>
    <m/>
    <m/>
    <x v="0"/>
    <m/>
    <x v="0"/>
    <d v="2014-11-11T00:00:00"/>
    <x v="5"/>
    <x v="14"/>
    <s v="M"/>
    <x v="3"/>
    <x v="0"/>
    <x v="108"/>
    <s v=""/>
    <x v="4"/>
    <x v="2"/>
    <x v="4"/>
    <x v="3"/>
    <x v="0"/>
    <d v="1899-12-30T00:00:00"/>
    <d v="1899-12-30T00:00:00"/>
  </r>
  <r>
    <n v="1324"/>
    <x v="0"/>
    <x v="42"/>
    <x v="1014"/>
    <m/>
    <x v="4"/>
    <s v="Curtas de Vila do Conde"/>
    <m/>
    <x v="1"/>
    <d v="2014-03-27T00:00:00"/>
    <x v="18"/>
    <d v="2014-07-01T00:00:00"/>
    <d v="2014-07-10T00:00:00"/>
    <x v="16"/>
    <x v="3"/>
    <x v="4"/>
    <x v="25"/>
    <x v="0"/>
    <m/>
    <d v="2014-09-19T00:00:00"/>
    <x v="101"/>
    <m/>
    <m/>
    <x v="0"/>
    <x v="0"/>
    <n v="500"/>
    <m/>
    <x v="1"/>
    <n v="0"/>
    <x v="0"/>
    <x v="0"/>
    <m/>
    <m/>
    <x v="0"/>
    <m/>
    <x v="0"/>
    <d v="2014-11-11T00:00:00"/>
    <x v="5"/>
    <x v="14"/>
    <s v="O"/>
    <x v="3"/>
    <x v="0"/>
    <x v="108"/>
    <s v=""/>
    <x v="4"/>
    <x v="2"/>
    <x v="4"/>
    <x v="3"/>
    <x v="0"/>
    <d v="1899-12-30T00:00:00"/>
    <d v="1899-12-30T00:00:00"/>
  </r>
  <r>
    <n v="1325"/>
    <x v="0"/>
    <x v="42"/>
    <x v="1015"/>
    <m/>
    <x v="4"/>
    <s v="Curtas de Vila do Conde"/>
    <m/>
    <x v="1"/>
    <d v="2014-03-27T00:00:00"/>
    <x v="18"/>
    <d v="2014-07-01T00:00:00"/>
    <d v="2014-07-10T00:00:00"/>
    <x v="16"/>
    <x v="3"/>
    <x v="4"/>
    <x v="25"/>
    <x v="0"/>
    <m/>
    <d v="2014-09-19T00:00:00"/>
    <x v="101"/>
    <m/>
    <m/>
    <x v="0"/>
    <x v="0"/>
    <n v="500"/>
    <m/>
    <x v="1"/>
    <n v="0"/>
    <x v="0"/>
    <x v="0"/>
    <m/>
    <m/>
    <x v="0"/>
    <m/>
    <x v="0"/>
    <d v="2014-11-11T00:00:00"/>
    <x v="5"/>
    <x v="14"/>
    <s v="S"/>
    <x v="3"/>
    <x v="0"/>
    <x v="108"/>
    <s v=""/>
    <x v="4"/>
    <x v="2"/>
    <x v="4"/>
    <x v="3"/>
    <x v="0"/>
    <d v="1899-12-30T00:00:00"/>
    <d v="1899-12-30T00:00:00"/>
  </r>
  <r>
    <n v="1326"/>
    <x v="1"/>
    <x v="42"/>
    <x v="839"/>
    <m/>
    <x v="4"/>
    <s v="Cannes"/>
    <m/>
    <x v="1"/>
    <d v="2014-03-27T00:00:00"/>
    <x v="18"/>
    <d v="2014-07-09T00:00:00"/>
    <d v="2014-07-11T00:00:00"/>
    <x v="16"/>
    <x v="3"/>
    <x v="4"/>
    <x v="25"/>
    <x v="0"/>
    <m/>
    <m/>
    <x v="313"/>
    <m/>
    <m/>
    <x v="0"/>
    <x v="0"/>
    <n v="1300"/>
    <n v="1300"/>
    <x v="1"/>
    <n v="1300"/>
    <x v="13"/>
    <x v="0"/>
    <m/>
    <m/>
    <x v="0"/>
    <m/>
    <x v="0"/>
    <d v="2014-11-11T00:00:00"/>
    <x v="5"/>
    <x v="14"/>
    <s v="P"/>
    <x v="3"/>
    <x v="1"/>
    <x v="108"/>
    <s v=""/>
    <x v="4"/>
    <x v="2"/>
    <x v="4"/>
    <x v="3"/>
    <x v="0"/>
    <d v="1899-12-30T00:00:00"/>
    <d v="1899-12-30T00:00:00"/>
  </r>
  <r>
    <n v="1327"/>
    <x v="0"/>
    <x v="11"/>
    <x v="1016"/>
    <m/>
    <x v="4"/>
    <s v="Indielisboa"/>
    <m/>
    <x v="1"/>
    <d v="2014-03-27T00:00:00"/>
    <x v="18"/>
    <d v="2014-08-04T00:00:00"/>
    <d v="2014-08-07T00:00:00"/>
    <x v="16"/>
    <x v="3"/>
    <x v="4"/>
    <x v="25"/>
    <x v="0"/>
    <m/>
    <d v="2014-09-19T00:00:00"/>
    <x v="102"/>
    <m/>
    <m/>
    <x v="0"/>
    <x v="0"/>
    <n v="750"/>
    <m/>
    <x v="1"/>
    <n v="0"/>
    <x v="0"/>
    <x v="0"/>
    <m/>
    <m/>
    <x v="0"/>
    <m/>
    <x v="0"/>
    <d v="2015-01-16T00:00:00"/>
    <x v="5"/>
    <x v="4"/>
    <s v="A"/>
    <x v="3"/>
    <x v="0"/>
    <x v="108"/>
    <s v=""/>
    <x v="4"/>
    <x v="2"/>
    <x v="4"/>
    <x v="3"/>
    <x v="0"/>
    <d v="1899-12-30T00:00:00"/>
    <d v="1899-12-30T00:00:00"/>
  </r>
  <r>
    <n v="1328"/>
    <x v="0"/>
    <x v="42"/>
    <x v="1017"/>
    <m/>
    <x v="4"/>
    <s v="Toronto"/>
    <m/>
    <x v="1"/>
    <d v="2014-03-27T00:00:00"/>
    <x v="18"/>
    <d v="2014-08-19T00:00:00"/>
    <d v="2014-08-27T00:00:00"/>
    <x v="16"/>
    <x v="3"/>
    <x v="4"/>
    <x v="25"/>
    <x v="0"/>
    <m/>
    <d v="2014-09-19T00:00:00"/>
    <x v="65"/>
    <m/>
    <m/>
    <x v="0"/>
    <x v="0"/>
    <n v="1000"/>
    <m/>
    <x v="1"/>
    <n v="0"/>
    <x v="0"/>
    <x v="0"/>
    <m/>
    <m/>
    <x v="0"/>
    <m/>
    <x v="0"/>
    <d v="2014-01-16T00:00:00"/>
    <x v="5"/>
    <x v="14"/>
    <s v="M"/>
    <x v="3"/>
    <x v="0"/>
    <x v="108"/>
    <s v=""/>
    <x v="4"/>
    <x v="2"/>
    <x v="4"/>
    <x v="3"/>
    <x v="0"/>
    <d v="1899-12-30T00:00:00"/>
    <d v="1899-12-30T00:00:00"/>
  </r>
  <r>
    <n v="1329"/>
    <x v="0"/>
    <x v="5"/>
    <x v="1018"/>
    <m/>
    <x v="4"/>
    <s v="Indielisboa"/>
    <m/>
    <x v="1"/>
    <d v="2014-03-27T00:00:00"/>
    <x v="18"/>
    <d v="2014-08-03T00:00:00"/>
    <d v="2014-08-27T00:00:00"/>
    <x v="16"/>
    <x v="3"/>
    <x v="4"/>
    <x v="25"/>
    <x v="0"/>
    <m/>
    <d v="2014-11-28T00:00:00"/>
    <x v="101"/>
    <m/>
    <m/>
    <x v="0"/>
    <x v="0"/>
    <n v="500"/>
    <m/>
    <x v="1"/>
    <n v="0"/>
    <x v="0"/>
    <x v="0"/>
    <m/>
    <m/>
    <x v="0"/>
    <m/>
    <x v="0"/>
    <d v="2015-01-16T00:00:00"/>
    <x v="5"/>
    <x v="1"/>
    <s v="B"/>
    <x v="3"/>
    <x v="0"/>
    <x v="108"/>
    <s v=""/>
    <x v="4"/>
    <x v="2"/>
    <x v="4"/>
    <x v="3"/>
    <x v="0"/>
    <d v="1899-12-30T00:00:00"/>
    <d v="1899-12-30T00:00:00"/>
  </r>
  <r>
    <n v="1330"/>
    <x v="1"/>
    <x v="221"/>
    <x v="1019"/>
    <m/>
    <x v="4"/>
    <s v="Cannes"/>
    <m/>
    <x v="1"/>
    <d v="2014-03-27T00:00:00"/>
    <x v="18"/>
    <d v="2014-08-25T00:00:00"/>
    <d v="2014-08-27T00:00:00"/>
    <x v="16"/>
    <x v="3"/>
    <x v="4"/>
    <x v="25"/>
    <x v="0"/>
    <m/>
    <m/>
    <x v="314"/>
    <m/>
    <m/>
    <x v="0"/>
    <x v="0"/>
    <n v="4372"/>
    <n v="4372"/>
    <x v="1"/>
    <n v="4372"/>
    <x v="13"/>
    <x v="0"/>
    <m/>
    <m/>
    <x v="0"/>
    <m/>
    <x v="0"/>
    <d v="2014-11-11T00:00:00"/>
    <x v="5"/>
    <x v="10"/>
    <s v="A"/>
    <x v="3"/>
    <x v="1"/>
    <x v="108"/>
    <s v=""/>
    <x v="4"/>
    <x v="2"/>
    <x v="4"/>
    <x v="3"/>
    <x v="0"/>
    <d v="1899-12-30T00:00:00"/>
    <d v="1899-12-30T00:00:00"/>
  </r>
  <r>
    <n v="1331"/>
    <x v="0"/>
    <x v="5"/>
    <x v="1018"/>
    <m/>
    <x v="4"/>
    <s v="Cannes"/>
    <m/>
    <x v="1"/>
    <d v="2014-03-27T00:00:00"/>
    <x v="18"/>
    <d v="2014-08-25T00:00:00"/>
    <d v="2014-08-27T00:00:00"/>
    <x v="16"/>
    <x v="3"/>
    <x v="4"/>
    <x v="25"/>
    <x v="0"/>
    <m/>
    <d v="2014-11-28T00:00:00"/>
    <x v="122"/>
    <m/>
    <m/>
    <x v="0"/>
    <x v="0"/>
    <n v="5000"/>
    <m/>
    <x v="1"/>
    <n v="0"/>
    <x v="0"/>
    <x v="0"/>
    <m/>
    <m/>
    <x v="0"/>
    <m/>
    <x v="0"/>
    <d v="2015-01-16T00:00:00"/>
    <x v="5"/>
    <x v="1"/>
    <s v="B"/>
    <x v="3"/>
    <x v="0"/>
    <x v="108"/>
    <s v=""/>
    <x v="4"/>
    <x v="2"/>
    <x v="4"/>
    <x v="3"/>
    <x v="0"/>
    <d v="1899-12-30T00:00:00"/>
    <d v="1899-12-30T00:00:00"/>
  </r>
  <r>
    <n v="1332"/>
    <x v="0"/>
    <x v="0"/>
    <x v="1020"/>
    <m/>
    <x v="4"/>
    <s v="San Sebastian"/>
    <m/>
    <x v="1"/>
    <d v="2014-03-27T00:00:00"/>
    <x v="18"/>
    <d v="2014-08-29T00:00:00"/>
    <d v="2014-09-04T00:00:00"/>
    <x v="16"/>
    <x v="3"/>
    <x v="4"/>
    <x v="25"/>
    <x v="0"/>
    <m/>
    <d v="2014-11-03T00:00:00"/>
    <x v="315"/>
    <m/>
    <m/>
    <x v="0"/>
    <x v="0"/>
    <n v="2450"/>
    <m/>
    <x v="1"/>
    <n v="0"/>
    <x v="0"/>
    <x v="0"/>
    <m/>
    <m/>
    <x v="0"/>
    <m/>
    <x v="0"/>
    <d v="2014-11-11T00:00:00"/>
    <x v="5"/>
    <x v="0"/>
    <s v="V"/>
    <x v="3"/>
    <x v="0"/>
    <x v="108"/>
    <s v=""/>
    <x v="4"/>
    <x v="2"/>
    <x v="4"/>
    <x v="3"/>
    <x v="0"/>
    <d v="1899-12-30T00:00:00"/>
    <d v="1899-12-30T00:00:00"/>
  </r>
  <r>
    <n v="1333"/>
    <x v="0"/>
    <x v="32"/>
    <x v="75"/>
    <m/>
    <x v="4"/>
    <s v="Fidmarseille"/>
    <m/>
    <x v="1"/>
    <d v="2014-03-27T00:00:00"/>
    <x v="18"/>
    <d v="2014-09-03T00:00:00"/>
    <d v="2014-09-10T00:00:00"/>
    <x v="16"/>
    <x v="3"/>
    <x v="4"/>
    <x v="25"/>
    <x v="0"/>
    <m/>
    <d v="2014-11-03T00:00:00"/>
    <x v="49"/>
    <m/>
    <m/>
    <x v="0"/>
    <x v="0"/>
    <n v="2000"/>
    <m/>
    <x v="1"/>
    <n v="0"/>
    <x v="0"/>
    <x v="0"/>
    <m/>
    <m/>
    <x v="0"/>
    <m/>
    <x v="0"/>
    <d v="2014-12-02T00:00:00"/>
    <x v="5"/>
    <x v="13"/>
    <s v="A"/>
    <x v="3"/>
    <x v="0"/>
    <x v="108"/>
    <s v=""/>
    <x v="4"/>
    <x v="2"/>
    <x v="4"/>
    <x v="3"/>
    <x v="0"/>
    <d v="1899-12-30T00:00:00"/>
    <d v="1899-12-30T00:00:00"/>
  </r>
  <r>
    <n v="1334"/>
    <x v="1"/>
    <x v="14"/>
    <x v="1012"/>
    <m/>
    <x v="4"/>
    <s v="Avanca"/>
    <m/>
    <x v="1"/>
    <d v="2014-03-27T00:00:00"/>
    <x v="18"/>
    <d v="2014-09-23T00:00:00"/>
    <d v="2014-09-29T00:00:00"/>
    <x v="16"/>
    <x v="3"/>
    <x v="4"/>
    <x v="25"/>
    <x v="0"/>
    <m/>
    <d v="2014-12-09T00:00:00"/>
    <x v="102"/>
    <m/>
    <m/>
    <x v="0"/>
    <x v="0"/>
    <n v="750"/>
    <n v="750"/>
    <x v="1"/>
    <n v="750"/>
    <x v="9"/>
    <x v="0"/>
    <m/>
    <m/>
    <x v="0"/>
    <m/>
    <x v="0"/>
    <d v="2015-02-03T00:00:00"/>
    <x v="5"/>
    <x v="4"/>
    <s v="P"/>
    <x v="3"/>
    <x v="0"/>
    <x v="108"/>
    <s v=""/>
    <x v="4"/>
    <x v="2"/>
    <x v="4"/>
    <x v="3"/>
    <x v="0"/>
    <d v="1899-12-30T00:00:00"/>
    <d v="1899-12-30T00:00:00"/>
  </r>
  <r>
    <n v="1335"/>
    <x v="0"/>
    <x v="47"/>
    <x v="1010"/>
    <m/>
    <x v="4"/>
    <s v="Roma"/>
    <m/>
    <x v="1"/>
    <d v="2014-03-27T00:00:00"/>
    <x v="18"/>
    <d v="2014-09-30T00:00:00"/>
    <d v="2014-10-06T00:00:00"/>
    <x v="16"/>
    <x v="3"/>
    <x v="4"/>
    <x v="25"/>
    <x v="0"/>
    <m/>
    <d v="2014-10-15T00:00:00"/>
    <x v="49"/>
    <m/>
    <m/>
    <x v="0"/>
    <x v="0"/>
    <n v="2000"/>
    <m/>
    <x v="1"/>
    <n v="0"/>
    <x v="0"/>
    <x v="0"/>
    <m/>
    <m/>
    <x v="0"/>
    <m/>
    <x v="0"/>
    <d v="2015-01-16T00:00:00"/>
    <x v="5"/>
    <x v="0"/>
    <s v="O"/>
    <x v="3"/>
    <x v="0"/>
    <x v="108"/>
    <s v=""/>
    <x v="4"/>
    <x v="2"/>
    <x v="4"/>
    <x v="3"/>
    <x v="0"/>
    <d v="1899-12-30T00:00:00"/>
    <d v="1899-12-30T00:00:00"/>
  </r>
  <r>
    <n v="1336"/>
    <x v="0"/>
    <x v="47"/>
    <x v="1010"/>
    <m/>
    <x v="4"/>
    <s v="Rio"/>
    <m/>
    <x v="1"/>
    <d v="2014-03-27T00:00:00"/>
    <x v="18"/>
    <d v="2014-10-08T00:00:00"/>
    <d v="2014-10-09T00:00:00"/>
    <x v="16"/>
    <x v="3"/>
    <x v="4"/>
    <x v="25"/>
    <x v="0"/>
    <m/>
    <d v="2014-10-15T00:00:00"/>
    <x v="65"/>
    <m/>
    <m/>
    <x v="0"/>
    <x v="0"/>
    <n v="1000"/>
    <m/>
    <x v="1"/>
    <n v="0"/>
    <x v="0"/>
    <x v="0"/>
    <m/>
    <m/>
    <x v="0"/>
    <m/>
    <x v="0"/>
    <d v="2014-11-11T00:00:00"/>
    <x v="5"/>
    <x v="0"/>
    <s v="O"/>
    <x v="3"/>
    <x v="0"/>
    <x v="108"/>
    <s v=""/>
    <x v="4"/>
    <x v="2"/>
    <x v="4"/>
    <x v="3"/>
    <x v="0"/>
    <d v="1899-12-30T00:00:00"/>
    <d v="1899-12-30T00:00:00"/>
  </r>
  <r>
    <n v="1337"/>
    <x v="0"/>
    <x v="47"/>
    <x v="1010"/>
    <m/>
    <x v="4"/>
    <s v="São Paulo"/>
    <m/>
    <x v="1"/>
    <d v="2014-03-27T00:00:00"/>
    <x v="18"/>
    <d v="2014-10-09T00:00:00"/>
    <d v="2014-10-09T00:00:00"/>
    <x v="16"/>
    <x v="3"/>
    <x v="4"/>
    <x v="25"/>
    <x v="0"/>
    <m/>
    <d v="2014-10-15T00:00:00"/>
    <x v="65"/>
    <m/>
    <m/>
    <x v="0"/>
    <x v="0"/>
    <n v="1000"/>
    <m/>
    <x v="1"/>
    <n v="0"/>
    <x v="0"/>
    <x v="0"/>
    <m/>
    <m/>
    <x v="0"/>
    <m/>
    <x v="0"/>
    <d v="2014-11-11T00:00:00"/>
    <x v="5"/>
    <x v="0"/>
    <s v="O"/>
    <x v="3"/>
    <x v="0"/>
    <x v="108"/>
    <s v=""/>
    <x v="4"/>
    <x v="2"/>
    <x v="4"/>
    <x v="3"/>
    <x v="0"/>
    <d v="1899-12-30T00:00:00"/>
    <d v="1899-12-30T00:00:00"/>
  </r>
  <r>
    <n v="1338"/>
    <x v="1"/>
    <x v="1"/>
    <x v="1021"/>
    <m/>
    <x v="4"/>
    <s v="Curtas de Vila do Conde"/>
    <m/>
    <x v="1"/>
    <d v="2014-03-27T00:00:00"/>
    <x v="18"/>
    <d v="2014-10-08T00:00:00"/>
    <d v="2014-10-09T00:00:00"/>
    <x v="16"/>
    <x v="3"/>
    <x v="4"/>
    <x v="25"/>
    <x v="0"/>
    <m/>
    <d v="2014-11-03T00:00:00"/>
    <x v="101"/>
    <m/>
    <m/>
    <x v="0"/>
    <x v="0"/>
    <n v="500"/>
    <n v="500"/>
    <x v="1"/>
    <n v="500"/>
    <x v="9"/>
    <x v="0"/>
    <m/>
    <m/>
    <x v="0"/>
    <m/>
    <x v="0"/>
    <d v="2015-02-03T00:00:00"/>
    <x v="5"/>
    <x v="0"/>
    <s v="O"/>
    <x v="3"/>
    <x v="0"/>
    <x v="108"/>
    <s v=""/>
    <x v="4"/>
    <x v="2"/>
    <x v="4"/>
    <x v="3"/>
    <x v="0"/>
    <d v="1899-12-30T00:00:00"/>
    <d v="1899-12-30T00:00:00"/>
  </r>
  <r>
    <n v="1339"/>
    <x v="0"/>
    <x v="28"/>
    <x v="1022"/>
    <m/>
    <x v="4"/>
    <s v="São Paulo"/>
    <m/>
    <x v="1"/>
    <d v="2014-03-27T00:00:00"/>
    <x v="18"/>
    <d v="2014-10-14T00:00:00"/>
    <d v="2014-10-16T00:00:00"/>
    <x v="16"/>
    <x v="3"/>
    <x v="4"/>
    <x v="25"/>
    <x v="0"/>
    <m/>
    <d v="2014-10-22T00:00:00"/>
    <x v="49"/>
    <m/>
    <m/>
    <x v="0"/>
    <x v="0"/>
    <n v="2000"/>
    <m/>
    <x v="1"/>
    <n v="0"/>
    <x v="0"/>
    <x v="0"/>
    <m/>
    <m/>
    <x v="0"/>
    <m/>
    <x v="0"/>
    <d v="2014-12-02T00:00:00"/>
    <x v="5"/>
    <x v="11"/>
    <s v="D"/>
    <x v="3"/>
    <x v="0"/>
    <x v="108"/>
    <s v=""/>
    <x v="4"/>
    <x v="2"/>
    <x v="4"/>
    <x v="3"/>
    <x v="0"/>
    <d v="1899-12-30T00:00:00"/>
    <d v="1899-12-30T00:00:00"/>
  </r>
  <r>
    <n v="1340"/>
    <x v="1"/>
    <x v="14"/>
    <x v="1023"/>
    <m/>
    <x v="4"/>
    <s v="Avanca"/>
    <m/>
    <x v="1"/>
    <d v="2014-03-27T00:00:00"/>
    <x v="18"/>
    <d v="2014-10-27T00:00:00"/>
    <d v="2014-10-31T00:00:00"/>
    <x v="16"/>
    <x v="3"/>
    <x v="4"/>
    <x v="25"/>
    <x v="0"/>
    <m/>
    <m/>
    <x v="101"/>
    <m/>
    <m/>
    <x v="0"/>
    <x v="0"/>
    <n v="500"/>
    <n v="500"/>
    <x v="1"/>
    <n v="500"/>
    <x v="9"/>
    <x v="0"/>
    <m/>
    <m/>
    <x v="0"/>
    <m/>
    <x v="0"/>
    <d v="2014-11-11T00:00:00"/>
    <x v="5"/>
    <x v="4"/>
    <s v="P"/>
    <x v="3"/>
    <x v="0"/>
    <x v="108"/>
    <s v=""/>
    <x v="4"/>
    <x v="2"/>
    <x v="4"/>
    <x v="3"/>
    <x v="0"/>
    <d v="1899-12-30T00:00:00"/>
    <d v="1899-12-30T00:00:00"/>
  </r>
  <r>
    <n v="1341"/>
    <x v="1"/>
    <x v="14"/>
    <x v="1024"/>
    <m/>
    <x v="4"/>
    <s v="Avanca"/>
    <m/>
    <x v="1"/>
    <d v="2014-03-27T00:00:00"/>
    <x v="18"/>
    <d v="2014-10-27T00:00:00"/>
    <d v="2014-10-31T00:00:00"/>
    <x v="16"/>
    <x v="3"/>
    <x v="4"/>
    <x v="25"/>
    <x v="0"/>
    <m/>
    <d v="2014-12-09T00:00:00"/>
    <x v="102"/>
    <m/>
    <m/>
    <x v="0"/>
    <x v="0"/>
    <n v="750"/>
    <n v="750"/>
    <x v="1"/>
    <n v="750"/>
    <x v="9"/>
    <x v="0"/>
    <m/>
    <m/>
    <x v="0"/>
    <m/>
    <x v="0"/>
    <d v="2015-02-03T00:00:00"/>
    <x v="5"/>
    <x v="4"/>
    <s v="F"/>
    <x v="3"/>
    <x v="0"/>
    <x v="108"/>
    <s v=""/>
    <x v="4"/>
    <x v="2"/>
    <x v="4"/>
    <x v="3"/>
    <x v="0"/>
    <d v="1899-12-30T00:00:00"/>
    <d v="1899-12-30T00:00:00"/>
  </r>
  <r>
    <n v="1342"/>
    <x v="1"/>
    <x v="4"/>
    <x v="1025"/>
    <m/>
    <x v="4"/>
    <s v="Locarno"/>
    <m/>
    <x v="1"/>
    <d v="2014-03-27T00:00:00"/>
    <x v="18"/>
    <d v="2014-11-10T00:00:00"/>
    <d v="2014-11-12T00:00:00"/>
    <x v="16"/>
    <x v="3"/>
    <x v="4"/>
    <x v="25"/>
    <x v="0"/>
    <m/>
    <d v="2015-12-09T00:00:00"/>
    <x v="61"/>
    <m/>
    <m/>
    <x v="0"/>
    <x v="0"/>
    <n v="2500"/>
    <n v="2500"/>
    <x v="1"/>
    <n v="2500"/>
    <x v="9"/>
    <x v="0"/>
    <m/>
    <m/>
    <x v="0"/>
    <m/>
    <x v="0"/>
    <d v="2015-02-03T00:00:00"/>
    <x v="5"/>
    <x v="1"/>
    <s v="L"/>
    <x v="3"/>
    <x v="0"/>
    <x v="108"/>
    <s v=""/>
    <x v="4"/>
    <x v="2"/>
    <x v="4"/>
    <x v="3"/>
    <x v="0"/>
    <d v="1899-12-30T00:00:00"/>
    <d v="1899-12-30T00:00:00"/>
  </r>
  <r>
    <n v="1343"/>
    <x v="1"/>
    <x v="4"/>
    <x v="9"/>
    <m/>
    <x v="4"/>
    <s v="Hiroshima"/>
    <m/>
    <x v="1"/>
    <d v="2014-03-27T00:00:00"/>
    <x v="18"/>
    <d v="2014-11-10T00:00:00"/>
    <d v="2014-11-12T00:00:00"/>
    <x v="16"/>
    <x v="3"/>
    <x v="4"/>
    <x v="25"/>
    <x v="0"/>
    <m/>
    <d v="2014-12-09T00:00:00"/>
    <x v="65"/>
    <m/>
    <m/>
    <x v="0"/>
    <x v="0"/>
    <n v="1000"/>
    <n v="1000"/>
    <x v="1"/>
    <n v="1000"/>
    <x v="9"/>
    <x v="0"/>
    <m/>
    <m/>
    <x v="0"/>
    <m/>
    <x v="0"/>
    <d v="2015-02-03T00:00:00"/>
    <x v="5"/>
    <x v="1"/>
    <s v="C"/>
    <x v="3"/>
    <x v="0"/>
    <x v="108"/>
    <s v=""/>
    <x v="4"/>
    <x v="2"/>
    <x v="4"/>
    <x v="3"/>
    <x v="0"/>
    <d v="1899-12-30T00:00:00"/>
    <d v="1899-12-30T00:00:00"/>
  </r>
  <r>
    <n v="1344"/>
    <x v="1"/>
    <x v="10"/>
    <x v="822"/>
    <m/>
    <x v="4"/>
    <m/>
    <m/>
    <x v="1"/>
    <d v="2014-03-27T00:00:00"/>
    <x v="18"/>
    <d v="2014-08-13T00:00:00"/>
    <d v="2014-11-24T00:00:00"/>
    <x v="16"/>
    <x v="0"/>
    <x v="0"/>
    <x v="10"/>
    <x v="0"/>
    <m/>
    <d v="2014-11-25T00:00:00"/>
    <x v="156"/>
    <m/>
    <m/>
    <x v="0"/>
    <x v="0"/>
    <n v="200000"/>
    <n v="20000"/>
    <x v="1"/>
    <n v="20000"/>
    <x v="1"/>
    <x v="0"/>
    <d v="2014-11-10T00:00:00"/>
    <m/>
    <x v="0"/>
    <m/>
    <x v="0"/>
    <d v="2015-02-03T00:00:00"/>
    <x v="0"/>
    <x v="4"/>
    <s v="O"/>
    <x v="3"/>
    <x v="0"/>
    <x v="369"/>
    <s v=""/>
    <x v="4"/>
    <x v="2"/>
    <x v="0"/>
    <x v="0"/>
    <x v="0"/>
    <d v="2014-11-10T00:00:00"/>
    <d v="1899-12-30T00:00:00"/>
  </r>
  <r>
    <n v="1345"/>
    <x v="1"/>
    <x v="50"/>
    <x v="1026"/>
    <m/>
    <x v="4"/>
    <m/>
    <m/>
    <x v="1"/>
    <d v="2014-03-27T00:00:00"/>
    <x v="18"/>
    <d v="2014-08-13T00:00:00"/>
    <d v="2014-11-24T00:00:00"/>
    <x v="16"/>
    <x v="0"/>
    <x v="0"/>
    <x v="10"/>
    <x v="0"/>
    <m/>
    <d v="2014-11-24T00:00:00"/>
    <x v="156"/>
    <m/>
    <m/>
    <x v="0"/>
    <x v="0"/>
    <n v="200000"/>
    <n v="20000"/>
    <x v="1"/>
    <n v="20000"/>
    <x v="3"/>
    <x v="0"/>
    <d v="2014-11-10T00:00:00"/>
    <d v="2014-12-20T00:00:00"/>
    <x v="26"/>
    <m/>
    <x v="0"/>
    <d v="2015-01-16T00:00:00"/>
    <x v="0"/>
    <x v="7"/>
    <s v="C"/>
    <x v="3"/>
    <x v="0"/>
    <x v="391"/>
    <s v=""/>
    <x v="4"/>
    <x v="2"/>
    <x v="0"/>
    <x v="0"/>
    <x v="0"/>
    <d v="2014-11-10T00:00:00"/>
    <d v="2014-12-20T00:00:00"/>
  </r>
  <r>
    <n v="1346"/>
    <x v="1"/>
    <x v="9"/>
    <x v="595"/>
    <m/>
    <x v="4"/>
    <m/>
    <m/>
    <x v="1"/>
    <d v="2014-03-27T00:00:00"/>
    <x v="18"/>
    <d v="2014-08-13T00:00:00"/>
    <d v="2014-11-24T00:00:00"/>
    <x v="16"/>
    <x v="0"/>
    <x v="0"/>
    <x v="10"/>
    <x v="0"/>
    <m/>
    <d v="2014-11-25T00:00:00"/>
    <x v="156"/>
    <m/>
    <m/>
    <x v="0"/>
    <x v="0"/>
    <n v="200000"/>
    <n v="160000"/>
    <x v="1"/>
    <n v="160000"/>
    <x v="6"/>
    <x v="0"/>
    <m/>
    <m/>
    <x v="0"/>
    <m/>
    <x v="0"/>
    <d v="2014-12-02T00:00:00"/>
    <x v="0"/>
    <x v="3"/>
    <s v="G"/>
    <x v="3"/>
    <x v="0"/>
    <x v="392"/>
    <s v=""/>
    <x v="4"/>
    <x v="2"/>
    <x v="0"/>
    <x v="0"/>
    <x v="0"/>
    <d v="1899-12-30T00:00:00"/>
    <d v="1899-12-30T00:00:00"/>
  </r>
  <r>
    <n v="1347"/>
    <x v="0"/>
    <x v="9"/>
    <x v="91"/>
    <m/>
    <x v="4"/>
    <m/>
    <m/>
    <x v="1"/>
    <d v="2014-03-27T00:00:00"/>
    <x v="18"/>
    <d v="2014-11-26T00:00:00"/>
    <d v="2014-12-05T00:00:00"/>
    <x v="16"/>
    <x v="1"/>
    <x v="2"/>
    <x v="13"/>
    <x v="0"/>
    <m/>
    <m/>
    <x v="101"/>
    <m/>
    <m/>
    <x v="0"/>
    <x v="0"/>
    <n v="500"/>
    <m/>
    <x v="1"/>
    <n v="0"/>
    <x v="0"/>
    <x v="0"/>
    <m/>
    <m/>
    <x v="0"/>
    <m/>
    <x v="0"/>
    <d v="2015-04-06T00:00:00"/>
    <x v="5"/>
    <x v="3"/>
    <s v="O"/>
    <x v="3"/>
    <x v="0"/>
    <x v="108"/>
    <s v=""/>
    <x v="4"/>
    <x v="2"/>
    <x v="4"/>
    <x v="3"/>
    <x v="0"/>
    <d v="1899-12-30T00:00:00"/>
    <d v="1899-12-30T00:00:00"/>
  </r>
  <r>
    <n v="1348"/>
    <x v="0"/>
    <x v="11"/>
    <x v="1016"/>
    <m/>
    <x v="4"/>
    <s v="S. Paulo"/>
    <m/>
    <x v="1"/>
    <d v="2014-03-27T00:00:00"/>
    <x v="18"/>
    <d v="2014-12-03T00:00:00"/>
    <d v="2014-12-05T00:00:00"/>
    <x v="16"/>
    <x v="3"/>
    <x v="4"/>
    <x v="25"/>
    <x v="0"/>
    <m/>
    <d v="2014-12-10T00:00:00"/>
    <x v="65"/>
    <m/>
    <m/>
    <x v="0"/>
    <x v="0"/>
    <n v="1000"/>
    <m/>
    <x v="1"/>
    <n v="0"/>
    <x v="0"/>
    <x v="0"/>
    <m/>
    <m/>
    <x v="0"/>
    <m/>
    <x v="0"/>
    <d v="2015-01-16T00:00:00"/>
    <x v="5"/>
    <x v="4"/>
    <s v="A"/>
    <x v="3"/>
    <x v="0"/>
    <x v="108"/>
    <s v=""/>
    <x v="4"/>
    <x v="2"/>
    <x v="4"/>
    <x v="3"/>
    <x v="0"/>
    <d v="1899-12-30T00:00:00"/>
    <d v="1899-12-30T00:00:00"/>
  </r>
  <r>
    <n v="1349"/>
    <x v="0"/>
    <x v="22"/>
    <x v="970"/>
    <m/>
    <x v="4"/>
    <s v="Rio de Janeiro"/>
    <m/>
    <x v="1"/>
    <d v="2014-03-27T00:00:00"/>
    <x v="18"/>
    <d v="2014-12-03T00:00:00"/>
    <d v="2014-12-05T00:00:00"/>
    <x v="16"/>
    <x v="3"/>
    <x v="4"/>
    <x v="25"/>
    <x v="0"/>
    <m/>
    <d v="2014-12-09T00:00:00"/>
    <x v="65"/>
    <m/>
    <m/>
    <x v="0"/>
    <x v="0"/>
    <n v="1000"/>
    <m/>
    <x v="1"/>
    <n v="0"/>
    <x v="0"/>
    <x v="0"/>
    <m/>
    <m/>
    <x v="0"/>
    <m/>
    <x v="0"/>
    <d v="2015-01-16T00:00:00"/>
    <x v="5"/>
    <x v="9"/>
    <s v="C"/>
    <x v="3"/>
    <x v="0"/>
    <x v="108"/>
    <s v=""/>
    <x v="4"/>
    <x v="2"/>
    <x v="4"/>
    <x v="3"/>
    <x v="0"/>
    <d v="1899-12-30T00:00:00"/>
    <d v="1899-12-30T00:00:00"/>
  </r>
  <r>
    <n v="1350"/>
    <x v="0"/>
    <x v="23"/>
    <x v="1027"/>
    <m/>
    <x v="4"/>
    <s v="Veneza"/>
    <m/>
    <x v="1"/>
    <d v="2014-03-27T00:00:00"/>
    <x v="18"/>
    <d v="2014-12-04T00:00:00"/>
    <d v="2014-12-05T00:00:00"/>
    <x v="16"/>
    <x v="3"/>
    <x v="4"/>
    <x v="25"/>
    <x v="0"/>
    <m/>
    <d v="2014-12-09T00:00:00"/>
    <x v="122"/>
    <m/>
    <m/>
    <x v="0"/>
    <x v="0"/>
    <n v="5000"/>
    <m/>
    <x v="1"/>
    <n v="0"/>
    <x v="0"/>
    <x v="0"/>
    <m/>
    <m/>
    <x v="0"/>
    <m/>
    <x v="0"/>
    <d v="2015-01-16T00:00:00"/>
    <x v="5"/>
    <x v="9"/>
    <s v="O"/>
    <x v="3"/>
    <x v="0"/>
    <x v="108"/>
    <s v=""/>
    <x v="4"/>
    <x v="2"/>
    <x v="4"/>
    <x v="3"/>
    <x v="0"/>
    <d v="1899-12-30T00:00:00"/>
    <d v="1899-12-30T00:00:00"/>
  </r>
  <r>
    <n v="1351"/>
    <x v="0"/>
    <x v="23"/>
    <x v="53"/>
    <m/>
    <x v="4"/>
    <m/>
    <m/>
    <x v="1"/>
    <d v="2014-03-27T00:00:00"/>
    <x v="18"/>
    <d v="2014-12-04T00:00:00"/>
    <d v="2014-12-09T00:00:00"/>
    <x v="16"/>
    <x v="1"/>
    <x v="2"/>
    <x v="13"/>
    <x v="0"/>
    <m/>
    <d v="2015-01-21T00:00:00"/>
    <x v="101"/>
    <m/>
    <m/>
    <x v="0"/>
    <x v="0"/>
    <n v="500"/>
    <m/>
    <x v="1"/>
    <n v="0"/>
    <x v="0"/>
    <x v="0"/>
    <m/>
    <m/>
    <x v="0"/>
    <m/>
    <x v="0"/>
    <d v="2015-03-02T00:00:00"/>
    <x v="5"/>
    <x v="9"/>
    <s v="C"/>
    <x v="3"/>
    <x v="0"/>
    <x v="108"/>
    <s v=""/>
    <x v="4"/>
    <x v="2"/>
    <x v="4"/>
    <x v="3"/>
    <x v="0"/>
    <d v="1899-12-30T00:00:00"/>
    <d v="1899-12-30T00:00:00"/>
  </r>
  <r>
    <n v="1352"/>
    <x v="0"/>
    <x v="50"/>
    <x v="1020"/>
    <m/>
    <x v="4"/>
    <m/>
    <m/>
    <x v="1"/>
    <d v="2014-03-27T00:00:00"/>
    <x v="18"/>
    <d v="2014-12-12T00:00:00"/>
    <d v="2014-12-12T00:00:00"/>
    <x v="16"/>
    <x v="1"/>
    <x v="2"/>
    <x v="13"/>
    <x v="0"/>
    <m/>
    <d v="2015-01-15T00:00:00"/>
    <x v="70"/>
    <m/>
    <m/>
    <x v="0"/>
    <x v="0"/>
    <n v="6000"/>
    <m/>
    <x v="1"/>
    <n v="0"/>
    <x v="0"/>
    <x v="0"/>
    <m/>
    <m/>
    <x v="0"/>
    <m/>
    <x v="0"/>
    <d v="2015-02-03T00:00:00"/>
    <x v="5"/>
    <x v="7"/>
    <s v="V"/>
    <x v="3"/>
    <x v="0"/>
    <x v="108"/>
    <s v=""/>
    <x v="4"/>
    <x v="2"/>
    <x v="4"/>
    <x v="3"/>
    <x v="0"/>
    <d v="1899-12-30T00:00:00"/>
    <d v="1899-12-30T00:00:00"/>
  </r>
  <r>
    <n v="1353"/>
    <x v="1"/>
    <x v="14"/>
    <x v="1024"/>
    <m/>
    <x v="4"/>
    <s v="Luxemburgo "/>
    <m/>
    <x v="1"/>
    <d v="2014-03-27T00:00:00"/>
    <x v="18"/>
    <d v="2014-12-10T00:00:00"/>
    <d v="2014-12-12T00:00:00"/>
    <x v="16"/>
    <x v="1"/>
    <x v="2"/>
    <x v="16"/>
    <x v="0"/>
    <m/>
    <m/>
    <x v="31"/>
    <m/>
    <m/>
    <x v="0"/>
    <x v="0"/>
    <n v="7500"/>
    <n v="7500"/>
    <x v="1"/>
    <n v="7500"/>
    <x v="12"/>
    <x v="0"/>
    <m/>
    <m/>
    <x v="0"/>
    <m/>
    <x v="0"/>
    <d v="2014-12-15T00:00:00"/>
    <x v="5"/>
    <x v="4"/>
    <s v="F"/>
    <x v="3"/>
    <x v="0"/>
    <x v="108"/>
    <s v=""/>
    <x v="4"/>
    <x v="2"/>
    <x v="4"/>
    <x v="3"/>
    <x v="0"/>
    <d v="1899-12-30T00:00:00"/>
    <d v="1899-12-30T00:00:00"/>
  </r>
  <r>
    <n v="1354"/>
    <x v="1"/>
    <x v="23"/>
    <x v="1028"/>
    <m/>
    <x v="4"/>
    <m/>
    <m/>
    <x v="1"/>
    <d v="2014-07-15T00:00:00"/>
    <x v="18"/>
    <d v="2014-09-30T00:00:00"/>
    <d v="2014-12-04T00:00:00"/>
    <x v="16"/>
    <x v="0"/>
    <x v="0"/>
    <x v="38"/>
    <x v="0"/>
    <m/>
    <m/>
    <x v="24"/>
    <m/>
    <m/>
    <x v="0"/>
    <x v="0"/>
    <n v="100000"/>
    <n v="100000"/>
    <x v="1"/>
    <n v="100000"/>
    <x v="12"/>
    <x v="0"/>
    <m/>
    <m/>
    <x v="0"/>
    <m/>
    <x v="0"/>
    <d v="2015-03-02T00:00:00"/>
    <x v="0"/>
    <x v="9"/>
    <s v="9"/>
    <x v="3"/>
    <x v="0"/>
    <x v="393"/>
    <s v=""/>
    <x v="4"/>
    <x v="2"/>
    <x v="0"/>
    <x v="0"/>
    <x v="0"/>
    <d v="1899-12-30T00:00:00"/>
    <d v="1899-12-30T00:00:00"/>
  </r>
  <r>
    <n v="1355"/>
    <x v="1"/>
    <x v="50"/>
    <x v="1026"/>
    <m/>
    <x v="4"/>
    <m/>
    <m/>
    <x v="1"/>
    <d v="2014-07-15T00:00:00"/>
    <x v="18"/>
    <d v="2014-09-30T00:00:00"/>
    <d v="2014-12-04T00:00:00"/>
    <x v="16"/>
    <x v="0"/>
    <x v="0"/>
    <x v="38"/>
    <x v="0"/>
    <m/>
    <d v="2014-12-11T00:00:00"/>
    <x v="24"/>
    <m/>
    <m/>
    <x v="0"/>
    <x v="0"/>
    <n v="100000"/>
    <n v="10000"/>
    <x v="1"/>
    <n v="10000"/>
    <x v="3"/>
    <x v="0"/>
    <d v="2014-11-10T00:00:00"/>
    <m/>
    <x v="0"/>
    <m/>
    <x v="0"/>
    <d v="2015-01-16T00:00:00"/>
    <x v="0"/>
    <x v="7"/>
    <s v="C"/>
    <x v="3"/>
    <x v="0"/>
    <x v="394"/>
    <s v=""/>
    <x v="4"/>
    <x v="2"/>
    <x v="0"/>
    <x v="0"/>
    <x v="0"/>
    <d v="2014-11-10T00:00:00"/>
    <d v="1899-12-30T00:00:00"/>
  </r>
  <r>
    <n v="1356"/>
    <x v="1"/>
    <x v="90"/>
    <x v="1029"/>
    <m/>
    <x v="4"/>
    <m/>
    <m/>
    <x v="1"/>
    <d v="2014-03-27T00:00:00"/>
    <x v="18"/>
    <d v="2014-05-22T00:00:00"/>
    <d v="2014-12-12T00:00:00"/>
    <x v="16"/>
    <x v="4"/>
    <x v="5"/>
    <x v="39"/>
    <x v="0"/>
    <m/>
    <d v="2015-01-21T00:00:00"/>
    <x v="116"/>
    <m/>
    <m/>
    <x v="0"/>
    <x v="0"/>
    <n v="30000"/>
    <n v="30000"/>
    <x v="1"/>
    <n v="30000"/>
    <x v="9"/>
    <x v="0"/>
    <m/>
    <m/>
    <x v="0"/>
    <m/>
    <x v="0"/>
    <d v="2015-02-03T00:00:00"/>
    <x v="5"/>
    <x v="19"/>
    <s v="F"/>
    <x v="3"/>
    <x v="0"/>
    <x v="108"/>
    <s v=""/>
    <x v="4"/>
    <x v="2"/>
    <x v="4"/>
    <x v="3"/>
    <x v="0"/>
    <d v="1899-12-30T00:00:00"/>
    <d v="1899-12-30T00:00:00"/>
  </r>
  <r>
    <n v="1357"/>
    <x v="1"/>
    <x v="95"/>
    <x v="1030"/>
    <m/>
    <x v="4"/>
    <m/>
    <m/>
    <x v="1"/>
    <d v="2014-03-27T00:00:00"/>
    <x v="18"/>
    <d v="2014-05-22T00:00:00"/>
    <d v="2014-12-12T00:00:00"/>
    <x v="16"/>
    <x v="4"/>
    <x v="5"/>
    <x v="39"/>
    <x v="0"/>
    <m/>
    <d v="2015-01-21T00:00:00"/>
    <x v="116"/>
    <m/>
    <m/>
    <x v="0"/>
    <x v="0"/>
    <n v="30000"/>
    <n v="30000"/>
    <x v="1"/>
    <n v="30000"/>
    <x v="9"/>
    <x v="0"/>
    <m/>
    <m/>
    <x v="0"/>
    <m/>
    <x v="0"/>
    <d v="2014-12-17T00:00:00"/>
    <x v="5"/>
    <x v="2"/>
    <s v="P"/>
    <x v="3"/>
    <x v="0"/>
    <x v="108"/>
    <s v=""/>
    <x v="4"/>
    <x v="2"/>
    <x v="4"/>
    <x v="3"/>
    <x v="0"/>
    <d v="1899-12-30T00:00:00"/>
    <d v="1899-12-30T00:00:00"/>
  </r>
  <r>
    <n v="1358"/>
    <x v="1"/>
    <x v="94"/>
    <x v="1031"/>
    <m/>
    <x v="4"/>
    <m/>
    <m/>
    <x v="1"/>
    <d v="2014-03-27T00:00:00"/>
    <x v="18"/>
    <d v="2014-05-22T00:00:00"/>
    <d v="2014-12-12T00:00:00"/>
    <x v="16"/>
    <x v="4"/>
    <x v="5"/>
    <x v="39"/>
    <x v="0"/>
    <m/>
    <d v="2015-01-21T00:00:00"/>
    <x v="116"/>
    <m/>
    <m/>
    <x v="0"/>
    <x v="0"/>
    <n v="30000"/>
    <n v="22000"/>
    <x v="1"/>
    <n v="22000"/>
    <x v="9"/>
    <x v="0"/>
    <m/>
    <m/>
    <x v="0"/>
    <m/>
    <x v="0"/>
    <d v="2014-12-17T00:00:00"/>
    <x v="5"/>
    <x v="19"/>
    <s v="A"/>
    <x v="3"/>
    <x v="0"/>
    <x v="108"/>
    <s v=""/>
    <x v="4"/>
    <x v="2"/>
    <x v="4"/>
    <x v="3"/>
    <x v="0"/>
    <d v="1899-12-30T00:00:00"/>
    <d v="1899-12-30T00:00:00"/>
  </r>
  <r>
    <n v="1359"/>
    <x v="1"/>
    <x v="91"/>
    <x v="1032"/>
    <m/>
    <x v="4"/>
    <m/>
    <m/>
    <x v="1"/>
    <d v="2014-03-27T00:00:00"/>
    <x v="18"/>
    <d v="2014-05-22T00:00:00"/>
    <d v="2014-12-12T00:00:00"/>
    <x v="16"/>
    <x v="4"/>
    <x v="5"/>
    <x v="39"/>
    <x v="0"/>
    <m/>
    <m/>
    <x v="45"/>
    <m/>
    <m/>
    <x v="0"/>
    <x v="0"/>
    <n v="10000"/>
    <n v="10000"/>
    <x v="1"/>
    <n v="10000"/>
    <x v="12"/>
    <x v="0"/>
    <m/>
    <m/>
    <x v="0"/>
    <m/>
    <x v="0"/>
    <d v="2014-12-17T00:00:00"/>
    <x v="5"/>
    <x v="14"/>
    <s v="E"/>
    <x v="3"/>
    <x v="0"/>
    <x v="108"/>
    <s v=""/>
    <x v="4"/>
    <x v="2"/>
    <x v="4"/>
    <x v="3"/>
    <x v="0"/>
    <d v="1899-12-30T00:00:00"/>
    <d v="1899-12-30T00:00:00"/>
  </r>
  <r>
    <n v="1360"/>
    <x v="1"/>
    <x v="222"/>
    <x v="1033"/>
    <m/>
    <x v="4"/>
    <m/>
    <m/>
    <x v="1"/>
    <d v="2014-12-27T00:00:00"/>
    <x v="18"/>
    <d v="2014-05-22T00:00:00"/>
    <d v="2014-12-12T00:00:00"/>
    <x v="16"/>
    <x v="4"/>
    <x v="5"/>
    <x v="39"/>
    <x v="0"/>
    <m/>
    <m/>
    <x v="45"/>
    <m/>
    <m/>
    <x v="0"/>
    <x v="0"/>
    <n v="10000"/>
    <n v="10000"/>
    <x v="1"/>
    <n v="10000"/>
    <x v="12"/>
    <x v="0"/>
    <m/>
    <m/>
    <x v="0"/>
    <m/>
    <x v="0"/>
    <d v="2014-12-17T00:00:00"/>
    <x v="5"/>
    <x v="20"/>
    <s v="C"/>
    <x v="3"/>
    <x v="0"/>
    <x v="108"/>
    <s v=""/>
    <x v="4"/>
    <x v="2"/>
    <x v="4"/>
    <x v="3"/>
    <x v="0"/>
    <d v="1899-12-30T00:00:00"/>
    <d v="1899-12-30T00:00:00"/>
  </r>
  <r>
    <n v="1361"/>
    <x v="1"/>
    <x v="93"/>
    <x v="1034"/>
    <m/>
    <x v="4"/>
    <m/>
    <m/>
    <x v="1"/>
    <d v="2014-12-27T00:00:00"/>
    <x v="18"/>
    <d v="2014-05-22T00:00:00"/>
    <d v="2014-12-12T00:00:00"/>
    <x v="16"/>
    <x v="4"/>
    <x v="5"/>
    <x v="39"/>
    <x v="0"/>
    <m/>
    <d v="2015-01-21T00:00:00"/>
    <x v="116"/>
    <m/>
    <m/>
    <x v="0"/>
    <x v="0"/>
    <n v="30000"/>
    <n v="30000"/>
    <x v="1"/>
    <n v="30000"/>
    <x v="9"/>
    <x v="0"/>
    <m/>
    <m/>
    <x v="0"/>
    <m/>
    <x v="0"/>
    <d v="2014-12-17T00:00:00"/>
    <x v="5"/>
    <x v="14"/>
    <s v="P"/>
    <x v="3"/>
    <x v="0"/>
    <x v="108"/>
    <s v=""/>
    <x v="4"/>
    <x v="2"/>
    <x v="4"/>
    <x v="3"/>
    <x v="0"/>
    <d v="1899-12-30T00:00:00"/>
    <d v="1899-12-30T00:00:00"/>
  </r>
  <r>
    <n v="1362"/>
    <x v="1"/>
    <x v="96"/>
    <x v="1035"/>
    <m/>
    <x v="4"/>
    <m/>
    <m/>
    <x v="1"/>
    <d v="2014-12-27T00:00:00"/>
    <x v="18"/>
    <d v="2014-05-22T00:00:00"/>
    <d v="2014-12-12T00:00:00"/>
    <x v="16"/>
    <x v="4"/>
    <x v="5"/>
    <x v="39"/>
    <x v="0"/>
    <m/>
    <d v="2015-01-21T00:00:00"/>
    <x v="107"/>
    <m/>
    <m/>
    <x v="0"/>
    <x v="0"/>
    <n v="21000"/>
    <n v="15400"/>
    <x v="1"/>
    <n v="15400"/>
    <x v="9"/>
    <x v="0"/>
    <m/>
    <m/>
    <x v="0"/>
    <m/>
    <x v="0"/>
    <d v="2015-04-06T00:00:00"/>
    <x v="5"/>
    <x v="20"/>
    <s v="P"/>
    <x v="3"/>
    <x v="0"/>
    <x v="108"/>
    <s v=""/>
    <x v="4"/>
    <x v="2"/>
    <x v="4"/>
    <x v="3"/>
    <x v="0"/>
    <d v="1899-12-30T00:00:00"/>
    <d v="1899-12-30T00:00:00"/>
  </r>
  <r>
    <n v="1363"/>
    <x v="1"/>
    <x v="223"/>
    <x v="1036"/>
    <m/>
    <x v="4"/>
    <m/>
    <m/>
    <x v="1"/>
    <d v="2014-12-27T00:00:00"/>
    <x v="18"/>
    <d v="2014-05-22T00:00:00"/>
    <d v="2014-12-12T00:00:00"/>
    <x v="16"/>
    <x v="4"/>
    <x v="5"/>
    <x v="39"/>
    <x v="0"/>
    <m/>
    <d v="2015-01-21T00:00:00"/>
    <x v="107"/>
    <m/>
    <m/>
    <x v="0"/>
    <x v="0"/>
    <n v="21000"/>
    <n v="21000"/>
    <x v="1"/>
    <n v="21000"/>
    <x v="9"/>
    <x v="0"/>
    <m/>
    <m/>
    <x v="0"/>
    <m/>
    <x v="0"/>
    <d v="2014-12-17T00:00:00"/>
    <x v="5"/>
    <x v="20"/>
    <s v="U"/>
    <x v="3"/>
    <x v="0"/>
    <x v="108"/>
    <s v=""/>
    <x v="4"/>
    <x v="2"/>
    <x v="4"/>
    <x v="3"/>
    <x v="0"/>
    <d v="1899-12-30T00:00:00"/>
    <d v="1899-12-30T00:00:00"/>
  </r>
  <r>
    <n v="1364"/>
    <x v="1"/>
    <x v="224"/>
    <x v="1037"/>
    <m/>
    <x v="4"/>
    <m/>
    <m/>
    <x v="1"/>
    <d v="2014-12-27T00:00:00"/>
    <x v="18"/>
    <d v="2014-05-22T00:00:00"/>
    <d v="2014-12-12T00:00:00"/>
    <x v="16"/>
    <x v="4"/>
    <x v="5"/>
    <x v="39"/>
    <x v="0"/>
    <m/>
    <d v="2015-01-13T00:00:00"/>
    <x v="263"/>
    <m/>
    <m/>
    <x v="0"/>
    <x v="0"/>
    <n v="18000"/>
    <n v="18000"/>
    <x v="1"/>
    <n v="18000"/>
    <x v="9"/>
    <x v="0"/>
    <m/>
    <m/>
    <x v="0"/>
    <m/>
    <x v="0"/>
    <d v="2014-12-17T00:00:00"/>
    <x v="5"/>
    <x v="14"/>
    <s v="U"/>
    <x v="3"/>
    <x v="0"/>
    <x v="108"/>
    <s v=""/>
    <x v="4"/>
    <x v="2"/>
    <x v="4"/>
    <x v="3"/>
    <x v="0"/>
    <d v="1899-12-30T00:00:00"/>
    <d v="1899-12-30T00:00:00"/>
  </r>
  <r>
    <n v="1365"/>
    <x v="1"/>
    <x v="60"/>
    <x v="931"/>
    <m/>
    <x v="4"/>
    <m/>
    <m/>
    <x v="1"/>
    <d v="2014-03-27T00:00:00"/>
    <x v="18"/>
    <d v="2014-05-13T00:00:00"/>
    <d v="2014-12-16T00:00:00"/>
    <x v="16"/>
    <x v="4"/>
    <x v="5"/>
    <x v="40"/>
    <x v="0"/>
    <m/>
    <d v="2015-01-22T00:00:00"/>
    <x v="33"/>
    <m/>
    <m/>
    <x v="0"/>
    <x v="0"/>
    <n v="60000"/>
    <n v="44000"/>
    <x v="1"/>
    <n v="44000"/>
    <x v="9"/>
    <x v="0"/>
    <m/>
    <m/>
    <x v="0"/>
    <m/>
    <x v="0"/>
    <d v="2015-02-03T00:00:00"/>
    <x v="5"/>
    <x v="2"/>
    <s v="P"/>
    <x v="3"/>
    <x v="0"/>
    <x v="108"/>
    <s v=""/>
    <x v="4"/>
    <x v="2"/>
    <x v="4"/>
    <x v="3"/>
    <x v="0"/>
    <d v="1899-12-30T00:00:00"/>
    <d v="1899-12-30T00:00:00"/>
  </r>
  <r>
    <n v="1366"/>
    <x v="1"/>
    <x v="72"/>
    <x v="1038"/>
    <m/>
    <x v="4"/>
    <m/>
    <m/>
    <x v="1"/>
    <d v="2014-03-27T00:00:00"/>
    <x v="18"/>
    <d v="2014-05-13T00:00:00"/>
    <d v="2014-12-16T00:00:00"/>
    <x v="16"/>
    <x v="4"/>
    <x v="5"/>
    <x v="40"/>
    <x v="0"/>
    <m/>
    <d v="2015-01-22T00:00:00"/>
    <x v="33"/>
    <m/>
    <m/>
    <x v="0"/>
    <x v="0"/>
    <n v="60000"/>
    <n v="44000"/>
    <x v="1"/>
    <n v="44000"/>
    <x v="9"/>
    <x v="0"/>
    <m/>
    <m/>
    <x v="0"/>
    <m/>
    <x v="0"/>
    <d v="2015-02-03T00:00:00"/>
    <x v="5"/>
    <x v="9"/>
    <s v="O"/>
    <x v="3"/>
    <x v="0"/>
    <x v="108"/>
    <s v=""/>
    <x v="4"/>
    <x v="2"/>
    <x v="4"/>
    <x v="3"/>
    <x v="0"/>
    <d v="1899-12-30T00:00:00"/>
    <d v="1899-12-30T00:00:00"/>
  </r>
  <r>
    <n v="1367"/>
    <x v="1"/>
    <x v="73"/>
    <x v="205"/>
    <m/>
    <x v="4"/>
    <m/>
    <m/>
    <x v="1"/>
    <d v="2014-03-27T00:00:00"/>
    <x v="18"/>
    <d v="2014-05-13T00:00:00"/>
    <d v="2014-12-16T00:00:00"/>
    <x v="16"/>
    <x v="4"/>
    <x v="5"/>
    <x v="40"/>
    <x v="0"/>
    <m/>
    <d v="2015-01-22T00:00:00"/>
    <x v="33"/>
    <m/>
    <m/>
    <x v="0"/>
    <x v="0"/>
    <n v="60000"/>
    <n v="44000"/>
    <x v="1"/>
    <n v="44000"/>
    <x v="9"/>
    <x v="0"/>
    <m/>
    <m/>
    <x v="0"/>
    <m/>
    <x v="0"/>
    <d v="2015-04-06T00:00:00"/>
    <x v="5"/>
    <x v="0"/>
    <s v="E"/>
    <x v="3"/>
    <x v="0"/>
    <x v="108"/>
    <s v=""/>
    <x v="4"/>
    <x v="2"/>
    <x v="4"/>
    <x v="3"/>
    <x v="0"/>
    <d v="1899-12-30T00:00:00"/>
    <d v="1899-12-30T00:00:00"/>
  </r>
  <r>
    <n v="1368"/>
    <x v="1"/>
    <x v="89"/>
    <x v="1039"/>
    <m/>
    <x v="4"/>
    <m/>
    <m/>
    <x v="1"/>
    <d v="2014-03-27T00:00:00"/>
    <x v="18"/>
    <d v="2014-05-13T00:00:00"/>
    <d v="2014-12-16T00:00:00"/>
    <x v="16"/>
    <x v="4"/>
    <x v="5"/>
    <x v="40"/>
    <x v="0"/>
    <m/>
    <d v="2015-01-26T00:00:00"/>
    <x v="316"/>
    <m/>
    <m/>
    <x v="0"/>
    <x v="0"/>
    <n v="52495.5"/>
    <n v="38496.699999999997"/>
    <x v="1"/>
    <n v="38496.699999999997"/>
    <x v="9"/>
    <x v="0"/>
    <m/>
    <m/>
    <x v="0"/>
    <m/>
    <x v="0"/>
    <d v="2015-04-06T00:00:00"/>
    <x v="5"/>
    <x v="0"/>
    <s v="T"/>
    <x v="3"/>
    <x v="0"/>
    <x v="108"/>
    <s v=""/>
    <x v="4"/>
    <x v="2"/>
    <x v="4"/>
    <x v="3"/>
    <x v="0"/>
    <d v="1899-12-30T00:00:00"/>
    <d v="1899-12-30T00:00:00"/>
  </r>
  <r>
    <n v="1369"/>
    <x v="1"/>
    <x v="88"/>
    <x v="1040"/>
    <m/>
    <x v="4"/>
    <m/>
    <m/>
    <x v="1"/>
    <d v="2014-03-27T00:00:00"/>
    <x v="18"/>
    <d v="2014-05-13T00:00:00"/>
    <d v="2014-12-16T00:00:00"/>
    <x v="16"/>
    <x v="4"/>
    <x v="5"/>
    <x v="40"/>
    <x v="0"/>
    <m/>
    <m/>
    <x v="3"/>
    <m/>
    <m/>
    <x v="0"/>
    <x v="0"/>
    <n v="20000"/>
    <n v="20000"/>
    <x v="1"/>
    <n v="20000"/>
    <x v="12"/>
    <x v="0"/>
    <m/>
    <m/>
    <x v="0"/>
    <m/>
    <x v="0"/>
    <d v="2014-12-23T00:00:00"/>
    <x v="5"/>
    <x v="0"/>
    <s v="F"/>
    <x v="3"/>
    <x v="0"/>
    <x v="108"/>
    <s v=""/>
    <x v="4"/>
    <x v="2"/>
    <x v="4"/>
    <x v="3"/>
    <x v="0"/>
    <d v="1899-12-30T00:00:00"/>
    <d v="1899-12-30T00:00:00"/>
  </r>
  <r>
    <n v="1370"/>
    <x v="1"/>
    <x v="79"/>
    <x v="1041"/>
    <m/>
    <x v="4"/>
    <m/>
    <m/>
    <x v="1"/>
    <d v="2014-03-27T00:00:00"/>
    <x v="18"/>
    <d v="2014-05-13T00:00:00"/>
    <d v="2014-12-16T00:00:00"/>
    <x v="16"/>
    <x v="4"/>
    <x v="5"/>
    <x v="40"/>
    <x v="0"/>
    <m/>
    <m/>
    <x v="317"/>
    <m/>
    <m/>
    <x v="0"/>
    <x v="0"/>
    <n v="2501.5"/>
    <n v="2501.5"/>
    <x v="1"/>
    <n v="2501.5"/>
    <x v="12"/>
    <x v="0"/>
    <m/>
    <m/>
    <x v="0"/>
    <m/>
    <x v="0"/>
    <d v="2014-12-23T00:00:00"/>
    <x v="5"/>
    <x v="0"/>
    <s v="A"/>
    <x v="3"/>
    <x v="0"/>
    <x v="108"/>
    <s v=""/>
    <x v="4"/>
    <x v="2"/>
    <x v="4"/>
    <x v="3"/>
    <x v="0"/>
    <d v="1899-12-30T00:00:00"/>
    <d v="1899-12-30T00:00:00"/>
  </r>
  <r>
    <n v="1371"/>
    <x v="1"/>
    <x v="78"/>
    <x v="1042"/>
    <m/>
    <x v="4"/>
    <m/>
    <m/>
    <x v="1"/>
    <d v="2014-03-27T00:00:00"/>
    <x v="18"/>
    <d v="2014-06-05T00:00:00"/>
    <d v="2014-12-18T00:00:00"/>
    <x v="16"/>
    <x v="3"/>
    <x v="4"/>
    <x v="20"/>
    <x v="0"/>
    <m/>
    <d v="2015-01-21T00:00:00"/>
    <x v="98"/>
    <m/>
    <m/>
    <x v="0"/>
    <x v="0"/>
    <n v="300000"/>
    <n v="250000"/>
    <x v="1"/>
    <n v="250000"/>
    <x v="9"/>
    <x v="0"/>
    <m/>
    <m/>
    <x v="0"/>
    <m/>
    <x v="0"/>
    <d v="2015-02-03T00:00:00"/>
    <x v="5"/>
    <x v="2"/>
    <s v="C"/>
    <x v="3"/>
    <x v="0"/>
    <x v="108"/>
    <s v=""/>
    <x v="4"/>
    <x v="2"/>
    <x v="4"/>
    <x v="3"/>
    <x v="0"/>
    <d v="1899-12-30T00:00:00"/>
    <d v="1899-12-30T00:00:00"/>
  </r>
  <r>
    <n v="1372"/>
    <x v="1"/>
    <x v="79"/>
    <x v="905"/>
    <m/>
    <x v="4"/>
    <m/>
    <m/>
    <x v="1"/>
    <d v="2014-03-27T00:00:00"/>
    <x v="18"/>
    <d v="2014-06-05T00:00:00"/>
    <d v="2014-12-18T00:00:00"/>
    <x v="16"/>
    <x v="3"/>
    <x v="4"/>
    <x v="20"/>
    <x v="0"/>
    <m/>
    <d v="2015-01-21T00:00:00"/>
    <x v="318"/>
    <m/>
    <m/>
    <x v="0"/>
    <x v="0"/>
    <n v="292500"/>
    <n v="243750"/>
    <x v="1"/>
    <n v="243750"/>
    <x v="9"/>
    <x v="0"/>
    <m/>
    <m/>
    <x v="0"/>
    <m/>
    <x v="0"/>
    <d v="2015-03-02T00:00:00"/>
    <x v="5"/>
    <x v="0"/>
    <s v="D"/>
    <x v="3"/>
    <x v="0"/>
    <x v="108"/>
    <s v=""/>
    <x v="4"/>
    <x v="2"/>
    <x v="4"/>
    <x v="3"/>
    <x v="0"/>
    <d v="1899-12-30T00:00:00"/>
    <d v="1899-12-30T00:00:00"/>
  </r>
  <r>
    <n v="1373"/>
    <x v="1"/>
    <x v="220"/>
    <x v="1043"/>
    <m/>
    <x v="4"/>
    <m/>
    <m/>
    <x v="1"/>
    <d v="2014-03-27T00:00:00"/>
    <x v="18"/>
    <d v="2014-06-05T00:00:00"/>
    <d v="2014-12-18T00:00:00"/>
    <x v="16"/>
    <x v="3"/>
    <x v="4"/>
    <x v="20"/>
    <x v="0"/>
    <m/>
    <d v="2015-01-21T00:00:00"/>
    <x v="319"/>
    <m/>
    <m/>
    <x v="0"/>
    <x v="0"/>
    <n v="282000"/>
    <n v="235000"/>
    <x v="1"/>
    <n v="235000"/>
    <x v="9"/>
    <x v="0"/>
    <m/>
    <m/>
    <x v="0"/>
    <m/>
    <x v="0"/>
    <d v="2015-04-06T00:00:00"/>
    <x v="5"/>
    <x v="0"/>
    <s v="I"/>
    <x v="3"/>
    <x v="0"/>
    <x v="108"/>
    <s v=""/>
    <x v="4"/>
    <x v="2"/>
    <x v="4"/>
    <x v="3"/>
    <x v="0"/>
    <d v="1899-12-30T00:00:00"/>
    <d v="1899-12-30T00:00:00"/>
  </r>
  <r>
    <n v="1374"/>
    <x v="1"/>
    <x v="84"/>
    <x v="1044"/>
    <m/>
    <x v="4"/>
    <m/>
    <m/>
    <x v="1"/>
    <d v="2014-03-27T00:00:00"/>
    <x v="18"/>
    <d v="2014-06-05T00:00:00"/>
    <d v="2014-12-18T00:00:00"/>
    <x v="16"/>
    <x v="3"/>
    <x v="4"/>
    <x v="20"/>
    <x v="0"/>
    <m/>
    <d v="2015-01-21T00:00:00"/>
    <x v="320"/>
    <m/>
    <m/>
    <x v="0"/>
    <x v="0"/>
    <n v="270000"/>
    <n v="225000"/>
    <x v="1"/>
    <n v="225000"/>
    <x v="9"/>
    <x v="0"/>
    <m/>
    <m/>
    <x v="0"/>
    <m/>
    <x v="0"/>
    <d v="2015-03-02T00:00:00"/>
    <x v="5"/>
    <x v="13"/>
    <s v="M"/>
    <x v="3"/>
    <x v="0"/>
    <x v="108"/>
    <s v=""/>
    <x v="4"/>
    <x v="2"/>
    <x v="4"/>
    <x v="3"/>
    <x v="0"/>
    <d v="1899-12-30T00:00:00"/>
    <d v="1899-12-30T00:00:00"/>
  </r>
  <r>
    <n v="1375"/>
    <x v="1"/>
    <x v="80"/>
    <x v="906"/>
    <m/>
    <x v="4"/>
    <m/>
    <m/>
    <x v="1"/>
    <d v="2014-03-27T00:00:00"/>
    <x v="18"/>
    <d v="2014-06-05T00:00:00"/>
    <d v="2014-12-18T00:00:00"/>
    <x v="16"/>
    <x v="3"/>
    <x v="4"/>
    <x v="20"/>
    <x v="0"/>
    <m/>
    <d v="2015-01-15T00:00:00"/>
    <x v="321"/>
    <m/>
    <m/>
    <x v="0"/>
    <x v="0"/>
    <n v="259500"/>
    <n v="216250"/>
    <x v="1"/>
    <n v="216250"/>
    <x v="9"/>
    <x v="0"/>
    <m/>
    <m/>
    <x v="0"/>
    <m/>
    <x v="0"/>
    <d v="2015-02-03T00:00:00"/>
    <x v="5"/>
    <x v="2"/>
    <s v="F"/>
    <x v="3"/>
    <x v="0"/>
    <x v="108"/>
    <s v=""/>
    <x v="4"/>
    <x v="2"/>
    <x v="4"/>
    <x v="3"/>
    <x v="0"/>
    <d v="1899-12-30T00:00:00"/>
    <d v="1899-12-30T00:00:00"/>
  </r>
  <r>
    <n v="1376"/>
    <x v="1"/>
    <x v="76"/>
    <x v="1045"/>
    <m/>
    <x v="4"/>
    <m/>
    <m/>
    <x v="1"/>
    <d v="2014-03-27T00:00:00"/>
    <x v="18"/>
    <d v="2014-06-05T00:00:00"/>
    <d v="2014-12-18T00:00:00"/>
    <x v="16"/>
    <x v="3"/>
    <x v="4"/>
    <x v="20"/>
    <x v="0"/>
    <m/>
    <d v="2015-01-21T00:00:00"/>
    <x v="285"/>
    <m/>
    <m/>
    <x v="0"/>
    <x v="0"/>
    <n v="165000"/>
    <n v="137500"/>
    <x v="1"/>
    <n v="137500"/>
    <x v="9"/>
    <x v="0"/>
    <m/>
    <m/>
    <x v="0"/>
    <m/>
    <x v="0"/>
    <d v="2015-03-02T00:00:00"/>
    <x v="5"/>
    <x v="18"/>
    <s v="C"/>
    <x v="3"/>
    <x v="0"/>
    <x v="108"/>
    <s v=""/>
    <x v="4"/>
    <x v="2"/>
    <x v="4"/>
    <x v="3"/>
    <x v="0"/>
    <d v="1899-12-30T00:00:00"/>
    <d v="1899-12-30T00:00:00"/>
  </r>
  <r>
    <n v="1377"/>
    <x v="1"/>
    <x v="50"/>
    <x v="1046"/>
    <m/>
    <x v="4"/>
    <m/>
    <m/>
    <x v="1"/>
    <d v="2014-03-27T00:00:00"/>
    <x v="18"/>
    <d v="2014-06-05T00:00:00"/>
    <d v="2014-12-18T00:00:00"/>
    <x v="16"/>
    <x v="3"/>
    <x v="4"/>
    <x v="20"/>
    <x v="0"/>
    <m/>
    <d v="2015-01-15T00:00:00"/>
    <x v="322"/>
    <m/>
    <m/>
    <x v="0"/>
    <x v="0"/>
    <n v="255000"/>
    <n v="212500"/>
    <x v="1"/>
    <n v="212500"/>
    <x v="9"/>
    <x v="0"/>
    <m/>
    <m/>
    <x v="0"/>
    <m/>
    <x v="0"/>
    <d v="2015-02-03T00:00:00"/>
    <x v="5"/>
    <x v="7"/>
    <s v="L"/>
    <x v="3"/>
    <x v="0"/>
    <x v="108"/>
    <s v=""/>
    <x v="4"/>
    <x v="2"/>
    <x v="4"/>
    <x v="3"/>
    <x v="0"/>
    <d v="1899-12-30T00:00:00"/>
    <d v="1899-12-30T00:00:00"/>
  </r>
  <r>
    <n v="1378"/>
    <x v="1"/>
    <x v="82"/>
    <x v="1047"/>
    <m/>
    <x v="4"/>
    <m/>
    <m/>
    <x v="1"/>
    <d v="2014-03-27T00:00:00"/>
    <x v="18"/>
    <d v="2014-06-05T00:00:00"/>
    <d v="2014-12-18T00:00:00"/>
    <x v="16"/>
    <x v="3"/>
    <x v="4"/>
    <x v="20"/>
    <x v="0"/>
    <m/>
    <d v="2015-01-21T00:00:00"/>
    <x v="99"/>
    <m/>
    <m/>
    <x v="0"/>
    <x v="0"/>
    <n v="150000"/>
    <n v="125000"/>
    <x v="1"/>
    <n v="125000"/>
    <x v="9"/>
    <x v="0"/>
    <m/>
    <m/>
    <x v="0"/>
    <m/>
    <x v="0"/>
    <d v="2015-02-03T00:00:00"/>
    <x v="5"/>
    <x v="6"/>
    <s v="Q"/>
    <x v="3"/>
    <x v="0"/>
    <x v="108"/>
    <s v=""/>
    <x v="4"/>
    <x v="2"/>
    <x v="4"/>
    <x v="3"/>
    <x v="0"/>
    <d v="1899-12-30T00:00:00"/>
    <d v="1899-12-30T00:00:00"/>
  </r>
  <r>
    <n v="1379"/>
    <x v="1"/>
    <x v="87"/>
    <x v="1048"/>
    <m/>
    <x v="4"/>
    <m/>
    <m/>
    <x v="1"/>
    <d v="2014-03-27T00:00:00"/>
    <x v="18"/>
    <d v="2014-06-05T00:00:00"/>
    <d v="2014-12-18T00:00:00"/>
    <x v="16"/>
    <x v="3"/>
    <x v="4"/>
    <x v="20"/>
    <x v="0"/>
    <m/>
    <m/>
    <x v="39"/>
    <m/>
    <m/>
    <x v="0"/>
    <x v="0"/>
    <n v="35000"/>
    <n v="35000"/>
    <x v="1"/>
    <n v="35000"/>
    <x v="12"/>
    <x v="0"/>
    <m/>
    <m/>
    <x v="0"/>
    <m/>
    <x v="0"/>
    <d v="2014-12-23T00:00:00"/>
    <x v="5"/>
    <x v="4"/>
    <s v="F"/>
    <x v="3"/>
    <x v="0"/>
    <x v="108"/>
    <s v=""/>
    <x v="4"/>
    <x v="2"/>
    <x v="4"/>
    <x v="3"/>
    <x v="0"/>
    <d v="1899-12-30T00:00:00"/>
    <d v="1899-12-30T00:00:00"/>
  </r>
  <r>
    <n v="1380"/>
    <x v="1"/>
    <x v="86"/>
    <x v="1049"/>
    <m/>
    <x v="4"/>
    <m/>
    <m/>
    <x v="1"/>
    <d v="2014-03-27T00:00:00"/>
    <x v="18"/>
    <d v="2014-06-05T00:00:00"/>
    <d v="2014-12-18T00:00:00"/>
    <x v="16"/>
    <x v="3"/>
    <x v="4"/>
    <x v="20"/>
    <x v="0"/>
    <m/>
    <d v="2015-01-21T00:00:00"/>
    <x v="2"/>
    <m/>
    <m/>
    <x v="0"/>
    <x v="0"/>
    <n v="75000"/>
    <n v="62500"/>
    <x v="1"/>
    <n v="62500"/>
    <x v="9"/>
    <x v="0"/>
    <m/>
    <m/>
    <x v="0"/>
    <m/>
    <x v="0"/>
    <d v="2015-02-03T00:00:00"/>
    <x v="5"/>
    <x v="2"/>
    <s v="C"/>
    <x v="3"/>
    <x v="0"/>
    <x v="108"/>
    <s v=""/>
    <x v="4"/>
    <x v="2"/>
    <x v="4"/>
    <x v="3"/>
    <x v="0"/>
    <d v="1899-12-30T00:00:00"/>
    <d v="1899-12-30T00:00:00"/>
  </r>
  <r>
    <n v="1381"/>
    <x v="1"/>
    <x v="67"/>
    <x v="1050"/>
    <m/>
    <x v="4"/>
    <m/>
    <m/>
    <x v="1"/>
    <d v="2014-03-27T00:00:00"/>
    <x v="18"/>
    <d v="2014-06-05T00:00:00"/>
    <d v="2014-12-18T00:00:00"/>
    <x v="16"/>
    <x v="3"/>
    <x v="4"/>
    <x v="20"/>
    <x v="0"/>
    <m/>
    <m/>
    <x v="323"/>
    <m/>
    <m/>
    <x v="0"/>
    <x v="0"/>
    <n v="22000"/>
    <n v="22000"/>
    <x v="1"/>
    <n v="22000"/>
    <x v="12"/>
    <x v="0"/>
    <m/>
    <m/>
    <x v="0"/>
    <m/>
    <x v="0"/>
    <d v="2014-12-23T00:00:00"/>
    <x v="5"/>
    <x v="2"/>
    <s v="A"/>
    <x v="3"/>
    <x v="0"/>
    <x v="108"/>
    <s v=""/>
    <x v="4"/>
    <x v="2"/>
    <x v="4"/>
    <x v="3"/>
    <x v="0"/>
    <d v="1899-12-30T00:00:00"/>
    <d v="1899-12-30T00:00:00"/>
  </r>
  <r>
    <n v="1382"/>
    <x v="1"/>
    <x v="200"/>
    <x v="1051"/>
    <m/>
    <x v="4"/>
    <m/>
    <m/>
    <x v="1"/>
    <d v="2014-03-27T00:00:00"/>
    <x v="18"/>
    <d v="2014-06-05T00:00:00"/>
    <d v="2014-12-18T00:00:00"/>
    <x v="16"/>
    <x v="3"/>
    <x v="4"/>
    <x v="20"/>
    <x v="0"/>
    <m/>
    <m/>
    <x v="107"/>
    <m/>
    <m/>
    <x v="0"/>
    <x v="0"/>
    <n v="21000"/>
    <n v="21000"/>
    <x v="1"/>
    <n v="21000"/>
    <x v="12"/>
    <x v="0"/>
    <m/>
    <m/>
    <x v="0"/>
    <m/>
    <x v="0"/>
    <d v="2014-12-23T00:00:00"/>
    <x v="5"/>
    <x v="4"/>
    <s v="3"/>
    <x v="3"/>
    <x v="0"/>
    <x v="108"/>
    <s v=""/>
    <x v="4"/>
    <x v="2"/>
    <x v="4"/>
    <x v="3"/>
    <x v="0"/>
    <d v="1899-12-30T00:00:00"/>
    <d v="1899-12-30T00:00:00"/>
  </r>
  <r>
    <n v="1383"/>
    <x v="1"/>
    <x v="85"/>
    <x v="1052"/>
    <m/>
    <x v="4"/>
    <m/>
    <m/>
    <x v="1"/>
    <d v="2014-03-27T00:00:00"/>
    <x v="18"/>
    <d v="2014-06-05T00:00:00"/>
    <d v="2014-12-18T00:00:00"/>
    <x v="16"/>
    <x v="3"/>
    <x v="4"/>
    <x v="20"/>
    <x v="0"/>
    <m/>
    <d v="2015-01-21T00:00:00"/>
    <x v="22"/>
    <m/>
    <m/>
    <x v="0"/>
    <x v="0"/>
    <n v="54000"/>
    <n v="45000"/>
    <x v="1"/>
    <n v="45000"/>
    <x v="9"/>
    <x v="0"/>
    <m/>
    <m/>
    <x v="0"/>
    <m/>
    <x v="0"/>
    <d v="2015-03-02T00:00:00"/>
    <x v="5"/>
    <x v="2"/>
    <s v="M"/>
    <x v="3"/>
    <x v="0"/>
    <x v="108"/>
    <s v=""/>
    <x v="4"/>
    <x v="2"/>
    <x v="4"/>
    <x v="3"/>
    <x v="0"/>
    <d v="1899-12-30T00:00:00"/>
    <d v="1899-12-30T00:00:00"/>
  </r>
  <r>
    <n v="1384"/>
    <x v="1"/>
    <x v="73"/>
    <x v="1053"/>
    <m/>
    <x v="4"/>
    <m/>
    <m/>
    <x v="1"/>
    <d v="2014-03-27T00:00:00"/>
    <x v="18"/>
    <d v="2014-06-05T00:00:00"/>
    <d v="2014-12-18T00:00:00"/>
    <x v="16"/>
    <x v="3"/>
    <x v="4"/>
    <x v="20"/>
    <x v="0"/>
    <m/>
    <d v="2015-01-21T00:00:00"/>
    <x v="81"/>
    <m/>
    <m/>
    <x v="0"/>
    <x v="0"/>
    <n v="15000"/>
    <n v="12500"/>
    <x v="1"/>
    <n v="12500"/>
    <x v="9"/>
    <x v="0"/>
    <m/>
    <m/>
    <x v="0"/>
    <m/>
    <x v="0"/>
    <d v="2015-04-06T00:00:00"/>
    <x v="5"/>
    <x v="0"/>
    <s v="E"/>
    <x v="3"/>
    <x v="0"/>
    <x v="108"/>
    <s v=""/>
    <x v="4"/>
    <x v="2"/>
    <x v="4"/>
    <x v="3"/>
    <x v="0"/>
    <d v="1899-12-30T00:00:00"/>
    <d v="1899-12-30T00:00:00"/>
  </r>
  <r>
    <n v="1385"/>
    <x v="1"/>
    <x v="74"/>
    <x v="179"/>
    <m/>
    <x v="4"/>
    <m/>
    <m/>
    <x v="1"/>
    <d v="2014-03-27T00:00:00"/>
    <x v="18"/>
    <d v="2014-06-05T00:00:00"/>
    <d v="2014-12-18T00:00:00"/>
    <x v="16"/>
    <x v="3"/>
    <x v="4"/>
    <x v="20"/>
    <x v="0"/>
    <m/>
    <m/>
    <x v="45"/>
    <m/>
    <m/>
    <x v="0"/>
    <x v="0"/>
    <n v="10000"/>
    <n v="10000"/>
    <x v="1"/>
    <n v="10000"/>
    <x v="12"/>
    <x v="0"/>
    <m/>
    <m/>
    <x v="0"/>
    <m/>
    <x v="0"/>
    <d v="2014-12-23T00:00:00"/>
    <x v="5"/>
    <x v="12"/>
    <s v="F"/>
    <x v="3"/>
    <x v="0"/>
    <x v="108"/>
    <s v=""/>
    <x v="4"/>
    <x v="2"/>
    <x v="4"/>
    <x v="3"/>
    <x v="0"/>
    <d v="1899-12-30T00:00:00"/>
    <d v="1899-12-30T00:00:00"/>
  </r>
  <r>
    <n v="1386"/>
    <x v="1"/>
    <x v="37"/>
    <x v="1054"/>
    <m/>
    <x v="4"/>
    <m/>
    <m/>
    <x v="1"/>
    <d v="2014-03-27T00:00:00"/>
    <x v="18"/>
    <d v="2014-06-05T00:00:00"/>
    <d v="2014-12-18T00:00:00"/>
    <x v="16"/>
    <x v="3"/>
    <x v="4"/>
    <x v="20"/>
    <x v="0"/>
    <m/>
    <m/>
    <x v="70"/>
    <m/>
    <m/>
    <x v="0"/>
    <x v="0"/>
    <n v="6000"/>
    <n v="6000"/>
    <x v="1"/>
    <n v="6000"/>
    <x v="12"/>
    <x v="0"/>
    <m/>
    <m/>
    <x v="0"/>
    <m/>
    <x v="0"/>
    <d v="2014-12-23T00:00:00"/>
    <x v="5"/>
    <x v="3"/>
    <s v="T"/>
    <x v="3"/>
    <x v="0"/>
    <x v="108"/>
    <s v=""/>
    <x v="4"/>
    <x v="2"/>
    <x v="4"/>
    <x v="3"/>
    <x v="0"/>
    <d v="1899-12-30T00:00:00"/>
    <d v="1899-12-30T00:00:00"/>
  </r>
  <r>
    <n v="1387"/>
    <x v="0"/>
    <x v="22"/>
    <x v="970"/>
    <m/>
    <x v="4"/>
    <s v="Gotemburgo"/>
    <m/>
    <x v="1"/>
    <d v="2014-03-27T00:00:00"/>
    <x v="18"/>
    <d v="2014-12-17T00:00:00"/>
    <d v="2014-12-19T00:00:00"/>
    <x v="16"/>
    <x v="3"/>
    <x v="4"/>
    <x v="25"/>
    <x v="0"/>
    <m/>
    <m/>
    <x v="49"/>
    <m/>
    <m/>
    <x v="0"/>
    <x v="0"/>
    <n v="2000"/>
    <m/>
    <x v="1"/>
    <n v="0"/>
    <x v="0"/>
    <x v="0"/>
    <m/>
    <m/>
    <x v="0"/>
    <m/>
    <x v="0"/>
    <d v="2014-12-23T00:00:00"/>
    <x v="3"/>
    <x v="9"/>
    <s v="C"/>
    <x v="3"/>
    <x v="0"/>
    <x v="108"/>
    <s v=""/>
    <x v="4"/>
    <x v="2"/>
    <x v="2"/>
    <x v="0"/>
    <x v="0"/>
    <d v="1899-12-30T00:00:00"/>
    <d v="1899-12-30T00:00:00"/>
  </r>
  <r>
    <n v="1388"/>
    <x v="1"/>
    <x v="23"/>
    <x v="1055"/>
    <m/>
    <x v="4"/>
    <m/>
    <m/>
    <x v="1"/>
    <d v="2014-03-27T00:00:00"/>
    <x v="18"/>
    <d v="2014-06-26T00:00:00"/>
    <d v="2014-12-23T00:00:00"/>
    <x v="16"/>
    <x v="0"/>
    <x v="0"/>
    <x v="11"/>
    <x v="0"/>
    <m/>
    <d v="2014-12-29T00:00:00"/>
    <x v="27"/>
    <n v="450000"/>
    <m/>
    <x v="0"/>
    <x v="0"/>
    <n v="450000"/>
    <n v="350000"/>
    <x v="1"/>
    <n v="350000"/>
    <x v="6"/>
    <x v="0"/>
    <m/>
    <m/>
    <x v="0"/>
    <m/>
    <x v="0"/>
    <d v="2015-02-03T00:00:00"/>
    <x v="0"/>
    <x v="9"/>
    <s v="M"/>
    <x v="3"/>
    <x v="0"/>
    <x v="53"/>
    <s v=""/>
    <x v="4"/>
    <x v="2"/>
    <x v="0"/>
    <x v="0"/>
    <x v="0"/>
    <d v="1899-12-30T00:00:00"/>
    <d v="1899-12-30T00:00:00"/>
  </r>
  <r>
    <n v="1389"/>
    <x v="1"/>
    <x v="6"/>
    <x v="1056"/>
    <m/>
    <x v="4"/>
    <m/>
    <m/>
    <x v="1"/>
    <d v="2014-03-27T00:00:00"/>
    <x v="18"/>
    <d v="2014-06-26T00:00:00"/>
    <d v="2014-12-23T00:00:00"/>
    <x v="16"/>
    <x v="0"/>
    <x v="0"/>
    <x v="11"/>
    <x v="0"/>
    <m/>
    <d v="2014-12-30T00:00:00"/>
    <x v="27"/>
    <m/>
    <m/>
    <x v="0"/>
    <x v="0"/>
    <n v="500000"/>
    <n v="400000"/>
    <x v="1"/>
    <n v="400000"/>
    <x v="6"/>
    <x v="0"/>
    <m/>
    <m/>
    <x v="0"/>
    <m/>
    <x v="0"/>
    <d v="2015-01-16T00:00:00"/>
    <x v="0"/>
    <x v="2"/>
    <s v="A"/>
    <x v="3"/>
    <x v="0"/>
    <x v="201"/>
    <s v=""/>
    <x v="4"/>
    <x v="2"/>
    <x v="0"/>
    <x v="0"/>
    <x v="0"/>
    <d v="1899-12-30T00:00:00"/>
    <d v="1899-12-30T00:00:00"/>
  </r>
  <r>
    <n v="1390"/>
    <x v="1"/>
    <x v="107"/>
    <x v="1057"/>
    <m/>
    <x v="4"/>
    <s v="DocLisboa"/>
    <m/>
    <x v="1"/>
    <d v="2014-03-27T00:00:00"/>
    <x v="18"/>
    <d v="2014-12-22T00:00:00"/>
    <d v="2014-12-29T00:00:00"/>
    <x v="16"/>
    <x v="3"/>
    <x v="4"/>
    <x v="25"/>
    <x v="0"/>
    <m/>
    <d v="2015-01-28T00:00:00"/>
    <x v="101"/>
    <m/>
    <m/>
    <x v="0"/>
    <x v="0"/>
    <n v="500"/>
    <n v="500"/>
    <x v="1"/>
    <n v="500"/>
    <x v="9"/>
    <x v="0"/>
    <m/>
    <m/>
    <x v="0"/>
    <m/>
    <x v="0"/>
    <d v="2015-01-16T00:00:00"/>
    <x v="5"/>
    <x v="15"/>
    <s v="O"/>
    <x v="3"/>
    <x v="0"/>
    <x v="108"/>
    <s v=""/>
    <x v="4"/>
    <x v="2"/>
    <x v="4"/>
    <x v="3"/>
    <x v="0"/>
    <d v="1899-12-30T00:00:00"/>
    <d v="1899-12-30T00:00:00"/>
  </r>
  <r>
    <n v="1391"/>
    <x v="1"/>
    <x v="6"/>
    <x v="810"/>
    <m/>
    <x v="4"/>
    <s v="Oscars"/>
    <m/>
    <x v="1"/>
    <d v="2014-03-27T00:00:00"/>
    <x v="18"/>
    <d v="2014-12-22T00:00:00"/>
    <d v="2014-12-29T00:00:00"/>
    <x v="16"/>
    <x v="3"/>
    <x v="4"/>
    <x v="25"/>
    <x v="0"/>
    <m/>
    <m/>
    <x v="122"/>
    <m/>
    <m/>
    <x v="0"/>
    <x v="0"/>
    <n v="5000"/>
    <n v="5000"/>
    <x v="1"/>
    <n v="5000"/>
    <x v="12"/>
    <x v="0"/>
    <m/>
    <m/>
    <x v="0"/>
    <m/>
    <x v="0"/>
    <d v="2015-01-16T00:00:00"/>
    <x v="5"/>
    <x v="2"/>
    <s v="E"/>
    <x v="3"/>
    <x v="0"/>
    <x v="108"/>
    <s v=""/>
    <x v="4"/>
    <x v="2"/>
    <x v="4"/>
    <x v="3"/>
    <x v="0"/>
    <d v="1899-12-30T00:00:00"/>
    <d v="1899-12-30T00:00:00"/>
  </r>
  <r>
    <n v="1392"/>
    <x v="1"/>
    <x v="14"/>
    <x v="41"/>
    <m/>
    <x v="4"/>
    <s v="Cinanima"/>
    <m/>
    <x v="1"/>
    <d v="2014-03-27T00:00:00"/>
    <x v="18"/>
    <d v="2014-12-24T00:00:00"/>
    <d v="2014-12-29T00:00:00"/>
    <x v="16"/>
    <x v="3"/>
    <x v="4"/>
    <x v="25"/>
    <x v="0"/>
    <m/>
    <m/>
    <x v="101"/>
    <m/>
    <m/>
    <x v="0"/>
    <x v="0"/>
    <n v="500"/>
    <n v="500"/>
    <x v="1"/>
    <n v="500"/>
    <x v="12"/>
    <x v="0"/>
    <m/>
    <m/>
    <x v="0"/>
    <m/>
    <x v="0"/>
    <d v="2015-01-16T00:00:00"/>
    <x v="5"/>
    <x v="4"/>
    <s v="F"/>
    <x v="3"/>
    <x v="0"/>
    <x v="108"/>
    <s v=""/>
    <x v="4"/>
    <x v="2"/>
    <x v="4"/>
    <x v="3"/>
    <x v="0"/>
    <d v="1899-12-30T00:00:00"/>
    <d v="1899-12-30T00:00:00"/>
  </r>
  <r>
    <n v="1393"/>
    <x v="1"/>
    <x v="14"/>
    <x v="7"/>
    <m/>
    <x v="4"/>
    <s v="Cinanima"/>
    <m/>
    <x v="1"/>
    <d v="2014-03-27T00:00:00"/>
    <x v="18"/>
    <d v="2014-12-24T00:00:00"/>
    <d v="2014-12-29T00:00:00"/>
    <x v="16"/>
    <x v="3"/>
    <x v="4"/>
    <x v="25"/>
    <x v="0"/>
    <m/>
    <m/>
    <x v="101"/>
    <m/>
    <m/>
    <x v="0"/>
    <x v="0"/>
    <n v="500"/>
    <n v="500"/>
    <x v="1"/>
    <n v="500"/>
    <x v="12"/>
    <x v="0"/>
    <m/>
    <m/>
    <x v="0"/>
    <m/>
    <x v="0"/>
    <d v="2015-01-16T00:00:00"/>
    <x v="5"/>
    <x v="4"/>
    <s v="A"/>
    <x v="3"/>
    <x v="0"/>
    <x v="108"/>
    <s v=""/>
    <x v="4"/>
    <x v="2"/>
    <x v="4"/>
    <x v="3"/>
    <x v="0"/>
    <d v="1899-12-30T00:00:00"/>
    <d v="1899-12-30T00:00:00"/>
  </r>
  <r>
    <n v="1394"/>
    <x v="1"/>
    <x v="14"/>
    <x v="7"/>
    <m/>
    <x v="4"/>
    <s v="FIKE"/>
    <m/>
    <x v="1"/>
    <d v="2014-03-27T00:00:00"/>
    <x v="18"/>
    <d v="2014-12-24T00:00:00"/>
    <d v="2014-12-29T00:00:00"/>
    <x v="16"/>
    <x v="3"/>
    <x v="4"/>
    <x v="25"/>
    <x v="0"/>
    <m/>
    <m/>
    <x v="101"/>
    <m/>
    <m/>
    <x v="0"/>
    <x v="0"/>
    <n v="500"/>
    <n v="500"/>
    <x v="1"/>
    <n v="500"/>
    <x v="12"/>
    <x v="0"/>
    <m/>
    <m/>
    <x v="0"/>
    <m/>
    <x v="0"/>
    <d v="2015-01-16T00:00:00"/>
    <x v="5"/>
    <x v="4"/>
    <s v="A"/>
    <x v="3"/>
    <x v="0"/>
    <x v="108"/>
    <s v=""/>
    <x v="4"/>
    <x v="2"/>
    <x v="4"/>
    <x v="3"/>
    <x v="0"/>
    <d v="1899-12-30T00:00:00"/>
    <d v="1899-12-30T00:00:00"/>
  </r>
  <r>
    <n v="1395"/>
    <x v="1"/>
    <x v="6"/>
    <x v="810"/>
    <m/>
    <x v="4"/>
    <m/>
    <m/>
    <x v="1"/>
    <d v="2014-03-27T00:00:00"/>
    <x v="18"/>
    <d v="2014-12-29T00:00:00"/>
    <d v="2014-12-30T00:00:00"/>
    <x v="16"/>
    <x v="1"/>
    <x v="2"/>
    <x v="16"/>
    <x v="0"/>
    <m/>
    <m/>
    <x v="31"/>
    <m/>
    <m/>
    <x v="0"/>
    <x v="0"/>
    <n v="7500"/>
    <n v="7500"/>
    <x v="1"/>
    <n v="7500"/>
    <x v="12"/>
    <x v="0"/>
    <m/>
    <m/>
    <x v="0"/>
    <m/>
    <x v="0"/>
    <d v="2015-01-16T00:00:00"/>
    <x v="5"/>
    <x v="2"/>
    <s v="E"/>
    <x v="3"/>
    <x v="0"/>
    <x v="108"/>
    <s v=""/>
    <x v="4"/>
    <x v="2"/>
    <x v="4"/>
    <x v="3"/>
    <x v="0"/>
    <d v="1899-12-30T00:00:00"/>
    <d v="1899-12-30T00:00:00"/>
  </r>
  <r>
    <n v="1396"/>
    <x v="1"/>
    <x v="49"/>
    <x v="839"/>
    <m/>
    <x v="4"/>
    <m/>
    <m/>
    <x v="1"/>
    <d v="2014-03-27T00:00:00"/>
    <x v="18"/>
    <d v="2014-12-31T00:00:00"/>
    <d v="2015-01-19T00:00:00"/>
    <x v="20"/>
    <x v="1"/>
    <x v="2"/>
    <x v="13"/>
    <x v="0"/>
    <m/>
    <m/>
    <x v="324"/>
    <m/>
    <m/>
    <x v="0"/>
    <x v="0"/>
    <n v="1800"/>
    <n v="1800"/>
    <x v="1"/>
    <n v="1800"/>
    <x v="12"/>
    <x v="0"/>
    <m/>
    <m/>
    <x v="0"/>
    <m/>
    <x v="0"/>
    <d v="2015-01-20T00:00:00"/>
    <x v="5"/>
    <x v="0"/>
    <s v="P"/>
    <x v="3"/>
    <x v="0"/>
    <x v="108"/>
    <s v=""/>
    <x v="4"/>
    <x v="2"/>
    <x v="4"/>
    <x v="3"/>
    <x v="0"/>
    <d v="1899-12-30T00:00:00"/>
    <d v="1899-12-30T00:00:00"/>
  </r>
  <r>
    <n v="1397"/>
    <x v="0"/>
    <x v="18"/>
    <x v="970"/>
    <m/>
    <x v="4"/>
    <m/>
    <m/>
    <x v="1"/>
    <d v="2014-03-27T00:00:00"/>
    <x v="18"/>
    <d v="2014-12-30T00:00:00"/>
    <d v="2015-01-19T00:00:00"/>
    <x v="20"/>
    <x v="1"/>
    <x v="2"/>
    <x v="13"/>
    <x v="0"/>
    <m/>
    <d v="2015-01-27T00:00:00"/>
    <x v="246"/>
    <m/>
    <m/>
    <x v="0"/>
    <x v="0"/>
    <n v="4200"/>
    <m/>
    <x v="1"/>
    <n v="0"/>
    <x v="0"/>
    <x v="0"/>
    <m/>
    <m/>
    <x v="0"/>
    <m/>
    <x v="0"/>
    <d v="2015-02-23T00:00:00"/>
    <x v="5"/>
    <x v="8"/>
    <s v="C"/>
    <x v="3"/>
    <x v="0"/>
    <x v="108"/>
    <s v=""/>
    <x v="4"/>
    <x v="2"/>
    <x v="4"/>
    <x v="3"/>
    <x v="0"/>
    <d v="1899-12-30T00:00:00"/>
    <d v="1899-12-30T00:00:00"/>
  </r>
  <r>
    <n v="1398"/>
    <x v="1"/>
    <x v="6"/>
    <x v="1058"/>
    <m/>
    <x v="4"/>
    <m/>
    <m/>
    <x v="1"/>
    <d v="2014-03-27T00:00:00"/>
    <x v="18"/>
    <d v="2014-06-19T00:00:00"/>
    <d v="2015-01-19T00:00:00"/>
    <x v="20"/>
    <x v="0"/>
    <x v="1"/>
    <x v="41"/>
    <x v="4"/>
    <m/>
    <d v="2015-02-09T00:00:00"/>
    <x v="179"/>
    <m/>
    <m/>
    <x v="0"/>
    <x v="0"/>
    <n v="120000"/>
    <n v="120000"/>
    <x v="1"/>
    <n v="120000"/>
    <x v="9"/>
    <x v="0"/>
    <m/>
    <m/>
    <x v="0"/>
    <m/>
    <x v="0"/>
    <d v="2015-01-22T00:00:00"/>
    <x v="5"/>
    <x v="2"/>
    <s v="P"/>
    <x v="3"/>
    <x v="0"/>
    <x v="108"/>
    <s v=""/>
    <x v="4"/>
    <x v="2"/>
    <x v="4"/>
    <x v="3"/>
    <x v="0"/>
    <d v="1899-12-30T00:00:00"/>
    <d v="1899-12-30T00:00:00"/>
  </r>
  <r>
    <n v="1399"/>
    <x v="1"/>
    <x v="0"/>
    <x v="1059"/>
    <m/>
    <x v="4"/>
    <s v="Plano de Cinema - Alfama Filmes"/>
    <m/>
    <x v="1"/>
    <d v="2014-03-27T00:00:00"/>
    <x v="18"/>
    <d v="2014-06-19T00:00:00"/>
    <d v="2015-01-19T00:00:00"/>
    <x v="20"/>
    <x v="0"/>
    <x v="1"/>
    <x v="41"/>
    <x v="4"/>
    <m/>
    <d v="2015-01-23T00:00:00"/>
    <x v="116"/>
    <m/>
    <m/>
    <x v="0"/>
    <x v="0"/>
    <n v="30000"/>
    <n v="9000"/>
    <x v="1"/>
    <n v="9000"/>
    <x v="8"/>
    <x v="0"/>
    <m/>
    <m/>
    <x v="0"/>
    <m/>
    <x v="0"/>
    <d v="2015-02-23T00:00:00"/>
    <x v="4"/>
    <x v="0"/>
    <s v="R"/>
    <x v="3"/>
    <x v="0"/>
    <x v="395"/>
    <s v=""/>
    <x v="4"/>
    <x v="2"/>
    <x v="3"/>
    <x v="3"/>
    <x v="0"/>
    <d v="1899-12-30T00:00:00"/>
    <d v="1899-12-30T00:00:00"/>
  </r>
  <r>
    <n v="1400"/>
    <x v="1"/>
    <x v="23"/>
    <x v="1060"/>
    <m/>
    <x v="4"/>
    <m/>
    <m/>
    <x v="1"/>
    <d v="2014-03-27T00:00:00"/>
    <x v="18"/>
    <d v="2014-06-19T00:00:00"/>
    <d v="2015-01-19T00:00:00"/>
    <x v="20"/>
    <x v="0"/>
    <x v="1"/>
    <x v="41"/>
    <x v="4"/>
    <m/>
    <m/>
    <x v="325"/>
    <m/>
    <m/>
    <x v="0"/>
    <x v="0"/>
    <n v="140000"/>
    <n v="140000"/>
    <x v="1"/>
    <n v="140000"/>
    <x v="12"/>
    <x v="0"/>
    <m/>
    <m/>
    <x v="0"/>
    <m/>
    <x v="0"/>
    <d v="2015-01-22T00:00:00"/>
    <x v="5"/>
    <x v="9"/>
    <s v="4"/>
    <x v="3"/>
    <x v="0"/>
    <x v="108"/>
    <s v=""/>
    <x v="4"/>
    <x v="2"/>
    <x v="4"/>
    <x v="3"/>
    <x v="0"/>
    <d v="1899-12-30T00:00:00"/>
    <d v="1899-12-30T00:00:00"/>
  </r>
  <r>
    <n v="1401"/>
    <x v="1"/>
    <x v="1"/>
    <x v="1061"/>
    <m/>
    <x v="4"/>
    <m/>
    <m/>
    <x v="1"/>
    <d v="2014-03-27T00:00:00"/>
    <x v="18"/>
    <d v="2014-06-19T00:00:00"/>
    <d v="2015-01-19T00:00:00"/>
    <x v="20"/>
    <x v="0"/>
    <x v="1"/>
    <x v="41"/>
    <x v="4"/>
    <m/>
    <m/>
    <x v="326"/>
    <m/>
    <m/>
    <x v="0"/>
    <x v="0"/>
    <n v="56500"/>
    <n v="56500"/>
    <x v="1"/>
    <n v="56500"/>
    <x v="12"/>
    <x v="0"/>
    <m/>
    <m/>
    <x v="0"/>
    <m/>
    <x v="0"/>
    <d v="2015-01-22T00:00:00"/>
    <x v="5"/>
    <x v="0"/>
    <s v="A"/>
    <x v="3"/>
    <x v="0"/>
    <x v="108"/>
    <s v=""/>
    <x v="4"/>
    <x v="2"/>
    <x v="4"/>
    <x v="3"/>
    <x v="0"/>
    <d v="1899-12-30T00:00:00"/>
    <d v="1899-12-30T00:00:00"/>
  </r>
  <r>
    <n v="1402"/>
    <x v="1"/>
    <x v="4"/>
    <x v="1062"/>
    <m/>
    <x v="4"/>
    <m/>
    <m/>
    <x v="1"/>
    <d v="2014-03-27T00:00:00"/>
    <x v="18"/>
    <d v="2014-06-19T00:00:00"/>
    <d v="2015-01-19T00:00:00"/>
    <x v="20"/>
    <x v="0"/>
    <x v="1"/>
    <x v="41"/>
    <x v="4"/>
    <m/>
    <m/>
    <x v="327"/>
    <m/>
    <m/>
    <x v="0"/>
    <x v="0"/>
    <n v="109000"/>
    <n v="109000"/>
    <x v="1"/>
    <n v="109000"/>
    <x v="12"/>
    <x v="0"/>
    <m/>
    <m/>
    <x v="0"/>
    <m/>
    <x v="0"/>
    <d v="2015-01-22T00:00:00"/>
    <x v="5"/>
    <x v="1"/>
    <s v="P"/>
    <x v="3"/>
    <x v="0"/>
    <x v="108"/>
    <s v=""/>
    <x v="4"/>
    <x v="2"/>
    <x v="4"/>
    <x v="3"/>
    <x v="0"/>
    <d v="1899-12-30T00:00:00"/>
    <d v="1899-12-30T00:00:00"/>
  </r>
  <r>
    <n v="1403"/>
    <x v="1"/>
    <x v="32"/>
    <x v="1063"/>
    <m/>
    <x v="4"/>
    <m/>
    <m/>
    <x v="1"/>
    <d v="2014-03-27T00:00:00"/>
    <x v="18"/>
    <d v="2014-06-19T00:00:00"/>
    <d v="2015-01-19T00:00:00"/>
    <x v="20"/>
    <x v="0"/>
    <x v="1"/>
    <x v="41"/>
    <x v="4"/>
    <m/>
    <m/>
    <x v="325"/>
    <m/>
    <m/>
    <x v="0"/>
    <x v="0"/>
    <n v="140000"/>
    <n v="140000"/>
    <x v="1"/>
    <n v="140000"/>
    <x v="12"/>
    <x v="0"/>
    <m/>
    <m/>
    <x v="0"/>
    <m/>
    <x v="0"/>
    <d v="2015-01-22T00:00:00"/>
    <x v="5"/>
    <x v="13"/>
    <s v="P"/>
    <x v="3"/>
    <x v="0"/>
    <x v="108"/>
    <s v=""/>
    <x v="4"/>
    <x v="2"/>
    <x v="4"/>
    <x v="3"/>
    <x v="0"/>
    <d v="1899-12-30T00:00:00"/>
    <d v="1899-12-30T00:00:00"/>
  </r>
  <r>
    <n v="1404"/>
    <x v="1"/>
    <x v="42"/>
    <x v="1064"/>
    <m/>
    <x v="4"/>
    <s v="Plano de Cinema"/>
    <m/>
    <x v="1"/>
    <d v="2014-03-27T00:00:00"/>
    <x v="18"/>
    <d v="2014-06-19T00:00:00"/>
    <d v="2015-01-19T00:00:00"/>
    <x v="20"/>
    <x v="0"/>
    <x v="1"/>
    <x v="41"/>
    <x v="4"/>
    <m/>
    <d v="2015-02-10T00:00:00"/>
    <x v="3"/>
    <m/>
    <m/>
    <x v="0"/>
    <x v="0"/>
    <n v="20000"/>
    <n v="16850"/>
    <x v="1"/>
    <n v="16850"/>
    <x v="8"/>
    <x v="0"/>
    <m/>
    <m/>
    <x v="0"/>
    <m/>
    <x v="0"/>
    <d v="2015-03-02T00:00:00"/>
    <x v="4"/>
    <x v="14"/>
    <s v="S"/>
    <x v="3"/>
    <x v="0"/>
    <x v="287"/>
    <s v=""/>
    <x v="4"/>
    <x v="2"/>
    <x v="3"/>
    <x v="3"/>
    <x v="0"/>
    <d v="1899-12-30T00:00:00"/>
    <d v="1899-12-30T00:00:00"/>
  </r>
  <r>
    <n v="1405"/>
    <x v="0"/>
    <x v="225"/>
    <x v="1065"/>
    <n v="13264"/>
    <x v="560"/>
    <m/>
    <m/>
    <x v="1"/>
    <d v="2014-03-27T00:00:00"/>
    <x v="18"/>
    <d v="2014-07-17T00:00:00"/>
    <d v="2015-01-19T00:00:00"/>
    <x v="20"/>
    <x v="0"/>
    <x v="0"/>
    <x v="32"/>
    <x v="0"/>
    <m/>
    <d v="2015-02-03T00:00:00"/>
    <x v="328"/>
    <m/>
    <m/>
    <x v="0"/>
    <x v="0"/>
    <n v="16000"/>
    <n v="16000"/>
    <x v="1"/>
    <n v="16000"/>
    <x v="4"/>
    <x v="0"/>
    <m/>
    <m/>
    <x v="0"/>
    <d v="2015-02-24T00:00:00"/>
    <x v="0"/>
    <d v="2015-02-25T00:00:00"/>
    <x v="3"/>
    <x v="1"/>
    <s v="F"/>
    <x v="5"/>
    <x v="0"/>
    <x v="0"/>
    <s v="Bruno de Almeida"/>
    <x v="87"/>
    <x v="1"/>
    <x v="2"/>
    <x v="0"/>
    <x v="0"/>
    <d v="1899-12-30T00:00:00"/>
    <d v="1899-12-30T00:00:00"/>
  </r>
  <r>
    <n v="1406"/>
    <x v="1"/>
    <x v="23"/>
    <x v="1066"/>
    <m/>
    <x v="4"/>
    <m/>
    <m/>
    <x v="1"/>
    <d v="2014-03-27T00:00:00"/>
    <x v="18"/>
    <d v="2014-07-17T00:00:00"/>
    <d v="2015-01-19T00:00:00"/>
    <x v="20"/>
    <x v="0"/>
    <x v="0"/>
    <x v="32"/>
    <x v="0"/>
    <m/>
    <d v="2015-02-03T00:00:00"/>
    <x v="328"/>
    <m/>
    <m/>
    <x v="0"/>
    <x v="0"/>
    <n v="16000"/>
    <n v="3200"/>
    <x v="1"/>
    <n v="3200"/>
    <x v="6"/>
    <x v="0"/>
    <m/>
    <m/>
    <x v="0"/>
    <m/>
    <x v="0"/>
    <d v="2015-03-02T00:00:00"/>
    <x v="3"/>
    <x v="9"/>
    <s v="E"/>
    <x v="3"/>
    <x v="0"/>
    <x v="373"/>
    <s v=""/>
    <x v="4"/>
    <x v="2"/>
    <x v="2"/>
    <x v="3"/>
    <x v="0"/>
    <d v="1899-12-30T00:00:00"/>
    <d v="1899-12-30T00:00:00"/>
  </r>
  <r>
    <n v="1407"/>
    <x v="1"/>
    <x v="4"/>
    <x v="1067"/>
    <m/>
    <x v="4"/>
    <m/>
    <m/>
    <x v="1"/>
    <d v="2014-03-27T00:00:00"/>
    <x v="18"/>
    <d v="2014-07-17T00:00:00"/>
    <d v="2015-01-19T00:00:00"/>
    <x v="20"/>
    <x v="0"/>
    <x v="0"/>
    <x v="32"/>
    <x v="0"/>
    <m/>
    <d v="2015-02-09T00:00:00"/>
    <x v="33"/>
    <m/>
    <m/>
    <x v="0"/>
    <x v="0"/>
    <n v="60000"/>
    <n v="12000"/>
    <x v="1"/>
    <n v="12000"/>
    <x v="3"/>
    <x v="0"/>
    <m/>
    <m/>
    <x v="0"/>
    <m/>
    <x v="0"/>
    <d v="2015-03-02T00:00:00"/>
    <x v="0"/>
    <x v="1"/>
    <s v="O"/>
    <x v="3"/>
    <x v="0"/>
    <x v="11"/>
    <s v=""/>
    <x v="4"/>
    <x v="2"/>
    <x v="0"/>
    <x v="0"/>
    <x v="0"/>
    <d v="1899-12-30T00:00:00"/>
    <d v="1899-12-30T00:00:00"/>
  </r>
  <r>
    <n v="1408"/>
    <x v="1"/>
    <x v="226"/>
    <x v="1068"/>
    <m/>
    <x v="4"/>
    <m/>
    <m/>
    <x v="1"/>
    <d v="2014-03-27T00:00:00"/>
    <x v="18"/>
    <d v="2014-07-17T00:00:00"/>
    <d v="2015-01-19T00:00:00"/>
    <x v="20"/>
    <x v="0"/>
    <x v="0"/>
    <x v="32"/>
    <x v="0"/>
    <m/>
    <m/>
    <x v="179"/>
    <m/>
    <m/>
    <x v="0"/>
    <x v="0"/>
    <n v="120000"/>
    <n v="120000"/>
    <x v="1"/>
    <n v="120000"/>
    <x v="12"/>
    <x v="0"/>
    <m/>
    <m/>
    <x v="0"/>
    <m/>
    <x v="0"/>
    <d v="2015-01-22T00:00:00"/>
    <x v="0"/>
    <x v="20"/>
    <s v="C"/>
    <x v="3"/>
    <x v="0"/>
    <x v="396"/>
    <s v=""/>
    <x v="4"/>
    <x v="2"/>
    <x v="0"/>
    <x v="0"/>
    <x v="0"/>
    <d v="1899-12-30T00:00:00"/>
    <d v="1899-12-30T00:00:00"/>
  </r>
  <r>
    <n v="1409"/>
    <x v="0"/>
    <x v="28"/>
    <x v="1069"/>
    <n v="13376"/>
    <x v="561"/>
    <m/>
    <m/>
    <x v="1"/>
    <d v="2014-03-27T00:00:00"/>
    <x v="18"/>
    <d v="2014-07-17T00:00:00"/>
    <d v="2015-01-19T00:00:00"/>
    <x v="20"/>
    <x v="0"/>
    <x v="0"/>
    <x v="32"/>
    <x v="0"/>
    <m/>
    <d v="2015-01-22T00:00:00"/>
    <x v="328"/>
    <m/>
    <m/>
    <x v="0"/>
    <x v="0"/>
    <n v="16000"/>
    <m/>
    <x v="1"/>
    <n v="0"/>
    <x v="0"/>
    <x v="0"/>
    <m/>
    <m/>
    <x v="0"/>
    <d v="2015-02-18T00:00:00"/>
    <x v="0"/>
    <d v="2015-02-23T00:00:00"/>
    <x v="3"/>
    <x v="11"/>
    <s v="A"/>
    <x v="5"/>
    <x v="0"/>
    <x v="61"/>
    <s v="Rui Simões"/>
    <x v="159"/>
    <x v="1"/>
    <x v="2"/>
    <x v="0"/>
    <x v="0"/>
    <d v="1899-12-30T00:00:00"/>
    <d v="1899-12-30T00:00:00"/>
  </r>
  <r>
    <n v="1410"/>
    <x v="1"/>
    <x v="1"/>
    <x v="1070"/>
    <m/>
    <x v="4"/>
    <m/>
    <m/>
    <x v="1"/>
    <d v="2014-03-27T00:00:00"/>
    <x v="18"/>
    <d v="2014-07-17T00:00:00"/>
    <d v="2015-01-19T00:00:00"/>
    <x v="20"/>
    <x v="0"/>
    <x v="0"/>
    <x v="32"/>
    <x v="0"/>
    <m/>
    <m/>
    <x v="70"/>
    <m/>
    <m/>
    <x v="0"/>
    <x v="0"/>
    <n v="6000"/>
    <n v="6000"/>
    <x v="1"/>
    <n v="6000"/>
    <x v="12"/>
    <x v="0"/>
    <m/>
    <m/>
    <x v="0"/>
    <m/>
    <x v="0"/>
    <d v="2015-01-22T00:00:00"/>
    <x v="1"/>
    <x v="0"/>
    <s v="O"/>
    <x v="3"/>
    <x v="0"/>
    <x v="259"/>
    <s v=""/>
    <x v="4"/>
    <x v="2"/>
    <x v="1"/>
    <x v="1"/>
    <x v="0"/>
    <d v="1899-12-30T00:00:00"/>
    <d v="1899-12-30T00:00:00"/>
  </r>
  <r>
    <n v="1411"/>
    <x v="1"/>
    <x v="32"/>
    <x v="1071"/>
    <m/>
    <x v="4"/>
    <m/>
    <m/>
    <x v="1"/>
    <d v="2014-03-27T00:00:00"/>
    <x v="18"/>
    <d v="2014-07-17T00:00:00"/>
    <d v="2015-01-19T00:00:00"/>
    <x v="20"/>
    <x v="0"/>
    <x v="0"/>
    <x v="32"/>
    <x v="0"/>
    <m/>
    <m/>
    <x v="328"/>
    <m/>
    <m/>
    <x v="0"/>
    <x v="0"/>
    <n v="16000"/>
    <n v="16000"/>
    <x v="1"/>
    <n v="16000"/>
    <x v="12"/>
    <x v="0"/>
    <m/>
    <m/>
    <x v="0"/>
    <m/>
    <x v="0"/>
    <d v="2015-01-22T00:00:00"/>
    <x v="3"/>
    <x v="13"/>
    <s v="U"/>
    <x v="3"/>
    <x v="0"/>
    <x v="397"/>
    <s v=""/>
    <x v="4"/>
    <x v="2"/>
    <x v="2"/>
    <x v="3"/>
    <x v="0"/>
    <d v="1899-12-30T00:00:00"/>
    <d v="1899-12-30T00:00:00"/>
  </r>
  <r>
    <n v="1412"/>
    <x v="1"/>
    <x v="6"/>
    <x v="1072"/>
    <m/>
    <x v="4"/>
    <m/>
    <m/>
    <x v="1"/>
    <d v="2014-03-27T00:00:00"/>
    <x v="18"/>
    <d v="2014-07-17T00:00:00"/>
    <d v="2015-01-19T00:00:00"/>
    <x v="20"/>
    <x v="0"/>
    <x v="0"/>
    <x v="32"/>
    <x v="0"/>
    <m/>
    <m/>
    <x v="328"/>
    <m/>
    <m/>
    <x v="0"/>
    <x v="0"/>
    <n v="16000"/>
    <n v="16000"/>
    <x v="1"/>
    <n v="16000"/>
    <x v="12"/>
    <x v="0"/>
    <m/>
    <m/>
    <x v="0"/>
    <m/>
    <x v="0"/>
    <d v="2015-01-22T00:00:00"/>
    <x v="3"/>
    <x v="2"/>
    <s v="A"/>
    <x v="3"/>
    <x v="0"/>
    <x v="398"/>
    <s v=""/>
    <x v="4"/>
    <x v="2"/>
    <x v="2"/>
    <x v="3"/>
    <x v="0"/>
    <d v="1899-12-30T00:00:00"/>
    <d v="1899-12-30T00:00:00"/>
  </r>
  <r>
    <n v="1413"/>
    <x v="0"/>
    <x v="42"/>
    <x v="1017"/>
    <n v="13510"/>
    <x v="562"/>
    <m/>
    <m/>
    <x v="1"/>
    <d v="2014-03-27T00:00:00"/>
    <x v="18"/>
    <d v="2014-07-17T00:00:00"/>
    <d v="2015-01-19T00:00:00"/>
    <x v="20"/>
    <x v="0"/>
    <x v="0"/>
    <x v="32"/>
    <x v="0"/>
    <m/>
    <d v="2015-02-04T00:00:00"/>
    <x v="134"/>
    <m/>
    <m/>
    <x v="0"/>
    <x v="0"/>
    <n v="7000"/>
    <n v="350"/>
    <x v="1"/>
    <n v="350"/>
    <x v="4"/>
    <x v="0"/>
    <m/>
    <m/>
    <x v="0"/>
    <d v="2015-02-16T00:00:00"/>
    <x v="0"/>
    <d v="2015-03-02T00:00:00"/>
    <x v="2"/>
    <x v="14"/>
    <s v="M"/>
    <x v="5"/>
    <x v="0"/>
    <x v="399"/>
    <s v="Pedro Amorim"/>
    <x v="4"/>
    <x v="4"/>
    <x v="0"/>
    <x v="1"/>
    <x v="0"/>
    <d v="1899-12-30T00:00:00"/>
    <d v="1899-12-30T00:00:00"/>
  </r>
  <r>
    <n v="1414"/>
    <x v="1"/>
    <x v="126"/>
    <x v="1073"/>
    <m/>
    <x v="4"/>
    <m/>
    <m/>
    <x v="1"/>
    <d v="2014-03-27T00:00:00"/>
    <x v="18"/>
    <d v="2014-07-17T00:00:00"/>
    <d v="2015-01-19T00:00:00"/>
    <x v="20"/>
    <x v="0"/>
    <x v="0"/>
    <x v="32"/>
    <x v="0"/>
    <m/>
    <m/>
    <x v="328"/>
    <m/>
    <m/>
    <x v="0"/>
    <x v="0"/>
    <n v="16000"/>
    <n v="16000"/>
    <x v="1"/>
    <n v="16000"/>
    <x v="12"/>
    <x v="0"/>
    <m/>
    <m/>
    <x v="0"/>
    <m/>
    <x v="0"/>
    <d v="2015-01-22T00:00:00"/>
    <x v="3"/>
    <x v="22"/>
    <s v="O"/>
    <x v="3"/>
    <x v="0"/>
    <x v="400"/>
    <s v=""/>
    <x v="4"/>
    <x v="2"/>
    <x v="2"/>
    <x v="3"/>
    <x v="0"/>
    <d v="1899-12-30T00:00:00"/>
    <d v="1899-12-30T00:00:00"/>
  </r>
  <r>
    <n v="1415"/>
    <x v="0"/>
    <x v="107"/>
    <x v="1057"/>
    <n v="13572"/>
    <x v="563"/>
    <m/>
    <m/>
    <x v="1"/>
    <d v="2014-03-27T00:00:00"/>
    <x v="18"/>
    <d v="2014-07-17T00:00:00"/>
    <d v="2015-01-19T00:00:00"/>
    <x v="20"/>
    <x v="0"/>
    <x v="0"/>
    <x v="32"/>
    <x v="0"/>
    <m/>
    <d v="2015-02-04T00:00:00"/>
    <x v="328"/>
    <m/>
    <m/>
    <x v="0"/>
    <x v="0"/>
    <n v="16000"/>
    <n v="16000"/>
    <x v="1"/>
    <n v="16000"/>
    <x v="4"/>
    <x v="0"/>
    <m/>
    <m/>
    <x v="0"/>
    <d v="2015-02-27T00:00:00"/>
    <x v="0"/>
    <d v="2015-03-10T00:00:00"/>
    <x v="3"/>
    <x v="15"/>
    <s v="O"/>
    <x v="5"/>
    <x v="0"/>
    <x v="401"/>
    <s v="João Miller Guerra, Filipa Reis"/>
    <x v="90"/>
    <x v="4"/>
    <x v="2"/>
    <x v="1"/>
    <x v="0"/>
    <d v="1899-12-30T00:00:00"/>
    <d v="1899-12-30T00:00:00"/>
  </r>
  <r>
    <n v="1416"/>
    <x v="1"/>
    <x v="193"/>
    <x v="1074"/>
    <m/>
    <x v="4"/>
    <m/>
    <m/>
    <x v="1"/>
    <d v="2014-03-27T00:00:00"/>
    <x v="18"/>
    <d v="2014-07-17T00:00:00"/>
    <d v="2015-01-19T00:00:00"/>
    <x v="20"/>
    <x v="0"/>
    <x v="0"/>
    <x v="32"/>
    <x v="0"/>
    <m/>
    <m/>
    <x v="328"/>
    <m/>
    <m/>
    <x v="0"/>
    <x v="0"/>
    <n v="16000"/>
    <n v="16000"/>
    <x v="1"/>
    <n v="16000"/>
    <x v="12"/>
    <x v="0"/>
    <m/>
    <m/>
    <x v="0"/>
    <m/>
    <x v="0"/>
    <d v="2015-01-22T00:00:00"/>
    <x v="3"/>
    <x v="10"/>
    <s v="D"/>
    <x v="3"/>
    <x v="0"/>
    <x v="67"/>
    <s v=""/>
    <x v="4"/>
    <x v="2"/>
    <x v="2"/>
    <x v="3"/>
    <x v="0"/>
    <d v="1899-12-30T00:00:00"/>
    <d v="1899-12-30T00:00:00"/>
  </r>
  <r>
    <n v="1417"/>
    <x v="1"/>
    <x v="196"/>
    <x v="1075"/>
    <m/>
    <x v="4"/>
    <m/>
    <m/>
    <x v="1"/>
    <d v="2014-03-27T00:00:00"/>
    <x v="18"/>
    <d v="2014-07-17T00:00:00"/>
    <d v="2015-01-19T00:00:00"/>
    <x v="20"/>
    <x v="0"/>
    <x v="0"/>
    <x v="32"/>
    <x v="0"/>
    <m/>
    <d v="2015-03-04T00:00:00"/>
    <x v="328"/>
    <m/>
    <m/>
    <x v="0"/>
    <x v="0"/>
    <n v="16000"/>
    <n v="3200"/>
    <x v="1"/>
    <n v="3200"/>
    <x v="3"/>
    <x v="0"/>
    <m/>
    <m/>
    <x v="0"/>
    <m/>
    <x v="0"/>
    <d v="2015-04-06T00:00:00"/>
    <x v="3"/>
    <x v="13"/>
    <s v="O"/>
    <x v="3"/>
    <x v="0"/>
    <x v="402"/>
    <s v=""/>
    <x v="4"/>
    <x v="2"/>
    <x v="2"/>
    <x v="3"/>
    <x v="0"/>
    <d v="1899-12-30T00:00:00"/>
    <d v="1899-12-30T00:00:00"/>
  </r>
  <r>
    <n v="1418"/>
    <x v="1"/>
    <x v="9"/>
    <x v="1076"/>
    <m/>
    <x v="4"/>
    <m/>
    <m/>
    <x v="1"/>
    <d v="2014-03-27T00:00:00"/>
    <x v="18"/>
    <d v="2014-07-17T00:00:00"/>
    <d v="2015-01-19T00:00:00"/>
    <x v="20"/>
    <x v="0"/>
    <x v="0"/>
    <x v="32"/>
    <x v="0"/>
    <m/>
    <d v="2015-02-10T00:00:00"/>
    <x v="117"/>
    <m/>
    <m/>
    <x v="0"/>
    <x v="0"/>
    <n v="63000"/>
    <n v="12600"/>
    <x v="1"/>
    <n v="12600"/>
    <x v="3"/>
    <x v="0"/>
    <m/>
    <m/>
    <x v="0"/>
    <m/>
    <x v="0"/>
    <d v="2015-04-06T00:00:00"/>
    <x v="0"/>
    <x v="3"/>
    <s v="E"/>
    <x v="3"/>
    <x v="0"/>
    <x v="101"/>
    <s v=""/>
    <x v="4"/>
    <x v="2"/>
    <x v="0"/>
    <x v="0"/>
    <x v="0"/>
    <d v="1899-12-30T00:00:00"/>
    <d v="1899-12-30T00:00:00"/>
  </r>
  <r>
    <n v="1419"/>
    <x v="1"/>
    <x v="101"/>
    <x v="1077"/>
    <m/>
    <x v="4"/>
    <m/>
    <m/>
    <x v="0"/>
    <d v="2014-03-27T00:00:00"/>
    <x v="18"/>
    <d v="2014-05-29T00:00:00"/>
    <d v="2015-01-19T00:00:00"/>
    <x v="20"/>
    <x v="0"/>
    <x v="0"/>
    <x v="0"/>
    <x v="0"/>
    <m/>
    <d v="2015-02-04T00:00:00"/>
    <x v="0"/>
    <m/>
    <m/>
    <x v="0"/>
    <x v="0"/>
    <n v="600000"/>
    <n v="480000"/>
    <x v="1"/>
    <n v="480000"/>
    <x v="6"/>
    <x v="0"/>
    <m/>
    <m/>
    <x v="0"/>
    <m/>
    <x v="0"/>
    <d v="2015-03-02T00:00:00"/>
    <x v="0"/>
    <x v="0"/>
    <s v="C"/>
    <x v="3"/>
    <x v="0"/>
    <x v="153"/>
    <s v=""/>
    <x v="4"/>
    <x v="2"/>
    <x v="0"/>
    <x v="0"/>
    <x v="0"/>
    <d v="1899-12-30T00:00:00"/>
    <d v="1899-12-30T00:00:00"/>
  </r>
  <r>
    <n v="1420"/>
    <x v="1"/>
    <x v="23"/>
    <x v="1078"/>
    <m/>
    <x v="4"/>
    <m/>
    <m/>
    <x v="0"/>
    <d v="2014-03-27T00:00:00"/>
    <x v="18"/>
    <d v="2014-05-29T00:00:00"/>
    <d v="2015-01-19T00:00:00"/>
    <x v="20"/>
    <x v="0"/>
    <x v="0"/>
    <x v="0"/>
    <x v="0"/>
    <m/>
    <d v="2015-02-03T00:00:00"/>
    <x v="0"/>
    <m/>
    <m/>
    <x v="0"/>
    <x v="0"/>
    <n v="600000"/>
    <n v="480000"/>
    <x v="1"/>
    <n v="480000"/>
    <x v="6"/>
    <x v="0"/>
    <m/>
    <m/>
    <x v="0"/>
    <m/>
    <x v="0"/>
    <d v="2015-03-02T00:00:00"/>
    <x v="0"/>
    <x v="9"/>
    <s v="R"/>
    <x v="3"/>
    <x v="0"/>
    <x v="63"/>
    <s v=""/>
    <x v="4"/>
    <x v="2"/>
    <x v="0"/>
    <x v="0"/>
    <x v="0"/>
    <d v="1899-12-30T00:00:00"/>
    <d v="1899-12-30T00:00:00"/>
  </r>
  <r>
    <n v="1421"/>
    <x v="1"/>
    <x v="17"/>
    <x v="250"/>
    <m/>
    <x v="4"/>
    <s v="França"/>
    <m/>
    <x v="1"/>
    <d v="2015-01-12T00:00:00"/>
    <x v="19"/>
    <d v="2015-01-15T00:00:00"/>
    <d v="2015-01-19T00:00:00"/>
    <x v="20"/>
    <x v="1"/>
    <x v="2"/>
    <x v="16"/>
    <x v="0"/>
    <m/>
    <m/>
    <x v="329"/>
    <m/>
    <m/>
    <x v="0"/>
    <x v="0"/>
    <n v="6750"/>
    <n v="6750"/>
    <x v="1"/>
    <n v="6750"/>
    <x v="12"/>
    <x v="0"/>
    <m/>
    <m/>
    <x v="0"/>
    <m/>
    <x v="0"/>
    <d v="2015-01-22T00:00:00"/>
    <x v="5"/>
    <x v="7"/>
    <s v="P"/>
    <x v="3"/>
    <x v="0"/>
    <x v="108"/>
    <s v=""/>
    <x v="4"/>
    <x v="2"/>
    <x v="4"/>
    <x v="3"/>
    <x v="0"/>
    <d v="1899-12-30T00:00:00"/>
    <d v="1899-12-30T00:00:00"/>
  </r>
  <r>
    <n v="1422"/>
    <x v="1"/>
    <x v="201"/>
    <x v="1079"/>
    <m/>
    <x v="4"/>
    <s v="Festival Internacional de Berlim"/>
    <m/>
    <x v="1"/>
    <d v="2015-01-12T00:00:00"/>
    <x v="19"/>
    <d v="2015-01-26T00:00:00"/>
    <d v="2015-01-27T00:00:00"/>
    <x v="20"/>
    <x v="3"/>
    <x v="4"/>
    <x v="25"/>
    <x v="0"/>
    <m/>
    <d v="2015-02-19T00:00:00"/>
    <x v="3"/>
    <m/>
    <m/>
    <x v="0"/>
    <x v="0"/>
    <n v="20000"/>
    <n v="8000"/>
    <x v="1"/>
    <n v="8000"/>
    <x v="9"/>
    <x v="0"/>
    <m/>
    <m/>
    <x v="0"/>
    <m/>
    <x v="0"/>
    <d v="2015-04-06T00:00:00"/>
    <x v="5"/>
    <x v="10"/>
    <s v="R"/>
    <x v="3"/>
    <x v="0"/>
    <x v="108"/>
    <s v=""/>
    <x v="4"/>
    <x v="2"/>
    <x v="4"/>
    <x v="3"/>
    <x v="0"/>
    <d v="1899-12-30T00:00:00"/>
    <d v="1899-12-30T00:00:00"/>
  </r>
  <r>
    <n v="1423"/>
    <x v="0"/>
    <x v="29"/>
    <x v="69"/>
    <m/>
    <x v="4"/>
    <m/>
    <m/>
    <x v="1"/>
    <d v="2014-01-12T00:00:00"/>
    <x v="18"/>
    <d v="2014-12-15T00:00:00"/>
    <d v="2014-12-16T00:00:00"/>
    <x v="9"/>
    <x v="3"/>
    <x v="4"/>
    <x v="25"/>
    <x v="0"/>
    <m/>
    <d v="2015-01-21T00:00:00"/>
    <x v="102"/>
    <m/>
    <m/>
    <x v="0"/>
    <x v="0"/>
    <n v="750"/>
    <m/>
    <x v="1"/>
    <n v="0"/>
    <x v="0"/>
    <x v="0"/>
    <m/>
    <m/>
    <x v="0"/>
    <m/>
    <x v="0"/>
    <d v="2015-04-06T00:00:00"/>
    <x v="5"/>
    <x v="11"/>
    <s v="J"/>
    <x v="3"/>
    <x v="0"/>
    <x v="403"/>
    <s v=""/>
    <x v="4"/>
    <x v="2"/>
    <x v="4"/>
    <x v="3"/>
    <x v="0"/>
    <d v="1899-12-30T00:00:00"/>
    <d v="1899-12-30T00:00:00"/>
  </r>
  <r>
    <n v="1424"/>
    <x v="1"/>
    <x v="10"/>
    <x v="1080"/>
    <m/>
    <x v="4"/>
    <m/>
    <m/>
    <x v="1"/>
    <d v="2014-03-27T00:00:00"/>
    <x v="18"/>
    <d v="2014-07-31T00:00:00"/>
    <d v="2015-02-03T00:00:00"/>
    <x v="20"/>
    <x v="0"/>
    <x v="1"/>
    <x v="41"/>
    <x v="5"/>
    <m/>
    <m/>
    <x v="179"/>
    <m/>
    <m/>
    <x v="0"/>
    <x v="0"/>
    <n v="120000"/>
    <n v="120000"/>
    <x v="1"/>
    <n v="120000"/>
    <x v="12"/>
    <x v="0"/>
    <m/>
    <m/>
    <x v="0"/>
    <m/>
    <x v="0"/>
    <d v="2015-02-05T00:00:00"/>
    <x v="5"/>
    <x v="4"/>
    <s v="D"/>
    <x v="3"/>
    <x v="0"/>
    <x v="108"/>
    <s v=""/>
    <x v="4"/>
    <x v="2"/>
    <x v="4"/>
    <x v="3"/>
    <x v="0"/>
    <d v="1899-12-30T00:00:00"/>
    <d v="1899-12-30T00:00:00"/>
  </r>
  <r>
    <n v="1425"/>
    <x v="1"/>
    <x v="0"/>
    <x v="1081"/>
    <m/>
    <x v="4"/>
    <s v="Plano Audiovisual Alfama Films"/>
    <m/>
    <x v="1"/>
    <d v="2014-03-27T00:00:00"/>
    <x v="18"/>
    <d v="2014-07-31T00:00:00"/>
    <d v="2015-02-03T00:00:00"/>
    <x v="20"/>
    <x v="0"/>
    <x v="1"/>
    <x v="41"/>
    <x v="5"/>
    <m/>
    <d v="2015-02-10T00:00:00"/>
    <x v="116"/>
    <m/>
    <m/>
    <x v="0"/>
    <x v="0"/>
    <n v="30000"/>
    <n v="30000"/>
    <x v="1"/>
    <n v="30000"/>
    <x v="8"/>
    <x v="0"/>
    <m/>
    <m/>
    <x v="0"/>
    <m/>
    <x v="0"/>
    <d v="2015-03-02T00:00:00"/>
    <x v="4"/>
    <x v="0"/>
    <s v="L"/>
    <x v="3"/>
    <x v="0"/>
    <x v="404"/>
    <s v=""/>
    <x v="4"/>
    <x v="2"/>
    <x v="3"/>
    <x v="3"/>
    <x v="0"/>
    <d v="1899-12-30T00:00:00"/>
    <d v="1899-12-30T00:00:00"/>
  </r>
  <r>
    <n v="1426"/>
    <x v="1"/>
    <x v="32"/>
    <x v="1082"/>
    <m/>
    <x v="4"/>
    <m/>
    <m/>
    <x v="1"/>
    <d v="2014-03-27T00:00:00"/>
    <x v="18"/>
    <d v="2014-07-31T00:00:00"/>
    <d v="2015-02-03T00:00:00"/>
    <x v="20"/>
    <x v="0"/>
    <x v="1"/>
    <x v="41"/>
    <x v="5"/>
    <m/>
    <m/>
    <x v="4"/>
    <m/>
    <m/>
    <x v="0"/>
    <x v="0"/>
    <n v="70000"/>
    <n v="70000"/>
    <x v="1"/>
    <n v="70000"/>
    <x v="12"/>
    <x v="0"/>
    <m/>
    <m/>
    <x v="0"/>
    <m/>
    <x v="0"/>
    <d v="2015-02-05T00:00:00"/>
    <x v="5"/>
    <x v="13"/>
    <s v="P"/>
    <x v="3"/>
    <x v="0"/>
    <x v="108"/>
    <s v=""/>
    <x v="4"/>
    <x v="2"/>
    <x v="4"/>
    <x v="3"/>
    <x v="0"/>
    <d v="1899-12-30T00:00:00"/>
    <d v="1899-12-30T00:00:00"/>
  </r>
  <r>
    <n v="1427"/>
    <x v="1"/>
    <x v="33"/>
    <x v="1083"/>
    <m/>
    <x v="4"/>
    <m/>
    <m/>
    <x v="1"/>
    <d v="2014-03-27T00:00:00"/>
    <x v="18"/>
    <d v="2014-07-03T00:00:00"/>
    <d v="2015-02-03T00:00:00"/>
    <x v="20"/>
    <x v="0"/>
    <x v="0"/>
    <x v="31"/>
    <x v="0"/>
    <m/>
    <m/>
    <x v="330"/>
    <m/>
    <m/>
    <x v="0"/>
    <x v="0"/>
    <n v="108000"/>
    <n v="108000"/>
    <x v="1"/>
    <n v="108000"/>
    <x v="12"/>
    <x v="0"/>
    <m/>
    <m/>
    <x v="0"/>
    <m/>
    <x v="0"/>
    <d v="2015-02-05T00:00:00"/>
    <x v="1"/>
    <x v="13"/>
    <s v="M"/>
    <x v="3"/>
    <x v="0"/>
    <x v="73"/>
    <s v=""/>
    <x v="4"/>
    <x v="2"/>
    <x v="1"/>
    <x v="1"/>
    <x v="0"/>
    <d v="1899-12-30T00:00:00"/>
    <d v="1899-12-30T00:00:00"/>
  </r>
  <r>
    <n v="1428"/>
    <x v="1"/>
    <x v="1"/>
    <x v="1084"/>
    <m/>
    <x v="4"/>
    <m/>
    <m/>
    <x v="1"/>
    <d v="2014-03-27T00:00:00"/>
    <x v="18"/>
    <d v="2014-07-03T00:00:00"/>
    <d v="2015-02-03T00:00:00"/>
    <x v="20"/>
    <x v="0"/>
    <x v="0"/>
    <x v="31"/>
    <x v="0"/>
    <m/>
    <m/>
    <x v="331"/>
    <m/>
    <m/>
    <x v="0"/>
    <x v="0"/>
    <n v="99645"/>
    <n v="99645"/>
    <x v="1"/>
    <n v="99645"/>
    <x v="12"/>
    <x v="0"/>
    <m/>
    <m/>
    <x v="0"/>
    <m/>
    <x v="0"/>
    <d v="2015-02-05T00:00:00"/>
    <x v="1"/>
    <x v="0"/>
    <s v="A"/>
    <x v="3"/>
    <x v="0"/>
    <x v="138"/>
    <s v=""/>
    <x v="4"/>
    <x v="2"/>
    <x v="1"/>
    <x v="1"/>
    <x v="0"/>
    <d v="1899-12-30T00:00:00"/>
    <d v="1899-12-30T00:00:00"/>
  </r>
  <r>
    <n v="1429"/>
    <x v="1"/>
    <x v="193"/>
    <x v="1085"/>
    <m/>
    <x v="4"/>
    <m/>
    <m/>
    <x v="1"/>
    <d v="2014-03-27T00:00:00"/>
    <x v="18"/>
    <d v="2014-07-03T00:00:00"/>
    <d v="2015-02-03T00:00:00"/>
    <x v="20"/>
    <x v="0"/>
    <x v="0"/>
    <x v="31"/>
    <x v="0"/>
    <m/>
    <m/>
    <x v="332"/>
    <m/>
    <m/>
    <x v="0"/>
    <x v="0"/>
    <n v="91307.199999999997"/>
    <n v="91307.199999999997"/>
    <x v="1"/>
    <n v="91307.199999999997"/>
    <x v="12"/>
    <x v="0"/>
    <m/>
    <m/>
    <x v="0"/>
    <m/>
    <x v="0"/>
    <d v="2015-02-05T00:00:00"/>
    <x v="1"/>
    <x v="10"/>
    <s v="4"/>
    <x v="3"/>
    <x v="0"/>
    <x v="405"/>
    <s v=""/>
    <x v="4"/>
    <x v="2"/>
    <x v="1"/>
    <x v="1"/>
    <x v="0"/>
    <d v="1899-12-30T00:00:00"/>
    <d v="1899-12-30T00:00:00"/>
  </r>
  <r>
    <n v="1430"/>
    <x v="1"/>
    <x v="4"/>
    <x v="1086"/>
    <m/>
    <x v="4"/>
    <m/>
    <m/>
    <x v="1"/>
    <d v="2014-03-27T00:00:00"/>
    <x v="18"/>
    <d v="2014-07-03T00:00:00"/>
    <d v="2015-02-03T00:00:00"/>
    <x v="20"/>
    <x v="0"/>
    <x v="0"/>
    <x v="31"/>
    <x v="0"/>
    <m/>
    <m/>
    <x v="2"/>
    <m/>
    <m/>
    <x v="0"/>
    <x v="0"/>
    <n v="75000"/>
    <n v="75000"/>
    <x v="1"/>
    <n v="75000"/>
    <x v="12"/>
    <x v="0"/>
    <m/>
    <m/>
    <x v="0"/>
    <m/>
    <x v="0"/>
    <d v="2015-02-05T00:00:00"/>
    <x v="1"/>
    <x v="1"/>
    <s v="D"/>
    <x v="3"/>
    <x v="0"/>
    <x v="216"/>
    <s v=""/>
    <x v="4"/>
    <x v="2"/>
    <x v="1"/>
    <x v="1"/>
    <x v="0"/>
    <d v="1899-12-30T00:00:00"/>
    <d v="1899-12-30T00:00:00"/>
  </r>
  <r>
    <n v="1431"/>
    <x v="1"/>
    <x v="4"/>
    <x v="1087"/>
    <m/>
    <x v="4"/>
    <m/>
    <m/>
    <x v="1"/>
    <d v="2014-03-27T00:00:00"/>
    <x v="18"/>
    <d v="2014-07-03T00:00:00"/>
    <d v="2015-02-03T00:00:00"/>
    <x v="20"/>
    <x v="0"/>
    <x v="0"/>
    <x v="31"/>
    <x v="0"/>
    <m/>
    <m/>
    <x v="2"/>
    <m/>
    <m/>
    <x v="0"/>
    <x v="0"/>
    <n v="75000"/>
    <n v="75000"/>
    <x v="1"/>
    <n v="75000"/>
    <x v="12"/>
    <x v="0"/>
    <m/>
    <m/>
    <x v="0"/>
    <m/>
    <x v="0"/>
    <d v="2015-02-05T00:00:00"/>
    <x v="1"/>
    <x v="1"/>
    <s v="Á"/>
    <x v="3"/>
    <x v="0"/>
    <x v="406"/>
    <s v=""/>
    <x v="4"/>
    <x v="2"/>
    <x v="1"/>
    <x v="1"/>
    <x v="0"/>
    <d v="1899-12-30T00:00:00"/>
    <d v="1899-12-30T00:00:00"/>
  </r>
  <r>
    <n v="1432"/>
    <x v="1"/>
    <x v="14"/>
    <x v="1088"/>
    <m/>
    <x v="4"/>
    <m/>
    <m/>
    <x v="1"/>
    <d v="2014-03-27T00:00:00"/>
    <x v="18"/>
    <d v="2014-07-03T00:00:00"/>
    <d v="2015-02-03T00:00:00"/>
    <x v="20"/>
    <x v="0"/>
    <x v="0"/>
    <x v="31"/>
    <x v="0"/>
    <m/>
    <m/>
    <x v="333"/>
    <m/>
    <m/>
    <x v="0"/>
    <x v="0"/>
    <n v="72800"/>
    <n v="72800"/>
    <x v="1"/>
    <n v="72800"/>
    <x v="12"/>
    <x v="0"/>
    <m/>
    <m/>
    <x v="0"/>
    <m/>
    <x v="0"/>
    <d v="2015-02-05T00:00:00"/>
    <x v="1"/>
    <x v="4"/>
    <s v="A"/>
    <x v="3"/>
    <x v="0"/>
    <x v="407"/>
    <s v=""/>
    <x v="4"/>
    <x v="2"/>
    <x v="1"/>
    <x v="1"/>
    <x v="0"/>
    <d v="1899-12-30T00:00:00"/>
    <d v="1899-12-30T00:00:00"/>
  </r>
  <r>
    <n v="1433"/>
    <x v="1"/>
    <x v="2"/>
    <x v="327"/>
    <m/>
    <x v="4"/>
    <m/>
    <m/>
    <x v="1"/>
    <d v="2014-03-27T00:00:00"/>
    <x v="18"/>
    <d v="2014-07-03T00:00:00"/>
    <d v="2015-02-03T00:00:00"/>
    <x v="20"/>
    <x v="0"/>
    <x v="0"/>
    <x v="31"/>
    <x v="0"/>
    <m/>
    <d v="2015-02-24T00:00:00"/>
    <x v="2"/>
    <m/>
    <m/>
    <x v="0"/>
    <x v="0"/>
    <n v="75000"/>
    <n v="75000"/>
    <x v="1"/>
    <n v="75000"/>
    <x v="11"/>
    <x v="0"/>
    <m/>
    <m/>
    <x v="0"/>
    <m/>
    <x v="0"/>
    <d v="2015-02-05T00:00:00"/>
    <x v="1"/>
    <x v="0"/>
    <s v="G"/>
    <x v="3"/>
    <x v="0"/>
    <x v="137"/>
    <s v=""/>
    <x v="4"/>
    <x v="2"/>
    <x v="1"/>
    <x v="1"/>
    <x v="0"/>
    <d v="1899-12-30T00:00:00"/>
    <d v="1899-12-30T00:00:00"/>
  </r>
  <r>
    <n v="1434"/>
    <x v="1"/>
    <x v="30"/>
    <x v="329"/>
    <m/>
    <x v="4"/>
    <m/>
    <m/>
    <x v="1"/>
    <d v="2014-03-27T00:00:00"/>
    <x v="18"/>
    <d v="2014-07-03T00:00:00"/>
    <d v="2015-02-03T00:00:00"/>
    <x v="20"/>
    <x v="0"/>
    <x v="0"/>
    <x v="31"/>
    <x v="0"/>
    <m/>
    <m/>
    <x v="24"/>
    <m/>
    <m/>
    <x v="0"/>
    <x v="0"/>
    <n v="100000"/>
    <n v="100000"/>
    <x v="1"/>
    <n v="100000"/>
    <x v="12"/>
    <x v="0"/>
    <m/>
    <m/>
    <x v="0"/>
    <m/>
    <x v="0"/>
    <d v="2015-02-05T00:00:00"/>
    <x v="1"/>
    <x v="12"/>
    <s v="A"/>
    <x v="3"/>
    <x v="0"/>
    <x v="140"/>
    <s v=""/>
    <x v="4"/>
    <x v="2"/>
    <x v="1"/>
    <x v="1"/>
    <x v="0"/>
    <d v="1899-12-30T00:00:00"/>
    <d v="1899-12-30T00:00:00"/>
  </r>
  <r>
    <n v="1435"/>
    <x v="1"/>
    <x v="2"/>
    <x v="1089"/>
    <m/>
    <x v="4"/>
    <m/>
    <m/>
    <x v="1"/>
    <d v="2014-03-27T00:00:00"/>
    <x v="18"/>
    <d v="2014-07-03T00:00:00"/>
    <d v="2015-02-03T00:00:00"/>
    <x v="20"/>
    <x v="0"/>
    <x v="0"/>
    <x v="31"/>
    <x v="0"/>
    <m/>
    <d v="2015-02-25T00:00:00"/>
    <x v="334"/>
    <m/>
    <m/>
    <x v="0"/>
    <x v="0"/>
    <n v="53247.8"/>
    <n v="53247.8"/>
    <x v="1"/>
    <n v="53247.8"/>
    <x v="11"/>
    <x v="0"/>
    <m/>
    <m/>
    <x v="0"/>
    <m/>
    <x v="0"/>
    <d v="2015-02-05T00:00:00"/>
    <x v="1"/>
    <x v="0"/>
    <s v="Ú"/>
    <x v="3"/>
    <x v="0"/>
    <x v="408"/>
    <s v=""/>
    <x v="4"/>
    <x v="2"/>
    <x v="1"/>
    <x v="1"/>
    <x v="0"/>
    <d v="1899-12-30T00:00:00"/>
    <d v="1899-12-30T00:00:00"/>
  </r>
  <r>
    <n v="1436"/>
    <x v="1"/>
    <x v="227"/>
    <x v="48"/>
    <m/>
    <x v="4"/>
    <m/>
    <m/>
    <x v="1"/>
    <d v="2014-03-27T00:00:00"/>
    <x v="18"/>
    <d v="2014-12-31T00:00:00"/>
    <d v="2015-02-06T00:00:00"/>
    <x v="20"/>
    <x v="1"/>
    <x v="2"/>
    <x v="13"/>
    <x v="0"/>
    <m/>
    <m/>
    <x v="55"/>
    <m/>
    <m/>
    <x v="0"/>
    <x v="0"/>
    <n v="44000"/>
    <n v="44000"/>
    <x v="1"/>
    <n v="44000"/>
    <x v="12"/>
    <x v="0"/>
    <m/>
    <m/>
    <x v="0"/>
    <m/>
    <x v="0"/>
    <m/>
    <x v="5"/>
    <x v="18"/>
    <s v="O"/>
    <x v="3"/>
    <x v="0"/>
    <x v="108"/>
    <s v=""/>
    <x v="4"/>
    <x v="2"/>
    <x v="4"/>
    <x v="3"/>
    <x v="0"/>
    <d v="1899-12-30T00:00:00"/>
    <d v="1899-12-30T00:00:00"/>
  </r>
  <r>
    <n v="1437"/>
    <x v="0"/>
    <x v="0"/>
    <x v="1059"/>
    <m/>
    <x v="4"/>
    <s v="Plano Audiovisual Alfama Films"/>
    <m/>
    <x v="1"/>
    <d v="2014-03-27T00:00:00"/>
    <x v="18"/>
    <d v="2014-07-31T00:00:00"/>
    <d v="2015-02-03T00:00:00"/>
    <x v="20"/>
    <x v="0"/>
    <x v="1"/>
    <x v="41"/>
    <x v="0"/>
    <m/>
    <d v="2015-02-10T00:00:00"/>
    <x v="116"/>
    <m/>
    <m/>
    <x v="0"/>
    <x v="0"/>
    <n v="30000"/>
    <m/>
    <x v="1"/>
    <n v="0"/>
    <x v="0"/>
    <x v="0"/>
    <m/>
    <m/>
    <x v="0"/>
    <m/>
    <x v="0"/>
    <d v="2015-03-02T00:00:00"/>
    <x v="4"/>
    <x v="0"/>
    <s v="R"/>
    <x v="3"/>
    <x v="0"/>
    <x v="395"/>
    <s v=""/>
    <x v="4"/>
    <x v="2"/>
    <x v="3"/>
    <x v="3"/>
    <x v="0"/>
    <d v="1899-12-30T00:00:00"/>
    <d v="1899-12-30T00:00:00"/>
  </r>
  <r>
    <n v="1438"/>
    <x v="0"/>
    <x v="0"/>
    <x v="1090"/>
    <m/>
    <x v="4"/>
    <s v="Plano Audiovisual Alfama Films"/>
    <m/>
    <x v="1"/>
    <d v="2014-03-27T00:00:00"/>
    <x v="18"/>
    <d v="2014-07-31T00:00:00"/>
    <d v="2015-02-03T00:00:00"/>
    <x v="20"/>
    <x v="0"/>
    <x v="1"/>
    <x v="41"/>
    <x v="0"/>
    <m/>
    <d v="2015-02-10T00:00:00"/>
    <x v="116"/>
    <m/>
    <m/>
    <x v="0"/>
    <x v="0"/>
    <n v="30000"/>
    <m/>
    <x v="1"/>
    <n v="0"/>
    <x v="0"/>
    <x v="0"/>
    <m/>
    <m/>
    <x v="0"/>
    <m/>
    <x v="0"/>
    <d v="2015-03-02T00:00:00"/>
    <x v="4"/>
    <x v="0"/>
    <s v="A"/>
    <x v="3"/>
    <x v="0"/>
    <x v="111"/>
    <s v=""/>
    <x v="4"/>
    <x v="2"/>
    <x v="3"/>
    <x v="3"/>
    <x v="0"/>
    <d v="1899-12-30T00:00:00"/>
    <d v="1899-12-30T00:00:00"/>
  </r>
  <r>
    <n v="1439"/>
    <x v="1"/>
    <x v="0"/>
    <x v="1091"/>
    <m/>
    <x v="4"/>
    <s v="Plano de Cinema - Alfama Filmes"/>
    <m/>
    <x v="1"/>
    <d v="2014-03-27T00:00:00"/>
    <x v="18"/>
    <d v="2014-06-19T00:00:00"/>
    <d v="2015-01-19T00:00:00"/>
    <x v="20"/>
    <x v="0"/>
    <x v="1"/>
    <x v="41"/>
    <x v="5"/>
    <m/>
    <d v="2015-01-23T00:00:00"/>
    <x v="95"/>
    <m/>
    <m/>
    <x v="0"/>
    <x v="0"/>
    <n v="25000"/>
    <n v="25000"/>
    <x v="1"/>
    <n v="25000"/>
    <x v="8"/>
    <x v="0"/>
    <m/>
    <m/>
    <x v="0"/>
    <m/>
    <x v="0"/>
    <d v="2015-02-23T00:00:00"/>
    <x v="4"/>
    <x v="0"/>
    <s v="A"/>
    <x v="3"/>
    <x v="0"/>
    <x v="409"/>
    <s v=""/>
    <x v="4"/>
    <x v="2"/>
    <x v="3"/>
    <x v="3"/>
    <x v="0"/>
    <d v="1899-12-30T00:00:00"/>
    <d v="1899-12-30T00:00:00"/>
  </r>
  <r>
    <n v="1440"/>
    <x v="1"/>
    <x v="0"/>
    <x v="1092"/>
    <m/>
    <x v="4"/>
    <s v="Plano de Cinema - Alfama Filmes"/>
    <m/>
    <x v="1"/>
    <d v="2014-03-27T00:00:00"/>
    <x v="18"/>
    <d v="2014-06-19T00:00:00"/>
    <d v="2015-01-19T00:00:00"/>
    <x v="20"/>
    <x v="0"/>
    <x v="1"/>
    <x v="41"/>
    <x v="5"/>
    <m/>
    <d v="2015-01-23T00:00:00"/>
    <x v="116"/>
    <m/>
    <m/>
    <x v="0"/>
    <x v="0"/>
    <n v="30000"/>
    <n v="30000"/>
    <x v="1"/>
    <n v="30000"/>
    <x v="8"/>
    <x v="0"/>
    <m/>
    <m/>
    <x v="0"/>
    <m/>
    <x v="0"/>
    <d v="2015-02-23T00:00:00"/>
    <x v="4"/>
    <x v="0"/>
    <s v="A"/>
    <x v="3"/>
    <x v="0"/>
    <x v="410"/>
    <s v=""/>
    <x v="4"/>
    <x v="2"/>
    <x v="3"/>
    <x v="3"/>
    <x v="0"/>
    <d v="1899-12-30T00:00:00"/>
    <d v="1899-12-30T00:00:00"/>
  </r>
  <r>
    <n v="1441"/>
    <x v="1"/>
    <x v="0"/>
    <x v="1093"/>
    <m/>
    <x v="4"/>
    <s v="Plano de Cinema - Alfama Filmes"/>
    <m/>
    <x v="1"/>
    <d v="2014-03-27T00:00:00"/>
    <x v="18"/>
    <d v="2014-06-19T00:00:00"/>
    <d v="2015-01-19T00:00:00"/>
    <x v="20"/>
    <x v="0"/>
    <x v="1"/>
    <x v="41"/>
    <x v="5"/>
    <m/>
    <d v="2015-01-23T00:00:00"/>
    <x v="95"/>
    <m/>
    <m/>
    <x v="0"/>
    <x v="0"/>
    <n v="25000"/>
    <n v="25000"/>
    <x v="1"/>
    <n v="25000"/>
    <x v="8"/>
    <x v="0"/>
    <m/>
    <m/>
    <x v="0"/>
    <m/>
    <x v="0"/>
    <d v="2015-02-23T00:00:00"/>
    <x v="4"/>
    <x v="0"/>
    <s v="A"/>
    <x v="3"/>
    <x v="0"/>
    <x v="227"/>
    <s v=""/>
    <x v="4"/>
    <x v="2"/>
    <x v="3"/>
    <x v="3"/>
    <x v="0"/>
    <d v="1899-12-30T00:00:00"/>
    <d v="1899-12-30T00:00:00"/>
  </r>
  <r>
    <n v="1442"/>
    <x v="1"/>
    <x v="0"/>
    <x v="1090"/>
    <m/>
    <x v="4"/>
    <s v="Plano de Cinema - Alfama Filmes"/>
    <m/>
    <x v="1"/>
    <d v="2014-03-27T00:00:00"/>
    <x v="18"/>
    <d v="2014-06-19T00:00:00"/>
    <d v="2015-01-19T00:00:00"/>
    <x v="20"/>
    <x v="0"/>
    <x v="1"/>
    <x v="41"/>
    <x v="5"/>
    <m/>
    <d v="2015-01-23T00:00:00"/>
    <x v="116"/>
    <m/>
    <m/>
    <x v="0"/>
    <x v="0"/>
    <n v="30000"/>
    <n v="9000"/>
    <x v="1"/>
    <n v="9000"/>
    <x v="8"/>
    <x v="0"/>
    <m/>
    <m/>
    <x v="0"/>
    <m/>
    <x v="0"/>
    <d v="2015-02-23T00:00:00"/>
    <x v="4"/>
    <x v="0"/>
    <s v="A"/>
    <x v="3"/>
    <x v="0"/>
    <x v="411"/>
    <s v=""/>
    <x v="4"/>
    <x v="2"/>
    <x v="3"/>
    <x v="3"/>
    <x v="0"/>
    <d v="1899-12-30T00:00:00"/>
    <d v="1899-12-30T00:00:00"/>
  </r>
  <r>
    <n v="1443"/>
    <x v="1"/>
    <x v="228"/>
    <x v="1094"/>
    <m/>
    <x v="4"/>
    <s v="Festival Internacional de Cinema de Bogotá"/>
    <m/>
    <x v="1"/>
    <d v="2015-01-12T00:00:00"/>
    <x v="19"/>
    <d v="2015-01-28T00:00:00"/>
    <d v="2015-02-20T00:00:00"/>
    <x v="20"/>
    <x v="3"/>
    <x v="4"/>
    <x v="25"/>
    <x v="0"/>
    <m/>
    <m/>
    <x v="335"/>
    <m/>
    <m/>
    <x v="0"/>
    <x v="0"/>
    <n v="3333"/>
    <n v="3333"/>
    <x v="1"/>
    <n v="3333"/>
    <x v="12"/>
    <x v="0"/>
    <m/>
    <m/>
    <x v="0"/>
    <m/>
    <x v="0"/>
    <m/>
    <x v="5"/>
    <x v="16"/>
    <s v="O"/>
    <x v="3"/>
    <x v="0"/>
    <x v="108"/>
    <s v=""/>
    <x v="4"/>
    <x v="2"/>
    <x v="4"/>
    <x v="3"/>
    <x v="0"/>
    <d v="1899-12-30T00:00:00"/>
    <d v="1899-12-30T00:00:00"/>
  </r>
  <r>
    <n v="1444"/>
    <x v="1"/>
    <x v="201"/>
    <x v="1079"/>
    <m/>
    <x v="4"/>
    <m/>
    <m/>
    <x v="1"/>
    <d v="2015-01-12T00:00:00"/>
    <x v="19"/>
    <d v="2015-02-03T00:00:00"/>
    <d v="2015-02-20T00:00:00"/>
    <x v="20"/>
    <x v="3"/>
    <x v="4"/>
    <x v="25"/>
    <x v="0"/>
    <m/>
    <m/>
    <x v="122"/>
    <m/>
    <m/>
    <x v="0"/>
    <x v="0"/>
    <n v="5000"/>
    <n v="5000"/>
    <x v="1"/>
    <n v="5000"/>
    <x v="12"/>
    <x v="0"/>
    <m/>
    <m/>
    <x v="0"/>
    <m/>
    <x v="0"/>
    <m/>
    <x v="5"/>
    <x v="10"/>
    <s v="R"/>
    <x v="3"/>
    <x v="0"/>
    <x v="108"/>
    <s v=""/>
    <x v="4"/>
    <x v="2"/>
    <x v="4"/>
    <x v="3"/>
    <x v="0"/>
    <d v="1899-12-30T00:00:00"/>
    <d v="1899-12-30T00:00:00"/>
  </r>
  <r>
    <n v="1445"/>
    <x v="1"/>
    <x v="22"/>
    <x v="970"/>
    <m/>
    <x v="4"/>
    <s v="Cartagena das Indias"/>
    <m/>
    <x v="1"/>
    <d v="2015-01-12T00:00:00"/>
    <x v="19"/>
    <d v="2015-02-09T00:00:00"/>
    <d v="2015-02-20T00:00:00"/>
    <x v="20"/>
    <x v="3"/>
    <x v="4"/>
    <x v="25"/>
    <x v="0"/>
    <m/>
    <m/>
    <x v="122"/>
    <m/>
    <m/>
    <x v="0"/>
    <x v="0"/>
    <n v="5000"/>
    <n v="5000"/>
    <x v="1"/>
    <n v="5000"/>
    <x v="12"/>
    <x v="0"/>
    <m/>
    <m/>
    <x v="0"/>
    <m/>
    <x v="0"/>
    <d v="2015-03-02T00:00:00"/>
    <x v="5"/>
    <x v="9"/>
    <s v="C"/>
    <x v="3"/>
    <x v="0"/>
    <x v="108"/>
    <s v=""/>
    <x v="4"/>
    <x v="2"/>
    <x v="4"/>
    <x v="3"/>
    <x v="0"/>
    <d v="1899-12-30T00:00:00"/>
    <d v="1899-12-30T00:00:00"/>
  </r>
  <r>
    <n v="1446"/>
    <x v="1"/>
    <x v="28"/>
    <x v="1095"/>
    <m/>
    <x v="4"/>
    <m/>
    <m/>
    <x v="1"/>
    <d v="2015-01-12T00:00:00"/>
    <x v="19"/>
    <d v="2015-02-13T00:00:00"/>
    <d v="2015-02-20T00:00:00"/>
    <x v="20"/>
    <x v="3"/>
    <x v="4"/>
    <x v="25"/>
    <x v="0"/>
    <m/>
    <m/>
    <x v="336"/>
    <m/>
    <m/>
    <x v="0"/>
    <x v="0"/>
    <n v="700"/>
    <n v="700"/>
    <x v="1"/>
    <n v="700"/>
    <x v="12"/>
    <x v="0"/>
    <m/>
    <m/>
    <x v="0"/>
    <m/>
    <x v="0"/>
    <m/>
    <x v="5"/>
    <x v="11"/>
    <s v="L"/>
    <x v="3"/>
    <x v="0"/>
    <x v="108"/>
    <s v=""/>
    <x v="4"/>
    <x v="2"/>
    <x v="4"/>
    <x v="3"/>
    <x v="0"/>
    <d v="1899-12-30T00:00:00"/>
    <d v="1899-12-30T00:00:00"/>
  </r>
  <r>
    <n v="1447"/>
    <x v="1"/>
    <x v="28"/>
    <x v="1095"/>
    <m/>
    <x v="4"/>
    <m/>
    <m/>
    <x v="1"/>
    <d v="2015-01-12T00:00:00"/>
    <x v="19"/>
    <d v="2015-02-13T00:00:00"/>
    <d v="2015-02-20T00:00:00"/>
    <x v="20"/>
    <x v="3"/>
    <x v="4"/>
    <x v="25"/>
    <x v="0"/>
    <m/>
    <m/>
    <x v="337"/>
    <m/>
    <m/>
    <x v="0"/>
    <x v="0"/>
    <n v="1500"/>
    <n v="1500"/>
    <x v="1"/>
    <n v="1500"/>
    <x v="12"/>
    <x v="0"/>
    <m/>
    <m/>
    <x v="0"/>
    <m/>
    <x v="0"/>
    <m/>
    <x v="5"/>
    <x v="11"/>
    <s v="L"/>
    <x v="3"/>
    <x v="0"/>
    <x v="108"/>
    <s v=""/>
    <x v="4"/>
    <x v="2"/>
    <x v="4"/>
    <x v="3"/>
    <x v="0"/>
    <d v="1899-12-30T00:00:00"/>
    <d v="1899-12-30T00:00:00"/>
  </r>
  <r>
    <n v="1448"/>
    <x v="1"/>
    <x v="6"/>
    <x v="1096"/>
    <m/>
    <x v="4"/>
    <m/>
    <m/>
    <x v="1"/>
    <d v="2015-01-12T00:00:00"/>
    <x v="19"/>
    <d v="2015-02-16T00:00:00"/>
    <d v="2015-02-20T00:00:00"/>
    <x v="20"/>
    <x v="3"/>
    <x v="4"/>
    <x v="25"/>
    <x v="0"/>
    <m/>
    <m/>
    <x v="337"/>
    <m/>
    <m/>
    <x v="0"/>
    <x v="0"/>
    <n v="1500"/>
    <n v="1500"/>
    <x v="1"/>
    <n v="1500"/>
    <x v="12"/>
    <x v="0"/>
    <m/>
    <m/>
    <x v="0"/>
    <m/>
    <x v="0"/>
    <m/>
    <x v="5"/>
    <x v="2"/>
    <s v="T"/>
    <x v="3"/>
    <x v="0"/>
    <x v="108"/>
    <s v=""/>
    <x v="4"/>
    <x v="2"/>
    <x v="4"/>
    <x v="3"/>
    <x v="0"/>
    <d v="1899-12-30T00:00:00"/>
    <d v="1899-12-30T00:00:00"/>
  </r>
  <r>
    <n v="1449"/>
    <x v="1"/>
    <x v="125"/>
    <x v="1097"/>
    <m/>
    <x v="4"/>
    <m/>
    <m/>
    <x v="1"/>
    <d v="2015-01-12T00:00:00"/>
    <x v="19"/>
    <d v="2015-02-18T00:00:00"/>
    <d v="2015-02-20T00:00:00"/>
    <x v="20"/>
    <x v="3"/>
    <x v="4"/>
    <x v="25"/>
    <x v="0"/>
    <m/>
    <m/>
    <x v="101"/>
    <m/>
    <m/>
    <x v="0"/>
    <x v="0"/>
    <n v="500"/>
    <n v="500"/>
    <x v="1"/>
    <n v="500"/>
    <x v="12"/>
    <x v="0"/>
    <m/>
    <m/>
    <x v="0"/>
    <m/>
    <x v="0"/>
    <m/>
    <x v="5"/>
    <x v="4"/>
    <s v="O"/>
    <x v="3"/>
    <x v="0"/>
    <x v="108"/>
    <s v=""/>
    <x v="4"/>
    <x v="2"/>
    <x v="4"/>
    <x v="3"/>
    <x v="0"/>
    <d v="1899-12-30T00:00:00"/>
    <d v="1899-12-30T00:00:00"/>
  </r>
  <r>
    <n v="1450"/>
    <x v="1"/>
    <x v="125"/>
    <x v="1098"/>
    <m/>
    <x v="4"/>
    <m/>
    <m/>
    <x v="1"/>
    <d v="2015-01-12T00:00:00"/>
    <x v="19"/>
    <d v="2015-02-18T00:00:00"/>
    <d v="2015-02-20T00:00:00"/>
    <x v="20"/>
    <x v="3"/>
    <x v="4"/>
    <x v="25"/>
    <x v="0"/>
    <m/>
    <m/>
    <x v="103"/>
    <m/>
    <m/>
    <x v="0"/>
    <x v="0"/>
    <n v="300"/>
    <n v="300"/>
    <x v="1"/>
    <n v="300"/>
    <x v="12"/>
    <x v="0"/>
    <m/>
    <m/>
    <x v="0"/>
    <m/>
    <x v="0"/>
    <m/>
    <x v="5"/>
    <x v="4"/>
    <s v="S"/>
    <x v="3"/>
    <x v="0"/>
    <x v="108"/>
    <s v=""/>
    <x v="4"/>
    <x v="2"/>
    <x v="4"/>
    <x v="3"/>
    <x v="0"/>
    <d v="1899-12-30T00:00:00"/>
    <d v="1899-12-30T00:00:00"/>
  </r>
  <r>
    <n v="1451"/>
    <x v="1"/>
    <x v="4"/>
    <x v="323"/>
    <m/>
    <x v="4"/>
    <m/>
    <m/>
    <x v="1"/>
    <d v="2015-01-12T00:00:00"/>
    <x v="19"/>
    <d v="2015-02-18T00:00:00"/>
    <d v="2015-02-25T00:00:00"/>
    <x v="20"/>
    <x v="3"/>
    <x v="4"/>
    <x v="25"/>
    <x v="0"/>
    <m/>
    <m/>
    <x v="61"/>
    <m/>
    <m/>
    <x v="0"/>
    <x v="0"/>
    <n v="2500"/>
    <n v="2500"/>
    <x v="1"/>
    <n v="2500"/>
    <x v="12"/>
    <x v="0"/>
    <m/>
    <m/>
    <x v="0"/>
    <m/>
    <x v="0"/>
    <m/>
    <x v="5"/>
    <x v="1"/>
    <s v="F"/>
    <x v="3"/>
    <x v="0"/>
    <x v="108"/>
    <s v=""/>
    <x v="4"/>
    <x v="2"/>
    <x v="4"/>
    <x v="3"/>
    <x v="0"/>
    <d v="1899-12-30T00:00:00"/>
    <d v="1899-12-30T00:00:00"/>
  </r>
  <r>
    <n v="1452"/>
    <x v="1"/>
    <x v="4"/>
    <x v="9"/>
    <m/>
    <x v="4"/>
    <m/>
    <m/>
    <x v="1"/>
    <d v="2015-01-12T00:00:00"/>
    <x v="19"/>
    <d v="2015-02-18T00:00:00"/>
    <d v="2015-02-24T00:00:00"/>
    <x v="20"/>
    <x v="3"/>
    <x v="4"/>
    <x v="25"/>
    <x v="0"/>
    <m/>
    <m/>
    <x v="61"/>
    <m/>
    <m/>
    <x v="0"/>
    <x v="0"/>
    <n v="2500"/>
    <n v="2500"/>
    <x v="1"/>
    <n v="2500"/>
    <x v="12"/>
    <x v="0"/>
    <m/>
    <m/>
    <x v="0"/>
    <m/>
    <x v="0"/>
    <m/>
    <x v="5"/>
    <x v="1"/>
    <s v="C"/>
    <x v="3"/>
    <x v="0"/>
    <x v="108"/>
    <s v=""/>
    <x v="4"/>
    <x v="2"/>
    <x v="4"/>
    <x v="3"/>
    <x v="0"/>
    <d v="1899-12-30T00:00:00"/>
    <d v="1899-12-30T00:00:00"/>
  </r>
  <r>
    <n v="1453"/>
    <x v="1"/>
    <x v="42"/>
    <x v="1099"/>
    <m/>
    <x v="4"/>
    <s v="Plano de Cinema"/>
    <m/>
    <x v="1"/>
    <d v="2014-03-27T00:00:00"/>
    <x v="18"/>
    <d v="2014-06-19T00:00:00"/>
    <d v="2015-01-19T00:00:00"/>
    <x v="20"/>
    <x v="0"/>
    <x v="1"/>
    <x v="41"/>
    <x v="5"/>
    <m/>
    <d v="2015-02-10T00:00:00"/>
    <x v="13"/>
    <m/>
    <m/>
    <x v="0"/>
    <x v="0"/>
    <n v="8000"/>
    <n v="4850"/>
    <x v="1"/>
    <n v="4850"/>
    <x v="8"/>
    <x v="0"/>
    <m/>
    <m/>
    <x v="0"/>
    <m/>
    <x v="0"/>
    <d v="2015-03-02T00:00:00"/>
    <x v="4"/>
    <x v="14"/>
    <s v="O"/>
    <x v="3"/>
    <x v="0"/>
    <x v="106"/>
    <s v=""/>
    <x v="4"/>
    <x v="2"/>
    <x v="3"/>
    <x v="3"/>
    <x v="0"/>
    <d v="1899-12-30T00:00:00"/>
    <d v="1899-12-30T00:00:00"/>
  </r>
  <r>
    <n v="1454"/>
    <x v="1"/>
    <x v="42"/>
    <x v="1100"/>
    <m/>
    <x v="4"/>
    <s v="Plano de Cinema"/>
    <m/>
    <x v="1"/>
    <d v="2014-03-27T00:00:00"/>
    <x v="18"/>
    <d v="2014-06-19T00:00:00"/>
    <d v="2015-01-19T00:00:00"/>
    <x v="20"/>
    <x v="0"/>
    <x v="1"/>
    <x v="41"/>
    <x v="5"/>
    <m/>
    <d v="2015-02-10T00:00:00"/>
    <x v="13"/>
    <m/>
    <m/>
    <x v="0"/>
    <x v="0"/>
    <n v="8000"/>
    <n v="4850"/>
    <x v="1"/>
    <n v="4850"/>
    <x v="8"/>
    <x v="0"/>
    <m/>
    <m/>
    <x v="0"/>
    <m/>
    <x v="0"/>
    <d v="2015-03-02T00:00:00"/>
    <x v="4"/>
    <x v="14"/>
    <s v="A"/>
    <x v="3"/>
    <x v="0"/>
    <x v="123"/>
    <s v=""/>
    <x v="4"/>
    <x v="2"/>
    <x v="3"/>
    <x v="3"/>
    <x v="0"/>
    <d v="1899-12-30T00:00:00"/>
    <d v="1899-12-30T00:00:00"/>
  </r>
  <r>
    <n v="1455"/>
    <x v="1"/>
    <x v="42"/>
    <x v="815"/>
    <m/>
    <x v="4"/>
    <s v="Plano de Cinema"/>
    <m/>
    <x v="1"/>
    <d v="2014-03-27T00:00:00"/>
    <x v="18"/>
    <d v="2014-06-19T00:00:00"/>
    <d v="2015-01-19T00:00:00"/>
    <x v="20"/>
    <x v="0"/>
    <x v="1"/>
    <x v="41"/>
    <x v="5"/>
    <m/>
    <d v="2015-02-10T00:00:00"/>
    <x v="31"/>
    <m/>
    <m/>
    <x v="0"/>
    <x v="0"/>
    <n v="7500"/>
    <n v="7500"/>
    <x v="1"/>
    <n v="7500"/>
    <x v="8"/>
    <x v="0"/>
    <m/>
    <m/>
    <x v="0"/>
    <m/>
    <x v="0"/>
    <d v="2015-03-02T00:00:00"/>
    <x v="4"/>
    <x v="14"/>
    <s v="D"/>
    <x v="3"/>
    <x v="0"/>
    <x v="366"/>
    <s v=""/>
    <x v="4"/>
    <x v="2"/>
    <x v="3"/>
    <x v="3"/>
    <x v="0"/>
    <d v="1899-12-30T00:00:00"/>
    <d v="1899-12-30T00:00:00"/>
  </r>
  <r>
    <n v="1456"/>
    <x v="1"/>
    <x v="42"/>
    <x v="1101"/>
    <m/>
    <x v="4"/>
    <s v="Plano de Cinema"/>
    <m/>
    <x v="1"/>
    <d v="2014-03-27T00:00:00"/>
    <x v="18"/>
    <d v="2014-06-19T00:00:00"/>
    <d v="2015-01-19T00:00:00"/>
    <x v="20"/>
    <x v="0"/>
    <x v="1"/>
    <x v="41"/>
    <x v="5"/>
    <m/>
    <d v="2015-02-10T00:00:00"/>
    <x v="81"/>
    <m/>
    <m/>
    <x v="0"/>
    <x v="0"/>
    <n v="15000"/>
    <n v="11850"/>
    <x v="1"/>
    <n v="11850"/>
    <x v="8"/>
    <x v="0"/>
    <m/>
    <m/>
    <x v="0"/>
    <m/>
    <x v="0"/>
    <d v="2015-03-02T00:00:00"/>
    <x v="4"/>
    <x v="14"/>
    <s v="L"/>
    <x v="3"/>
    <x v="0"/>
    <x v="101"/>
    <s v=""/>
    <x v="4"/>
    <x v="2"/>
    <x v="3"/>
    <x v="3"/>
    <x v="0"/>
    <d v="1899-12-30T00:00:00"/>
    <d v="1899-12-30T00:00:00"/>
  </r>
  <r>
    <n v="1457"/>
    <x v="1"/>
    <x v="42"/>
    <x v="1102"/>
    <m/>
    <x v="4"/>
    <s v="Plano de Cinema"/>
    <m/>
    <x v="1"/>
    <d v="2014-03-27T00:00:00"/>
    <x v="18"/>
    <d v="2014-06-19T00:00:00"/>
    <d v="2015-01-19T00:00:00"/>
    <x v="20"/>
    <x v="0"/>
    <x v="1"/>
    <x v="41"/>
    <x v="5"/>
    <m/>
    <d v="2015-02-10T00:00:00"/>
    <x v="13"/>
    <m/>
    <m/>
    <x v="0"/>
    <x v="0"/>
    <n v="8000"/>
    <n v="4850"/>
    <x v="1"/>
    <n v="4850"/>
    <x v="8"/>
    <x v="0"/>
    <m/>
    <m/>
    <x v="0"/>
    <m/>
    <x v="0"/>
    <d v="2015-03-02T00:00:00"/>
    <x v="4"/>
    <x v="14"/>
    <s v="Ú"/>
    <x v="3"/>
    <x v="0"/>
    <x v="412"/>
    <s v=""/>
    <x v="4"/>
    <x v="2"/>
    <x v="3"/>
    <x v="3"/>
    <x v="0"/>
    <d v="1899-12-30T00:00:00"/>
    <d v="1899-12-30T00:00:00"/>
  </r>
  <r>
    <n v="1458"/>
    <x v="1"/>
    <x v="42"/>
    <x v="1103"/>
    <m/>
    <x v="4"/>
    <s v="Plano de Cinema"/>
    <m/>
    <x v="1"/>
    <d v="2014-03-27T00:00:00"/>
    <x v="18"/>
    <d v="2014-06-19T00:00:00"/>
    <d v="2015-01-19T00:00:00"/>
    <x v="20"/>
    <x v="0"/>
    <x v="1"/>
    <x v="41"/>
    <x v="5"/>
    <m/>
    <d v="2015-02-10T00:00:00"/>
    <x v="13"/>
    <m/>
    <m/>
    <x v="0"/>
    <x v="0"/>
    <n v="8000"/>
    <n v="4850"/>
    <x v="1"/>
    <n v="4850"/>
    <x v="8"/>
    <x v="0"/>
    <m/>
    <m/>
    <x v="0"/>
    <m/>
    <x v="0"/>
    <d v="2015-03-02T00:00:00"/>
    <x v="4"/>
    <x v="14"/>
    <s v="C"/>
    <x v="3"/>
    <x v="0"/>
    <x v="413"/>
    <s v=""/>
    <x v="4"/>
    <x v="2"/>
    <x v="3"/>
    <x v="3"/>
    <x v="0"/>
    <d v="1899-12-30T00:00:00"/>
    <d v="1899-12-30T00:00:00"/>
  </r>
  <r>
    <n v="1459"/>
    <x v="1"/>
    <x v="42"/>
    <x v="1104"/>
    <m/>
    <x v="4"/>
    <s v="Plano de Cinema"/>
    <m/>
    <x v="1"/>
    <d v="2014-03-27T00:00:00"/>
    <x v="18"/>
    <d v="2014-06-19T00:00:00"/>
    <d v="2015-01-19T00:00:00"/>
    <x v="20"/>
    <x v="0"/>
    <x v="1"/>
    <x v="41"/>
    <x v="5"/>
    <m/>
    <d v="2015-02-10T00:00:00"/>
    <x v="45"/>
    <m/>
    <m/>
    <x v="0"/>
    <x v="0"/>
    <n v="10000"/>
    <n v="6850"/>
    <x v="1"/>
    <n v="6850"/>
    <x v="8"/>
    <x v="0"/>
    <m/>
    <m/>
    <x v="0"/>
    <m/>
    <x v="0"/>
    <d v="2015-03-02T00:00:00"/>
    <x v="4"/>
    <x v="14"/>
    <s v="A"/>
    <x v="3"/>
    <x v="0"/>
    <x v="414"/>
    <s v=""/>
    <x v="4"/>
    <x v="2"/>
    <x v="3"/>
    <x v="3"/>
    <x v="0"/>
    <d v="1899-12-30T00:00:00"/>
    <d v="1899-12-30T00:00:00"/>
  </r>
  <r>
    <n v="1460"/>
    <x v="1"/>
    <x v="42"/>
    <x v="1105"/>
    <m/>
    <x v="4"/>
    <s v="Plano de Cinema"/>
    <m/>
    <x v="1"/>
    <d v="2014-03-27T00:00:00"/>
    <x v="18"/>
    <d v="2014-06-19T00:00:00"/>
    <d v="2015-01-19T00:00:00"/>
    <x v="20"/>
    <x v="0"/>
    <x v="1"/>
    <x v="41"/>
    <x v="5"/>
    <m/>
    <d v="2015-02-10T00:00:00"/>
    <x v="45"/>
    <m/>
    <m/>
    <x v="0"/>
    <x v="0"/>
    <n v="10000"/>
    <n v="10000"/>
    <x v="1"/>
    <n v="10000"/>
    <x v="8"/>
    <x v="0"/>
    <m/>
    <m/>
    <x v="0"/>
    <m/>
    <x v="0"/>
    <d v="2015-03-02T00:00:00"/>
    <x v="4"/>
    <x v="14"/>
    <s v="A"/>
    <x v="3"/>
    <x v="0"/>
    <x v="415"/>
    <s v=""/>
    <x v="4"/>
    <x v="2"/>
    <x v="3"/>
    <x v="3"/>
    <x v="0"/>
    <d v="1899-12-30T00:00:00"/>
    <d v="1899-12-30T00:00:00"/>
  </r>
  <r>
    <n v="1461"/>
    <x v="1"/>
    <x v="18"/>
    <x v="36"/>
    <m/>
    <x v="4"/>
    <m/>
    <m/>
    <x v="1"/>
    <d v="2015-01-12T00:00:00"/>
    <x v="19"/>
    <d v="2015-02-27T00:00:00"/>
    <d v="2015-03-03T00:00:00"/>
    <x v="20"/>
    <x v="1"/>
    <x v="2"/>
    <x v="13"/>
    <x v="0"/>
    <m/>
    <m/>
    <x v="338"/>
    <m/>
    <m/>
    <x v="0"/>
    <x v="0"/>
    <n v="14250"/>
    <n v="14250"/>
    <x v="1"/>
    <n v="14250"/>
    <x v="12"/>
    <x v="0"/>
    <m/>
    <m/>
    <x v="0"/>
    <m/>
    <x v="0"/>
    <d v="2015-03-02T00:00:00"/>
    <x v="5"/>
    <x v="8"/>
    <s v="Y"/>
    <x v="3"/>
    <x v="0"/>
    <x v="108"/>
    <s v=""/>
    <x v="4"/>
    <x v="2"/>
    <x v="4"/>
    <x v="3"/>
    <x v="0"/>
    <d v="1899-12-30T00:00:00"/>
    <d v="1899-12-30T00:00:00"/>
  </r>
  <r>
    <n v="1462"/>
    <x v="1"/>
    <x v="141"/>
    <x v="448"/>
    <m/>
    <x v="4"/>
    <s v="Festival Internacional de Cinema de Guadalajara"/>
    <m/>
    <x v="1"/>
    <d v="2015-01-12T00:00:00"/>
    <x v="19"/>
    <d v="2015-03-06T00:00:00"/>
    <d v="2015-03-09T00:00:00"/>
    <x v="20"/>
    <x v="3"/>
    <x v="4"/>
    <x v="25"/>
    <x v="0"/>
    <m/>
    <m/>
    <x v="65"/>
    <m/>
    <m/>
    <x v="0"/>
    <x v="0"/>
    <n v="1000"/>
    <n v="1000"/>
    <x v="1"/>
    <n v="1000"/>
    <x v="12"/>
    <x v="0"/>
    <m/>
    <m/>
    <x v="0"/>
    <m/>
    <x v="0"/>
    <d v="2015-03-10T00:00:00"/>
    <x v="5"/>
    <x v="13"/>
    <s v="C"/>
    <x v="3"/>
    <x v="0"/>
    <x v="108"/>
    <s v=""/>
    <x v="4"/>
    <x v="2"/>
    <x v="4"/>
    <x v="3"/>
    <x v="0"/>
    <d v="1899-12-30T00:00:00"/>
    <d v="1899-12-30T00:00:00"/>
  </r>
  <r>
    <n v="1463"/>
    <x v="1"/>
    <x v="51"/>
    <x v="246"/>
    <m/>
    <x v="4"/>
    <s v="Espanha"/>
    <m/>
    <x v="1"/>
    <d v="2015-01-12T00:00:00"/>
    <x v="19"/>
    <d v="2015-03-06T00:00:00"/>
    <d v="2015-03-09T00:00:00"/>
    <x v="20"/>
    <x v="1"/>
    <x v="2"/>
    <x v="16"/>
    <x v="0"/>
    <m/>
    <m/>
    <x v="31"/>
    <m/>
    <m/>
    <x v="0"/>
    <x v="0"/>
    <n v="7500"/>
    <n v="7500"/>
    <x v="1"/>
    <n v="7500"/>
    <x v="12"/>
    <x v="0"/>
    <m/>
    <m/>
    <x v="0"/>
    <m/>
    <x v="0"/>
    <d v="2015-03-10T00:00:00"/>
    <x v="5"/>
    <x v="7"/>
    <s v="E"/>
    <x v="3"/>
    <x v="0"/>
    <x v="108"/>
    <s v=""/>
    <x v="4"/>
    <x v="2"/>
    <x v="4"/>
    <x v="3"/>
    <x v="0"/>
    <d v="1899-12-30T00:00:00"/>
    <d v="1899-12-30T00:00:00"/>
  </r>
  <r>
    <n v="1464"/>
    <x v="1"/>
    <x v="229"/>
    <x v="1106"/>
    <m/>
    <x v="4"/>
    <s v="Temps D'Image"/>
    <m/>
    <x v="1"/>
    <d v="2015-01-12T00:00:00"/>
    <x v="19"/>
    <d v="2015-02-19T00:00:00"/>
    <d v="2015-02-13T00:00:00"/>
    <x v="20"/>
    <x v="3"/>
    <x v="4"/>
    <x v="25"/>
    <x v="0"/>
    <m/>
    <m/>
    <x v="101"/>
    <m/>
    <m/>
    <x v="0"/>
    <x v="0"/>
    <n v="500"/>
    <n v="500"/>
    <x v="1"/>
    <n v="500"/>
    <x v="12"/>
    <x v="0"/>
    <m/>
    <m/>
    <x v="0"/>
    <m/>
    <x v="0"/>
    <d v="2015-03-10T00:00:00"/>
    <x v="5"/>
    <x v="11"/>
    <s v="8"/>
    <x v="3"/>
    <x v="0"/>
    <x v="108"/>
    <s v=""/>
    <x v="4"/>
    <x v="2"/>
    <x v="4"/>
    <x v="3"/>
    <x v="0"/>
    <d v="1899-12-30T00:00:00"/>
    <d v="1899-12-30T00:00:00"/>
  </r>
  <r>
    <n v="1465"/>
    <x v="1"/>
    <x v="32"/>
    <x v="1107"/>
    <m/>
    <x v="4"/>
    <m/>
    <m/>
    <x v="1"/>
    <d v="2014-03-27T00:00:00"/>
    <x v="18"/>
    <d v="2014-09-11T00:00:00"/>
    <d v="2015-03-31T00:00:00"/>
    <x v="20"/>
    <x v="0"/>
    <x v="0"/>
    <x v="8"/>
    <x v="0"/>
    <m/>
    <m/>
    <x v="21"/>
    <m/>
    <m/>
    <x v="0"/>
    <x v="0"/>
    <n v="450000"/>
    <n v="450000"/>
    <x v="1"/>
    <n v="450000"/>
    <x v="12"/>
    <x v="0"/>
    <m/>
    <m/>
    <x v="0"/>
    <m/>
    <x v="0"/>
    <d v="2015-04-01T00:00:00"/>
    <x v="0"/>
    <x v="13"/>
    <s v="J"/>
    <x v="3"/>
    <x v="0"/>
    <x v="416"/>
    <s v=""/>
    <x v="4"/>
    <x v="2"/>
    <x v="0"/>
    <x v="0"/>
    <x v="0"/>
    <d v="1899-12-30T00:00:00"/>
    <d v="1899-12-30T00:00:00"/>
  </r>
  <r>
    <n v="1466"/>
    <x v="1"/>
    <x v="42"/>
    <x v="1108"/>
    <m/>
    <x v="4"/>
    <m/>
    <m/>
    <x v="1"/>
    <d v="2014-03-27T00:00:00"/>
    <x v="18"/>
    <d v="2014-09-11T00:00:00"/>
    <d v="2015-03-31T00:00:00"/>
    <x v="20"/>
    <x v="0"/>
    <x v="0"/>
    <x v="8"/>
    <x v="0"/>
    <m/>
    <m/>
    <x v="3"/>
    <m/>
    <m/>
    <x v="0"/>
    <x v="0"/>
    <n v="20000"/>
    <n v="20000"/>
    <x v="1"/>
    <n v="20000"/>
    <x v="12"/>
    <x v="0"/>
    <m/>
    <m/>
    <x v="0"/>
    <m/>
    <x v="0"/>
    <d v="2015-04-01T00:00:00"/>
    <x v="3"/>
    <x v="14"/>
    <s v="T"/>
    <x v="3"/>
    <x v="0"/>
    <x v="417"/>
    <s v=""/>
    <x v="4"/>
    <x v="2"/>
    <x v="2"/>
    <x v="3"/>
    <x v="0"/>
    <d v="1899-12-30T00:00:00"/>
    <d v="1899-12-30T00:00:00"/>
  </r>
  <r>
    <n v="1467"/>
    <x v="1"/>
    <x v="14"/>
    <x v="1109"/>
    <m/>
    <x v="4"/>
    <m/>
    <m/>
    <x v="1"/>
    <d v="2014-03-27T00:00:00"/>
    <x v="18"/>
    <d v="2014-09-11T00:00:00"/>
    <d v="2015-03-31T00:00:00"/>
    <x v="20"/>
    <x v="0"/>
    <x v="0"/>
    <x v="8"/>
    <x v="0"/>
    <m/>
    <m/>
    <x v="95"/>
    <m/>
    <m/>
    <x v="0"/>
    <x v="0"/>
    <n v="25000"/>
    <n v="25000"/>
    <x v="1"/>
    <n v="25000"/>
    <x v="12"/>
    <x v="0"/>
    <m/>
    <m/>
    <x v="0"/>
    <m/>
    <x v="0"/>
    <d v="2015-04-01T00:00:00"/>
    <x v="3"/>
    <x v="4"/>
    <s v="P"/>
    <x v="3"/>
    <x v="0"/>
    <x v="165"/>
    <s v=""/>
    <x v="4"/>
    <x v="2"/>
    <x v="2"/>
    <x v="3"/>
    <x v="0"/>
    <d v="1899-12-30T00:00:00"/>
    <d v="1899-12-30T00:00:00"/>
  </r>
  <r>
    <n v="1468"/>
    <x v="1"/>
    <x v="4"/>
    <x v="1110"/>
    <m/>
    <x v="4"/>
    <m/>
    <m/>
    <x v="1"/>
    <d v="2014-03-27T00:00:00"/>
    <x v="18"/>
    <d v="2014-09-11T00:00:00"/>
    <d v="2015-03-31T00:00:00"/>
    <x v="20"/>
    <x v="0"/>
    <x v="0"/>
    <x v="8"/>
    <x v="0"/>
    <m/>
    <m/>
    <x v="122"/>
    <m/>
    <m/>
    <x v="0"/>
    <x v="0"/>
    <n v="5000"/>
    <n v="5000"/>
    <x v="1"/>
    <n v="5000"/>
    <x v="12"/>
    <x v="0"/>
    <m/>
    <m/>
    <x v="0"/>
    <m/>
    <x v="0"/>
    <d v="2015-04-01T00:00:00"/>
    <x v="3"/>
    <x v="1"/>
    <s v="E"/>
    <x v="3"/>
    <x v="0"/>
    <x v="418"/>
    <s v=""/>
    <x v="4"/>
    <x v="2"/>
    <x v="2"/>
    <x v="3"/>
    <x v="0"/>
    <d v="1899-12-30T00:00:00"/>
    <d v="1899-12-30T00:00:00"/>
  </r>
  <r>
    <n v="1469"/>
    <x v="1"/>
    <x v="4"/>
    <x v="1111"/>
    <m/>
    <x v="4"/>
    <m/>
    <m/>
    <x v="2"/>
    <d v="2014-03-27T00:00:00"/>
    <x v="18"/>
    <d v="2014-10-16T00:00:00"/>
    <d v="2015-03-30T00:00:00"/>
    <x v="20"/>
    <x v="0"/>
    <x v="0"/>
    <x v="0"/>
    <x v="0"/>
    <m/>
    <m/>
    <x v="0"/>
    <m/>
    <m/>
    <x v="0"/>
    <x v="0"/>
    <n v="600000"/>
    <n v="600000"/>
    <x v="1"/>
    <n v="600000"/>
    <x v="12"/>
    <x v="0"/>
    <m/>
    <m/>
    <x v="0"/>
    <m/>
    <x v="0"/>
    <d v="2015-04-01T00:00:00"/>
    <x v="0"/>
    <x v="1"/>
    <s v="C"/>
    <x v="3"/>
    <x v="0"/>
    <x v="176"/>
    <s v=""/>
    <x v="4"/>
    <x v="2"/>
    <x v="0"/>
    <x v="0"/>
    <x v="0"/>
    <d v="1899-12-30T00:00:00"/>
    <d v="1899-12-30T00:00:00"/>
  </r>
  <r>
    <n v="1470"/>
    <x v="1"/>
    <x v="19"/>
    <x v="1112"/>
    <m/>
    <x v="4"/>
    <m/>
    <m/>
    <x v="2"/>
    <d v="2014-03-27T00:00:00"/>
    <x v="18"/>
    <d v="2014-10-16T00:00:00"/>
    <d v="2015-03-30T00:00:00"/>
    <x v="20"/>
    <x v="0"/>
    <x v="0"/>
    <x v="0"/>
    <x v="0"/>
    <m/>
    <m/>
    <x v="0"/>
    <m/>
    <m/>
    <x v="0"/>
    <x v="0"/>
    <n v="600000"/>
    <n v="600000"/>
    <x v="1"/>
    <n v="600000"/>
    <x v="12"/>
    <x v="0"/>
    <m/>
    <m/>
    <x v="0"/>
    <m/>
    <x v="0"/>
    <d v="2015-04-01T00:00:00"/>
    <x v="0"/>
    <x v="8"/>
    <s v="M"/>
    <x v="3"/>
    <x v="0"/>
    <x v="43"/>
    <s v=""/>
    <x v="4"/>
    <x v="2"/>
    <x v="0"/>
    <x v="0"/>
    <x v="0"/>
    <d v="1899-12-30T00:00:00"/>
    <d v="1899-12-30T00:00:00"/>
  </r>
  <r>
    <m/>
    <x v="0"/>
    <x v="109"/>
    <x v="779"/>
    <m/>
    <x v="4"/>
    <m/>
    <m/>
    <x v="3"/>
    <m/>
    <x v="8"/>
    <m/>
    <m/>
    <x v="8"/>
    <x v="6"/>
    <x v="8"/>
    <x v="42"/>
    <x v="0"/>
    <m/>
    <m/>
    <x v="174"/>
    <m/>
    <m/>
    <x v="0"/>
    <x v="0"/>
    <n v="0"/>
    <m/>
    <x v="1"/>
    <n v="0"/>
    <x v="13"/>
    <x v="0"/>
    <m/>
    <m/>
    <x v="0"/>
    <m/>
    <x v="0"/>
    <m/>
    <x v="5"/>
    <x v="21"/>
    <s v=""/>
    <x v="3"/>
    <x v="1"/>
    <x v="108"/>
    <s v=""/>
    <x v="4"/>
    <x v="2"/>
    <x v="4"/>
    <x v="3"/>
    <x v="0"/>
    <d v="1899-12-30T00:00:00"/>
    <d v="1899-12-30T00:00:00"/>
  </r>
  <r>
    <m/>
    <x v="0"/>
    <x v="109"/>
    <x v="779"/>
    <m/>
    <x v="4"/>
    <m/>
    <m/>
    <x v="3"/>
    <m/>
    <x v="8"/>
    <m/>
    <m/>
    <x v="8"/>
    <x v="6"/>
    <x v="8"/>
    <x v="42"/>
    <x v="0"/>
    <m/>
    <m/>
    <x v="174"/>
    <m/>
    <m/>
    <x v="0"/>
    <x v="0"/>
    <n v="0"/>
    <m/>
    <x v="1"/>
    <n v="0"/>
    <x v="13"/>
    <x v="0"/>
    <m/>
    <m/>
    <x v="0"/>
    <m/>
    <x v="0"/>
    <m/>
    <x v="5"/>
    <x v="21"/>
    <s v=""/>
    <x v="3"/>
    <x v="1"/>
    <x v="108"/>
    <s v=""/>
    <x v="4"/>
    <x v="2"/>
    <x v="4"/>
    <x v="3"/>
    <x v="0"/>
    <d v="1899-12-30T00:00:00"/>
    <d v="1899-12-30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4000000}" name="Tabela dinâmica6" cacheId="1" applyNumberFormats="0" applyBorderFormats="0" applyFontFormats="0" applyPatternFormats="0" applyAlignmentFormats="0" applyWidthHeightFormats="1" dataCaption="Valores" updatedVersion="4" minRefreshableVersion="3" showCalcMbrs="0" itemPrintTitles="1" createdVersion="3" indent="0" outline="1" outlineData="1" multipleFieldFilters="0" chartFormat="27">
  <location ref="W40:X48" firstHeaderRow="1" firstDataRow="1" firstDataCol="1" rowPageCount="2" colPageCount="1"/>
  <pivotFields count="52">
    <pivotField showAll="0"/>
    <pivotField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axis="axisRow" multipleItemSelectionAllowed="1" showAll="0">
      <items count="11">
        <item h="1" x="2"/>
        <item h="1" x="3"/>
        <item h="1" x="5"/>
        <item h="1" x="6"/>
        <item n=" " x="0"/>
        <item h="1" x="4"/>
        <item n="CRIAÇÃO" sd="0" x="1"/>
        <item h="1" m="1" x="9"/>
        <item h="1" x="7"/>
        <item h="1" x="8"/>
        <item t="default"/>
      </items>
    </pivotField>
    <pivotField axis="axisPage" multipleItemSelectionAllowed="1" showAll="0">
      <items count="47">
        <item x="1"/>
        <item x="24"/>
        <item m="1" x="45"/>
        <item x="12"/>
        <item x="10"/>
        <item x="8"/>
        <item x="3"/>
        <item m="1" x="43"/>
        <item x="5"/>
        <item x="2"/>
        <item m="1" x="44"/>
        <item x="16"/>
        <item x="4"/>
        <item x="19"/>
        <item x="20"/>
        <item x="0"/>
        <item x="11"/>
        <item x="22"/>
        <item x="21"/>
        <item x="6"/>
        <item x="23"/>
        <item x="18"/>
        <item h="1" x="42"/>
        <item h="1" x="13"/>
        <item h="1" x="9"/>
        <item h="1" x="26"/>
        <item h="1" x="27"/>
        <item h="1" x="28"/>
        <item h="1" x="29"/>
        <item h="1" x="7"/>
        <item h="1" x="14"/>
        <item h="1" x="15"/>
        <item h="1" x="17"/>
        <item h="1" x="25"/>
        <item h="1" x="30"/>
        <item h="1" x="31"/>
        <item h="1" x="32"/>
        <item h="1" x="33"/>
        <item h="1" x="34"/>
        <item h="1" x="35"/>
        <item h="1" x="36"/>
        <item h="1" x="37"/>
        <item h="1" x="38"/>
        <item h="1" x="39"/>
        <item h="1" x="40"/>
        <item h="1" x="41"/>
        <item t="default"/>
      </items>
    </pivotField>
    <pivotField showAll="0" defaultSubtotal="0"/>
    <pivotField showAll="0" defaultSubtotal="0"/>
    <pivotField showAll="0"/>
    <pivotField numFmtId="167" showAll="0"/>
    <pivotField showAll="0" defaultSubtotal="0"/>
    <pivotField showAll="0"/>
    <pivotField showAll="0" defaultSubtotal="0"/>
    <pivotField showAll="0" defaultSubtotal="0"/>
    <pivotField numFmtId="167" showAll="0"/>
    <pivotField showAll="0"/>
    <pivotField showAll="0"/>
    <pivotField dataField="1" numFmtId="167" showAll="0"/>
    <pivotField axis="axisPage" multipleItemSelectionAllowed="1" showAll="0">
      <items count="16">
        <item x="12"/>
        <item x="8"/>
        <item x="1"/>
        <item x="3"/>
        <item x="6"/>
        <item h="1" x="13"/>
        <item x="14"/>
        <item h="1" x="10"/>
        <item x="11"/>
        <item x="4"/>
        <item h="1" x="0"/>
        <item h="1" x="7"/>
        <item x="2"/>
        <item h="1" x="9"/>
        <item h="1" x="5"/>
        <item t="default"/>
      </items>
    </pivotField>
    <pivotField showAll="0" defaultSubtota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axis="axisRow" showAll="0">
      <items count="6">
        <item n="FIC" x="0"/>
        <item n="DOC" sd="0" x="2"/>
        <item n="ANIM" sd="0" x="1"/>
        <item x="4"/>
        <item x="3"/>
        <item t="default"/>
      </items>
    </pivotField>
    <pivotField axis="axisRow" showAll="0">
      <items count="5">
        <item n="LONGAS" x="0"/>
        <item n="CURTAS" x="1"/>
        <item x="2"/>
        <item x="3"/>
        <item t="default"/>
      </items>
    </pivotField>
    <pivotField showAll="0" defaultSubtotal="0"/>
    <pivotField numFmtId="14" showAll="0" defaultSubtotal="0"/>
    <pivotField numFmtId="14" showAll="0" defaultSubtotal="0"/>
    <pivotField showAll="0" defaultSubtotal="0">
      <items count="14">
        <item x="6"/>
        <item x="5"/>
        <item x="4"/>
        <item x="3"/>
        <item x="2"/>
        <item h="1" x="7"/>
        <item x="9"/>
        <item h="1" x="10"/>
        <item h="1" x="1"/>
        <item x="11"/>
        <item h="1" x="0"/>
        <item h="1" x="8"/>
        <item h="1" x="12"/>
        <item h="1" x="13"/>
      </items>
    </pivotField>
  </pivotFields>
  <rowFields count="3">
    <field x="15"/>
    <field x="46"/>
    <field x="47"/>
  </rowFields>
  <rowItems count="8">
    <i>
      <x v="4"/>
    </i>
    <i r="1">
      <x/>
    </i>
    <i r="2">
      <x/>
    </i>
    <i r="2">
      <x v="1"/>
    </i>
    <i r="1">
      <x v="1"/>
    </i>
    <i r="1">
      <x v="2"/>
    </i>
    <i>
      <x v="6"/>
    </i>
    <i t="grand">
      <x/>
    </i>
  </rowItems>
  <colItems count="1">
    <i/>
  </colItems>
  <pageFields count="2">
    <pageField fld="29" hier="-1"/>
    <pageField fld="16" hier="-1"/>
  </pageFields>
  <dataFields count="1">
    <dataField name="VALOR A PAGAR_x000a_PAYMENTS DUE BY ICA" fld="28" showDataAs="percentOfTotal" baseField="0" baseItem="0" numFmtId="166"/>
  </dataFields>
  <formats count="11">
    <format dxfId="47">
      <pivotArea dataOnly="0" labelOnly="1" outline="0" fieldPosition="0">
        <references count="1">
          <reference field="4294967294" count="1">
            <x v="0"/>
          </reference>
        </references>
      </pivotArea>
    </format>
    <format dxfId="46">
      <pivotArea type="all" dataOnly="0" outline="0" fieldPosition="0"/>
    </format>
    <format dxfId="45">
      <pivotArea type="all" dataOnly="0" outline="0" fieldPosition="0"/>
    </format>
    <format dxfId="44">
      <pivotArea type="all" dataOnly="0" outline="0" fieldPosition="0"/>
    </format>
    <format dxfId="43">
      <pivotArea type="all" dataOnly="0" outline="0" fieldPosition="0"/>
    </format>
    <format dxfId="42">
      <pivotArea type="all" dataOnly="0" outline="0" fieldPosition="0"/>
    </format>
    <format dxfId="41">
      <pivotArea outline="0" fieldPosition="0">
        <references count="1">
          <reference field="4294967294" count="1">
            <x v="0"/>
          </reference>
        </references>
      </pivotArea>
    </format>
    <format dxfId="40">
      <pivotArea type="all" dataOnly="0" outline="0" fieldPosition="0"/>
    </format>
    <format dxfId="39">
      <pivotArea type="all" dataOnly="0" outline="0" fieldPosition="0"/>
    </format>
    <format dxfId="38">
      <pivotArea type="all" dataOnly="0" outline="0" fieldPosition="0"/>
    </format>
    <format dxfId="37">
      <pivotArea type="all" dataOnly="0" outline="0" fieldPosition="0"/>
    </format>
  </formats>
  <chartFormats count="12">
    <chartFormat chart="0" format="1"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5" format="2">
      <pivotArea type="data" outline="0" fieldPosition="0">
        <references count="2">
          <reference field="4294967294" count="1" selected="0">
            <x v="0"/>
          </reference>
          <reference field="15" count="1" selected="0">
            <x v="6"/>
          </reference>
        </references>
      </pivotArea>
    </chartFormat>
    <chartFormat chart="15" format="3">
      <pivotArea type="data" outline="0" fieldPosition="0">
        <references count="3">
          <reference field="4294967294" count="1" selected="0">
            <x v="0"/>
          </reference>
          <reference field="15" count="1" selected="0">
            <x v="4"/>
          </reference>
          <reference field="46" count="1" selected="0">
            <x v="2"/>
          </reference>
        </references>
      </pivotArea>
    </chartFormat>
    <chartFormat chart="15" format="4">
      <pivotArea type="data" outline="0" fieldPosition="0">
        <references count="3">
          <reference field="4294967294" count="1" selected="0">
            <x v="0"/>
          </reference>
          <reference field="15" count="1" selected="0">
            <x v="4"/>
          </reference>
          <reference field="46" count="1" selected="0">
            <x v="1"/>
          </reference>
        </references>
      </pivotArea>
    </chartFormat>
    <chartFormat chart="15" format="5">
      <pivotArea type="data" outline="0" fieldPosition="0">
        <references count="4">
          <reference field="4294967294" count="1" selected="0">
            <x v="0"/>
          </reference>
          <reference field="15" count="1" selected="0">
            <x v="4"/>
          </reference>
          <reference field="46" count="1" selected="0">
            <x v="0"/>
          </reference>
          <reference field="47" count="1" selected="0">
            <x v="1"/>
          </reference>
        </references>
      </pivotArea>
    </chartFormat>
    <chartFormat chart="15" format="6">
      <pivotArea type="data" outline="0" fieldPosition="0">
        <references count="4">
          <reference field="4294967294" count="1" selected="0">
            <x v="0"/>
          </reference>
          <reference field="15" count="1" selected="0">
            <x v="4"/>
          </reference>
          <reference field="46" count="1" selected="0">
            <x v="0"/>
          </reference>
          <reference field="47"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Tabela dinâmica13" cacheId="1" applyNumberFormats="0" applyBorderFormats="0" applyFontFormats="0" applyPatternFormats="0" applyAlignmentFormats="0" applyWidthHeightFormats="1" dataCaption=" " grandTotalCaption="TOTAL" updatedVersion="4" minRefreshableVersion="3" showCalcMbrs="0" itemPrintTitles="1" createdVersion="3" indent="0" compact="0" compactData="0" multipleFieldFilters="0" chartFormat="1" rowHeaderCaption=" ">
  <location ref="P22:S49" firstHeaderRow="1" firstDataRow="2" firstDataCol="2" rowPageCount="2" colPageCount="1"/>
  <pivotFields count="52">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11">
        <item h="1" x="1"/>
        <item h="1" x="2"/>
        <item h="1" x="3"/>
        <item x="0"/>
        <item h="1" x="4"/>
        <item h="1" x="5"/>
        <item h="1" x="6"/>
        <item h="1" m="1" x="9"/>
        <item h="1" x="7"/>
        <item h="1" x="8"/>
        <item t="default"/>
      </items>
    </pivotField>
    <pivotField axis="axisPage" compact="0" outline="0" multipleItemSelectionAllowed="1" showAll="0" defaultSubtotal="0">
      <items count="46">
        <item x="1"/>
        <item m="1" x="45"/>
        <item x="12"/>
        <item x="10"/>
        <item x="8"/>
        <item x="3"/>
        <item x="2"/>
        <item x="5"/>
        <item m="1" x="44"/>
        <item x="16"/>
        <item x="4"/>
        <item m="1" x="43"/>
        <item x="0"/>
        <item x="11"/>
        <item x="6"/>
        <item x="19"/>
        <item x="20"/>
        <item x="21"/>
        <item x="22"/>
        <item x="23"/>
        <item x="24"/>
        <item x="18"/>
        <item x="42"/>
        <item x="13"/>
        <item x="9"/>
        <item x="26"/>
        <item x="27"/>
        <item x="28"/>
        <item x="29"/>
        <item x="7"/>
        <item x="14"/>
        <item x="15"/>
        <item x="17"/>
        <item x="25"/>
        <item x="30"/>
        <item x="31"/>
        <item x="32"/>
        <item x="33"/>
        <item x="34"/>
        <item x="35"/>
        <item x="36"/>
        <item x="37"/>
        <item x="38"/>
        <item x="39"/>
        <item x="40"/>
        <item x="41"/>
      </items>
    </pivotField>
    <pivotField compact="0" outline="0" showAll="0" defaultSubtotal="0"/>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dataField="1" compact="0" numFmtId="167" outline="0" showAll="0" defaultSubtotal="0"/>
    <pivotField compact="0" outline="0" multipleItemSelectionAllowed="1" showAll="0" defaultSubtotal="0">
      <items count="15">
        <item n="CONCURSO A DECORRER | COMPETITION UNDERWAY" x="14"/>
        <item n="A CONTRATUALIZAR | NOT YET CONTRACTED" x="12"/>
        <item n="PRÉ-PRODUÇÃO | PRE PRODUCTION" x="6"/>
        <item x="8"/>
        <item n="FASE DE RODAGEM | SHOOTING STAGE" x="1"/>
        <item n="EM PRODUÇÃO | IN PRODUCTION" x="11"/>
        <item n="PÓS-PRODUÇÃO | POST PRODUCTION" x="3"/>
        <item x="13"/>
        <item h="1" x="10"/>
        <item n="CONCLUÍDO (cvp) | CONCLUDED (with accounts payable)" x="4"/>
        <item h="1" x="0"/>
        <item h="1" x="7"/>
        <item x="2"/>
        <item h="1" x="9"/>
        <item h="1"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defaultSubtotal="0"/>
    <pivotField compact="0" outline="0" showAll="0" defaultSubtotal="0"/>
    <pivotField axis="axisRow" compact="0" outline="0" showAll="0">
      <items count="8">
        <item h="1" x="5"/>
        <item n="LONGAS DE FICÇÃO | FICTION FILMS" x="0"/>
        <item n="CURTAS DE FICÇÃO | SHORT FILMS" x="2"/>
        <item n="DOCUMENTÁRIOS | DOCUMENTARIES" x="3"/>
        <item n="ANIMAÇÃO | ANIMATION" x="1"/>
        <item h="1" x="4"/>
        <item h="1" x="6"/>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subtotalCaption="TOTAL" compact="0" outline="0" showAll="0" defaultSubtotal="0">
      <items count="5">
        <item x="0"/>
        <item x="2"/>
        <item x="1"/>
        <item x="4"/>
        <item x="3"/>
      </items>
    </pivotField>
    <pivotField subtotalCaption="SUB-TOTAL" compact="0" outline="0" showAll="0">
      <items count="5">
        <item n=" " x="3"/>
        <item n="LONGAS" x="0"/>
        <item n="CURTAS" x="1"/>
        <item x="2"/>
        <item t="default"/>
      </items>
    </pivotField>
    <pivotField compact="0" outline="0" showAll="0" defaultSubtotal="0"/>
    <pivotField compact="0" numFmtId="14" outline="0" showAll="0" defaultSubtotal="0"/>
    <pivotField compact="0" numFmtId="14" outline="0" showAll="0" defaultSubtotal="0"/>
    <pivotField axis="axisRow" compact="0" outline="0" showAll="0" defaultSubtotal="0">
      <items count="14">
        <item n="CONCURSO A DECORRER* | OPEN PROCEDURES*" x="9"/>
        <item n="A CONTRATUALIZAR | AGREEMENT TO SIGN" x="6"/>
        <item n="PRÉ-PRODUÇÃO | PRE PRODUCTION" x="2"/>
        <item x="5"/>
        <item n="FASE DE RODAGEM | SHOOTING STAGE" x="4"/>
        <item n="EM PRODUÇÃO | IN PRODUCTION" x="1"/>
        <item n="PÓS-PRODUÇÃO | POST PRODUCTION" x="3"/>
        <item h="1" x="7"/>
        <item h="1" x="10"/>
        <item n="OUTRAS SITUAÇÕES | OTHER SITUATIONS" x="11"/>
        <item h="1" x="0"/>
        <item h="1" x="8"/>
        <item x="12"/>
        <item h="1" x="13"/>
      </items>
    </pivotField>
  </pivotFields>
  <rowFields count="2">
    <field x="37"/>
    <field x="51"/>
  </rowFields>
  <rowItems count="26">
    <i>
      <x v="1"/>
      <x v="1"/>
    </i>
    <i r="1">
      <x v="2"/>
    </i>
    <i r="1">
      <x v="4"/>
    </i>
    <i r="1">
      <x v="6"/>
    </i>
    <i r="1">
      <x v="9"/>
    </i>
    <i t="default">
      <x v="1"/>
    </i>
    <i>
      <x v="2"/>
      <x/>
    </i>
    <i r="1">
      <x v="2"/>
    </i>
    <i r="1">
      <x v="4"/>
    </i>
    <i r="1">
      <x v="6"/>
    </i>
    <i r="1">
      <x v="9"/>
    </i>
    <i t="default">
      <x v="2"/>
    </i>
    <i>
      <x v="3"/>
      <x/>
    </i>
    <i r="1">
      <x v="1"/>
    </i>
    <i r="1">
      <x v="2"/>
    </i>
    <i r="1">
      <x v="4"/>
    </i>
    <i r="1">
      <x v="6"/>
    </i>
    <i r="1">
      <x v="9"/>
    </i>
    <i t="default">
      <x v="3"/>
    </i>
    <i>
      <x v="4"/>
      <x/>
    </i>
    <i r="1">
      <x v="1"/>
    </i>
    <i r="1">
      <x v="5"/>
    </i>
    <i r="1">
      <x v="6"/>
    </i>
    <i r="1">
      <x v="9"/>
    </i>
    <i t="default">
      <x v="4"/>
    </i>
    <i t="grand">
      <x/>
    </i>
  </rowItems>
  <colFields count="1">
    <field x="-2"/>
  </colFields>
  <colItems count="2">
    <i>
      <x/>
    </i>
    <i i="1">
      <x v="1"/>
    </i>
  </colItems>
  <pageFields count="2">
    <pageField fld="15" hier="-1"/>
    <pageField fld="16" hier="-1"/>
  </pageFields>
  <dataFields count="2">
    <dataField name="Nº DE PROJETOS_x000a_NUMBER OF PROJECTS" fld="1" baseField="0" baseItem="0"/>
    <dataField name="VALOR A PAGAR_x000a_PAYMENTS DUE BY ICA" fld="28" baseField="0" baseItem="0" numFmtId="167"/>
  </dataFields>
  <formats count="32">
    <format dxfId="79">
      <pivotArea dataOnly="0" labelOnly="1" outline="0" fieldPosition="0">
        <references count="1">
          <reference field="4294967294" count="1">
            <x v="1"/>
          </reference>
        </references>
      </pivotArea>
    </format>
    <format dxfId="78">
      <pivotArea field="15" type="button" dataOnly="0" labelOnly="1" outline="0" axis="axisPage" fieldPosition="0"/>
    </format>
    <format dxfId="77">
      <pivotArea field="47" type="button" dataOnly="0" labelOnly="1" outline="0"/>
    </format>
    <format dxfId="76">
      <pivotArea field="46" type="button" dataOnly="0" labelOnly="1" outline="0"/>
    </format>
    <format dxfId="75">
      <pivotArea dataOnly="0" labelOnly="1" outline="0" fieldPosition="0">
        <references count="1">
          <reference field="4294967294" count="1">
            <x v="1"/>
          </reference>
        </references>
      </pivotArea>
    </format>
    <format dxfId="74">
      <pivotArea type="all" dataOnly="0" outline="0" fieldPosition="0"/>
    </format>
    <format dxfId="73">
      <pivotArea field="15" type="button" dataOnly="0" labelOnly="1" outline="0" axis="axisPage" fieldPosition="0"/>
    </format>
    <format dxfId="72">
      <pivotArea dataOnly="0" labelOnly="1" outline="0" fieldPosition="0">
        <references count="1">
          <reference field="15" count="0"/>
        </references>
      </pivotArea>
    </format>
    <format dxfId="71">
      <pivotArea field="16" type="button" dataOnly="0" labelOnly="1" outline="0" axis="axisPage" fieldPosition="1"/>
    </format>
    <format dxfId="70">
      <pivotArea dataOnly="0" labelOnly="1" outline="0" fieldPosition="0">
        <references count="1">
          <reference field="16" count="0"/>
        </references>
      </pivotArea>
    </format>
    <format dxfId="69">
      <pivotArea type="origin" dataOnly="0" labelOnly="1" outline="0" fieldPosition="0"/>
    </format>
    <format dxfId="68">
      <pivotArea field="-2" type="button" dataOnly="0" labelOnly="1" outline="0" axis="axisCol" fieldPosition="0"/>
    </format>
    <format dxfId="67">
      <pivotArea type="topRight" dataOnly="0" labelOnly="1" outline="0" fieldPosition="0"/>
    </format>
    <format dxfId="66">
      <pivotArea type="all" dataOnly="0" outline="0" fieldPosition="0"/>
    </format>
    <format dxfId="65">
      <pivotArea type="all" dataOnly="0" outline="0" fieldPosition="0"/>
    </format>
    <format dxfId="64">
      <pivotArea type="all" dataOnly="0" outline="0" fieldPosition="0"/>
    </format>
    <format dxfId="63">
      <pivotArea type="all" dataOnly="0" outline="0" fieldPosition="0"/>
    </format>
    <format dxfId="62">
      <pivotArea type="all" dataOnly="0" outline="0" fieldPosition="0"/>
    </format>
    <format dxfId="61">
      <pivotArea type="all" dataOnly="0" outline="0" fieldPosition="0"/>
    </format>
    <format dxfId="60">
      <pivotArea type="all" dataOnly="0" outline="0" fieldPosition="0"/>
    </format>
    <format dxfId="59">
      <pivotArea outline="0" collapsedLevelsAreSubtotals="1" fieldPosition="0">
        <references count="1">
          <reference field="4294967294" count="1" selected="0">
            <x v="0"/>
          </reference>
        </references>
      </pivotArea>
    </format>
    <format dxfId="58">
      <pivotArea type="all" dataOnly="0" outline="0" fieldPosition="0"/>
    </format>
    <format dxfId="57">
      <pivotArea field="15" type="button" dataOnly="0" labelOnly="1" outline="0" axis="axisPage" fieldPosition="0"/>
    </format>
    <format dxfId="56">
      <pivotArea dataOnly="0" labelOnly="1" outline="0" fieldPosition="0">
        <references count="1">
          <reference field="15" count="0"/>
        </references>
      </pivotArea>
    </format>
    <format dxfId="55">
      <pivotArea field="15" type="button" dataOnly="0" labelOnly="1" outline="0" axis="axisPage" fieldPosition="0"/>
    </format>
    <format dxfId="54">
      <pivotArea dataOnly="0" labelOnly="1" outline="0" fieldPosition="0">
        <references count="1">
          <reference field="15" count="0"/>
        </references>
      </pivotArea>
    </format>
    <format dxfId="53">
      <pivotArea field="15" type="button" dataOnly="0" labelOnly="1" outline="0" axis="axisPage" fieldPosition="0"/>
    </format>
    <format dxfId="52">
      <pivotArea dataOnly="0" labelOnly="1" outline="0" fieldPosition="0">
        <references count="1">
          <reference field="15" count="0"/>
        </references>
      </pivotArea>
    </format>
    <format dxfId="51">
      <pivotArea type="all" dataOnly="0" outline="0" fieldPosition="0"/>
    </format>
    <format dxfId="50">
      <pivotArea type="all" dataOnly="0" outline="0" fieldPosition="0"/>
    </format>
    <format dxfId="49">
      <pivotArea type="all" dataOnly="0" outline="0" fieldPosition="0"/>
    </format>
    <format dxfId="48">
      <pivotArea type="all" dataOnly="0" outline="0" fieldPosition="0"/>
    </format>
  </formats>
  <chartFormats count="1">
    <chartFormat chart="0" format="1" series="1">
      <pivotArea type="data" outline="0" fieldPosition="0">
        <references count="1">
          <reference field="4294967294" count="1" selected="0">
            <x v="1"/>
          </reference>
        </references>
      </pivotArea>
    </chartFormat>
  </chartFormats>
  <pivotTableStyleInfo name="NEWSLETTER"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Tabela dinâmica12" cacheId="1" applyNumberFormats="0" applyBorderFormats="0" applyFontFormats="0" applyPatternFormats="0" applyAlignmentFormats="0" applyWidthHeightFormats="1" dataCaption=" " grandTotalCaption="TOTAL" updatedVersion="4" minRefreshableVersion="3" showCalcMbrs="0" itemPrintTitles="1" createdVersion="3" indent="0" compact="0" compactData="0" multipleFieldFilters="0" chartFormat="1" rowHeaderCaption=" ">
  <location ref="J21:M31" firstHeaderRow="1" firstDataRow="2" firstDataCol="2" rowPageCount="1" colPageCount="1"/>
  <pivotFields count="52">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11">
        <item x="1"/>
        <item h="1" x="2"/>
        <item h="1" x="3"/>
        <item h="1" x="0"/>
        <item h="1" x="4"/>
        <item h="1" x="5"/>
        <item h="1" x="6"/>
        <item h="1" m="1" x="9"/>
        <item h="1" x="7"/>
        <item h="1" x="8"/>
        <item t="default"/>
      </items>
    </pivotField>
    <pivotField compact="0" outline="0" multipleItemSelectionAllowed="1" showAll="0" defaultSubtotal="0">
      <items count="46">
        <item x="1"/>
        <item x="12"/>
        <item x="10"/>
        <item x="8"/>
        <item x="3"/>
        <item n="ESCRITA DE ARGUMENTOS_x000a_SCRIPT WRITING" m="1" x="43"/>
        <item n="DESENVOLVIMENTO DE DOCUMENTÁRIOS_x000a_DEVELOPMENT OF DOCUMENTARY" x="5"/>
        <item n="DESENVOLVIMENTO DE ANIMAÇÃO_x000a_DEVELOPMENT OF ANIMATION" x="2"/>
        <item m="1" x="44"/>
        <item x="16"/>
        <item x="4"/>
        <item x="0"/>
        <item x="11"/>
        <item x="6"/>
        <item x="19"/>
        <item x="20"/>
        <item x="21"/>
        <item x="22"/>
        <item x="23"/>
        <item x="24"/>
        <item x="18"/>
        <item x="42"/>
        <item x="13"/>
        <item x="9"/>
        <item x="26"/>
        <item x="27"/>
        <item x="28"/>
        <item m="1" x="45"/>
        <item x="29"/>
        <item x="7"/>
        <item x="14"/>
        <item x="15"/>
        <item x="17"/>
        <item x="25"/>
        <item x="30"/>
        <item x="31"/>
        <item x="32"/>
        <item x="33"/>
        <item x="34"/>
        <item x="35"/>
        <item x="36"/>
        <item x="37"/>
        <item x="38"/>
        <item x="39"/>
        <item x="40"/>
        <item x="41"/>
      </items>
    </pivotField>
    <pivotField axis="axisRow" compact="0" outline="0" showAll="0" defaultSubtotal="0">
      <items count="6">
        <item x="3"/>
        <item x="2"/>
        <item x="4"/>
        <item x="0"/>
        <item x="1"/>
        <item x="5"/>
      </items>
    </pivotField>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dataField="1" compact="0" numFmtId="167" outline="0" showAll="0" defaultSubtotal="0"/>
    <pivotField compact="0" outline="0" multipleItemSelectionAllowed="1" showAll="0" defaultSubtotal="0">
      <items count="15">
        <item n="A CONTRATUALIZAR_x000a_WAITING FOR CONTRACTUALLY" x="12"/>
        <item n="CONCURSO A DECORRER_x000a_COMPETITION UNDERWAY" x="14"/>
        <item n="EM DESENVOLVIMENTO_x000a_UNDER DEVELOPMENT" x="8"/>
        <item x="6"/>
        <item x="1"/>
        <item x="3"/>
        <item x="13"/>
        <item h="1" x="10"/>
        <item x="11"/>
        <item x="4"/>
        <item h="1" x="0"/>
        <item h="1" x="7"/>
        <item n="OUTRAS SITUAÇÕES | OTHER SITUATIONS" x="2"/>
        <item h="1" x="9"/>
        <item h="1"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tems count="6">
        <item sd="0" x="0"/>
        <item sd="0" x="2"/>
        <item sd="0" x="1"/>
        <item x="4"/>
        <item x="3"/>
        <item t="default"/>
      </items>
    </pivotField>
    <pivotField compact="0" outline="0" showAll="0">
      <items count="5">
        <item sd="0" x="0"/>
        <item x="1"/>
        <item sd="0" x="2"/>
        <item n=" " sd="0" x="3"/>
        <item t="default"/>
      </items>
    </pivotField>
    <pivotField compact="0" outline="0" showAll="0" defaultSubtotal="0"/>
    <pivotField compact="0" numFmtId="14" outline="0" showAll="0" defaultSubtotal="0"/>
    <pivotField compact="0" numFmtId="14" outline="0" showAll="0" defaultSubtotal="0"/>
    <pivotField axis="axisRow" compact="0" outline="0" showAll="0" defaultSubtotal="0">
      <items count="14">
        <item n="CONCURSO A DECORRER*_x000a_OPEN PROCEDURES" x="9"/>
        <item n="A CONTRATUALIZAR_x000a_AGREEMENT TO SIGN" x="6"/>
        <item n="EM DESENVOLVIMENTO_x000a_WORK IN PROGRESS" x="5"/>
        <item x="2"/>
        <item x="4"/>
        <item x="3"/>
        <item h="1" x="7"/>
        <item h="1" x="10"/>
        <item x="1"/>
        <item n="OUTRAS SITUAÇÕES | OTHER SITUATIONS" x="11"/>
        <item h="1" x="0"/>
        <item h="1" x="8"/>
        <item h="1" x="12"/>
        <item h="1" x="13"/>
      </items>
    </pivotField>
  </pivotFields>
  <rowFields count="2">
    <field x="17"/>
    <field x="51"/>
  </rowFields>
  <rowItems count="9">
    <i>
      <x/>
      <x v="2"/>
    </i>
    <i r="1">
      <x v="9"/>
    </i>
    <i>
      <x v="1"/>
      <x v="2"/>
    </i>
    <i>
      <x v="2"/>
      <x v="1"/>
    </i>
    <i r="1">
      <x v="2"/>
    </i>
    <i>
      <x v="4"/>
      <x v="2"/>
    </i>
    <i>
      <x v="5"/>
      <x v="1"/>
    </i>
    <i r="1">
      <x v="2"/>
    </i>
    <i t="grand">
      <x/>
    </i>
  </rowItems>
  <colFields count="1">
    <field x="-2"/>
  </colFields>
  <colItems count="2">
    <i>
      <x/>
    </i>
    <i i="1">
      <x v="1"/>
    </i>
  </colItems>
  <pageFields count="1">
    <pageField fld="15" hier="-1"/>
  </pageFields>
  <dataFields count="2">
    <dataField name="Nº DE PROJETOS_x000a_NUMBER OF PROJECTS" fld="1" baseField="0" baseItem="0"/>
    <dataField name="VALOR A PAGAR_x000a_PAYMENTS DUE BY ICA" fld="28" baseField="0" baseItem="0" numFmtId="167"/>
  </dataFields>
  <formats count="28">
    <format dxfId="107">
      <pivotArea dataOnly="0" labelOnly="1" outline="0" fieldPosition="0">
        <references count="1">
          <reference field="4294967294" count="1">
            <x v="1"/>
          </reference>
        </references>
      </pivotArea>
    </format>
    <format dxfId="106">
      <pivotArea field="15" type="button" dataOnly="0" labelOnly="1" outline="0" axis="axisPage" fieldPosition="0"/>
    </format>
    <format dxfId="105">
      <pivotArea field="47" type="button" dataOnly="0" labelOnly="1" outline="0"/>
    </format>
    <format dxfId="104">
      <pivotArea field="46" type="button" dataOnly="0" labelOnly="1" outline="0"/>
    </format>
    <format dxfId="103">
      <pivotArea dataOnly="0" labelOnly="1" outline="0" fieldPosition="0">
        <references count="1">
          <reference field="4294967294" count="1">
            <x v="1"/>
          </reference>
        </references>
      </pivotArea>
    </format>
    <format dxfId="102">
      <pivotArea type="all" dataOnly="0" outline="0" fieldPosition="0"/>
    </format>
    <format dxfId="101">
      <pivotArea field="15" type="button" dataOnly="0" labelOnly="1" outline="0" axis="axisPage" fieldPosition="0"/>
    </format>
    <format dxfId="100">
      <pivotArea dataOnly="0" labelOnly="1" outline="0" fieldPosition="0">
        <references count="1">
          <reference field="15" count="0"/>
        </references>
      </pivotArea>
    </format>
    <format dxfId="99">
      <pivotArea field="16" type="button" dataOnly="0" labelOnly="1" outline="0"/>
    </format>
    <format dxfId="98">
      <pivotArea type="origin" dataOnly="0" labelOnly="1" outline="0" fieldPosition="0"/>
    </format>
    <format dxfId="97">
      <pivotArea field="-2" type="button" dataOnly="0" labelOnly="1" outline="0" axis="axisCol" fieldPosition="0"/>
    </format>
    <format dxfId="96">
      <pivotArea type="topRight" dataOnly="0" labelOnly="1" outline="0" fieldPosition="0"/>
    </format>
    <format dxfId="95">
      <pivotArea type="all" dataOnly="0" outline="0" fieldPosition="0"/>
    </format>
    <format dxfId="94">
      <pivotArea type="all" dataOnly="0" outline="0" fieldPosition="0"/>
    </format>
    <format dxfId="93">
      <pivotArea type="all" dataOnly="0" outline="0" fieldPosition="0"/>
    </format>
    <format dxfId="92">
      <pivotArea type="all" dataOnly="0" outline="0" fieldPosition="0"/>
    </format>
    <format dxfId="91">
      <pivotArea type="all" dataOnly="0" outline="0" fieldPosition="0"/>
    </format>
    <format dxfId="90">
      <pivotArea outline="0" collapsedLevelsAreSubtotals="1" fieldPosition="0">
        <references count="1">
          <reference field="4294967294" count="1" selected="0">
            <x v="0"/>
          </reference>
        </references>
      </pivotArea>
    </format>
    <format dxfId="89">
      <pivotArea type="all" dataOnly="0" outline="0" fieldPosition="0"/>
    </format>
    <format dxfId="88">
      <pivotArea type="all" dataOnly="0" outline="0" fieldPosition="0"/>
    </format>
    <format dxfId="87">
      <pivotArea type="all" dataOnly="0" outline="0" fieldPosition="0"/>
    </format>
    <format dxfId="86">
      <pivotArea grandRow="1" outline="0" collapsedLevelsAreSubtotals="1" fieldPosition="0"/>
    </format>
    <format dxfId="85">
      <pivotArea dataOnly="0" labelOnly="1" grandRow="1" outline="0" fieldPosition="0"/>
    </format>
    <format dxfId="84">
      <pivotArea grandRow="1" outline="0" collapsedLevelsAreSubtotals="1" fieldPosition="0"/>
    </format>
    <format dxfId="83">
      <pivotArea dataOnly="0" labelOnly="1" grandRow="1" outline="0" fieldPosition="0"/>
    </format>
    <format dxfId="82">
      <pivotArea dataOnly="0" labelOnly="1" outline="0" fieldPosition="0">
        <references count="1">
          <reference field="4294967294" count="1">
            <x v="0"/>
          </reference>
        </references>
      </pivotArea>
    </format>
    <format dxfId="81">
      <pivotArea type="all" dataOnly="0" outline="0" fieldPosition="0"/>
    </format>
    <format dxfId="80">
      <pivotArea type="all" dataOnly="0" outline="0" fieldPosition="0"/>
    </format>
  </formats>
  <chartFormats count="1">
    <chartFormat chart="0" format="1" series="1">
      <pivotArea type="data" outline="0" fieldPosition="0">
        <references count="1">
          <reference field="4294967294" count="1" selected="0">
            <x v="1"/>
          </reference>
        </references>
      </pivotArea>
    </chartFormat>
  </chartFormats>
  <pivotTableStyleInfo name="NEWSLETTER"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ela dinâmica10" cacheId="1" applyNumberFormats="0" applyBorderFormats="0" applyFontFormats="0" applyPatternFormats="0" applyAlignmentFormats="0" applyWidthHeightFormats="1" dataCaption="Valores" updatedVersion="4" minRefreshableVersion="3" showCalcMbrs="0" rowGrandTotals="0" colGrandTotals="0" itemPrintTitles="1" createdVersion="3" indent="0" compact="0" compactData="0" multipleFieldFilters="0">
  <location ref="D13:H38" firstHeaderRow="1" firstDataRow="1" firstDataCol="5" rowPageCount="3" colPageCount="1"/>
  <pivotFields count="52">
    <pivotField compact="0" outline="0" showAll="0" defaultSubtotal="0"/>
    <pivotField compact="0" outline="0" showAll="0" defaultSubtotal="0"/>
    <pivotField name="PRODUTOR | PRODUCER" axis="axisRow" compact="0" outline="0" showAll="0" defaultSubtotal="0">
      <items count="233">
        <item x="59"/>
        <item x="0"/>
        <item x="1"/>
        <item x="2"/>
        <item x="3"/>
        <item x="73"/>
        <item x="100"/>
        <item x="79"/>
        <item x="47"/>
        <item x="34"/>
        <item x="89"/>
        <item x="88"/>
        <item x="4"/>
        <item x="5"/>
        <item x="35"/>
        <item x="36"/>
        <item x="48"/>
        <item x="6"/>
        <item x="86"/>
        <item x="7"/>
        <item m="1" x="230"/>
        <item x="60"/>
        <item x="61"/>
        <item x="62"/>
        <item x="67"/>
        <item x="68"/>
        <item x="54"/>
        <item x="63"/>
        <item x="55"/>
        <item x="69"/>
        <item x="56"/>
        <item x="64"/>
        <item x="65"/>
        <item x="57"/>
        <item x="80"/>
        <item x="8"/>
        <item x="52"/>
        <item x="85"/>
        <item x="78"/>
        <item x="9"/>
        <item x="37"/>
        <item x="77"/>
        <item m="1" x="231"/>
        <item x="90"/>
        <item x="94"/>
        <item x="10"/>
        <item x="11"/>
        <item x="12"/>
        <item x="81"/>
        <item x="58"/>
        <item x="13"/>
        <item x="38"/>
        <item x="14"/>
        <item x="99"/>
        <item x="39"/>
        <item x="15"/>
        <item x="96"/>
        <item x="82"/>
        <item x="16"/>
        <item x="51"/>
        <item x="50"/>
        <item x="17"/>
        <item x="75"/>
        <item x="19"/>
        <item x="18"/>
        <item x="20"/>
        <item x="70"/>
        <item x="21"/>
        <item x="76"/>
        <item x="23"/>
        <item x="140"/>
        <item x="72"/>
        <item x="71"/>
        <item x="40"/>
        <item x="24"/>
        <item x="25"/>
        <item x="26"/>
        <item x="27"/>
        <item x="28"/>
        <item x="29"/>
        <item x="74"/>
        <item x="30"/>
        <item x="31"/>
        <item x="41"/>
        <item x="32"/>
        <item x="33"/>
        <item x="84"/>
        <item x="93"/>
        <item x="91"/>
        <item x="42"/>
        <item m="1" x="232"/>
        <item x="97"/>
        <item x="53"/>
        <item x="45"/>
        <item x="43"/>
        <item x="44"/>
        <item x="83"/>
        <item x="101"/>
        <item x="102"/>
        <item x="103"/>
        <item x="46"/>
        <item x="104"/>
        <item x="105"/>
        <item x="106"/>
        <item x="107"/>
        <item x="108"/>
        <item x="109"/>
        <item x="110"/>
        <item x="111"/>
        <item x="112"/>
        <item x="113"/>
        <item x="114"/>
        <item x="115"/>
        <item x="116"/>
        <item x="117"/>
        <item x="118"/>
        <item x="119"/>
        <item x="120"/>
        <item x="121"/>
        <item x="122"/>
        <item x="123"/>
        <item x="124"/>
        <item x="125"/>
        <item x="126"/>
        <item x="127"/>
        <item x="128"/>
        <item x="130"/>
        <item x="133"/>
        <item x="135"/>
        <item x="136"/>
        <item x="137"/>
        <item x="139"/>
        <item x="129"/>
        <item x="49"/>
        <item x="98"/>
        <item x="134"/>
        <item x="131"/>
        <item x="132"/>
        <item x="141"/>
        <item x="155"/>
        <item x="151"/>
        <item x="146"/>
        <item x="147"/>
        <item x="148"/>
        <item x="150"/>
        <item x="149"/>
        <item x="145"/>
        <item x="138"/>
        <item x="143"/>
        <item x="144"/>
        <item x="157"/>
        <item x="152"/>
        <item x="153"/>
        <item x="154"/>
        <item x="156"/>
        <item x="158"/>
        <item x="159"/>
        <item x="160"/>
        <item x="162"/>
        <item x="163"/>
        <item x="164"/>
        <item x="142"/>
        <item x="175"/>
        <item x="176"/>
        <item x="177"/>
        <item x="178"/>
        <item x="179"/>
        <item x="172"/>
        <item x="165"/>
        <item x="166"/>
        <item x="167"/>
        <item x="168"/>
        <item x="169"/>
        <item x="170"/>
        <item x="171"/>
        <item x="173"/>
        <item x="180"/>
        <item x="174"/>
        <item x="181"/>
        <item x="182"/>
        <item x="183"/>
        <item x="184"/>
        <item x="161"/>
        <item x="185"/>
        <item x="186"/>
        <item x="187"/>
        <item x="188"/>
        <item x="190"/>
        <item x="191"/>
        <item x="192"/>
        <item x="189"/>
        <item x="193"/>
        <item x="194"/>
        <item x="195"/>
        <item x="197"/>
        <item x="22"/>
        <item x="198"/>
        <item x="199"/>
        <item x="200"/>
        <item x="201"/>
        <item x="196"/>
        <item x="202"/>
        <item x="66"/>
        <item x="87"/>
        <item x="92"/>
        <item x="95"/>
        <item x="203"/>
        <item x="204"/>
        <item x="205"/>
        <item x="206"/>
        <item x="207"/>
        <item x="208"/>
        <item x="209"/>
        <item x="210"/>
        <item x="211"/>
        <item x="212"/>
        <item x="213"/>
        <item x="214"/>
        <item x="215"/>
        <item x="216"/>
        <item x="217"/>
        <item x="218"/>
        <item x="219"/>
        <item x="220"/>
        <item x="221"/>
        <item x="222"/>
        <item x="223"/>
        <item x="224"/>
        <item x="225"/>
        <item x="226"/>
        <item x="227"/>
        <item x="228"/>
        <item x="229"/>
      </items>
    </pivotField>
    <pivotField name="PROJETO" compact="0" outline="0" showAll="0" defaultSubtotal="0">
      <items count="1113">
        <item x="343"/>
        <item x="423"/>
        <item x="265"/>
        <item x="134"/>
        <item x="233"/>
        <item x="106"/>
        <item x="336"/>
        <item x="322"/>
        <item x="424"/>
        <item x="8"/>
        <item x="76"/>
        <item x="212"/>
        <item x="122"/>
        <item x="304"/>
        <item x="274"/>
        <item x="103"/>
        <item x="405"/>
        <item x="433"/>
        <item x="329"/>
        <item x="260"/>
        <item x="234"/>
        <item x="328"/>
        <item x="96"/>
        <item x="7"/>
        <item x="71"/>
        <item x="115"/>
        <item x="27"/>
        <item x="116"/>
        <item x="242"/>
        <item x="42"/>
        <item x="124"/>
        <item x="97"/>
        <item x="345"/>
        <item x="243"/>
        <item x="92"/>
        <item x="84"/>
        <item x="389"/>
        <item x="107"/>
        <item x="235"/>
        <item x="89"/>
        <item x="61"/>
        <item x="117"/>
        <item x="277"/>
        <item x="346"/>
        <item x="225"/>
        <item x="406"/>
        <item x="82"/>
        <item x="87"/>
        <item x="253"/>
        <item x="390"/>
        <item x="317"/>
        <item x="191"/>
        <item x="44"/>
        <item x="19"/>
        <item x="321"/>
        <item x="262"/>
        <item x="347"/>
        <item x="324"/>
        <item x="443"/>
        <item x="440"/>
        <item x="348"/>
        <item x="401"/>
        <item x="279"/>
        <item x="227"/>
        <item x="226"/>
        <item x="23"/>
        <item x="414"/>
        <item x="252"/>
        <item x="213"/>
        <item x="75"/>
        <item x="95"/>
        <item x="349"/>
        <item x="278"/>
        <item x="397"/>
        <item x="104"/>
        <item x="407"/>
        <item x="24"/>
        <item x="415"/>
        <item x="168"/>
        <item x="68"/>
        <item x="83"/>
        <item x="408"/>
        <item x="12"/>
        <item x="38"/>
        <item x="29"/>
        <item x="300"/>
        <item x="337"/>
        <item x="185"/>
        <item x="186"/>
        <item x="333"/>
        <item x="53"/>
        <item x="416"/>
        <item x="434"/>
        <item x="201"/>
        <item x="101"/>
        <item x="118"/>
        <item x="9"/>
        <item x="244"/>
        <item x="59"/>
        <item x="224"/>
        <item x="417"/>
        <item x="214"/>
        <item x="51"/>
        <item x="30"/>
        <item x="169"/>
        <item x="284"/>
        <item x="170"/>
        <item x="202"/>
        <item x="162"/>
        <item x="163"/>
        <item x="164"/>
        <item x="165"/>
        <item x="166"/>
        <item x="167"/>
        <item x="203"/>
        <item x="204"/>
        <item x="409"/>
        <item x="231"/>
        <item x="350"/>
        <item x="383"/>
        <item x="266"/>
        <item x="192"/>
        <item x="112"/>
        <item x="318"/>
        <item x="110"/>
        <item x="114"/>
        <item x="171"/>
        <item x="286"/>
        <item x="381"/>
        <item x="280"/>
        <item x="193"/>
        <item x="418"/>
        <item x="351"/>
        <item x="130"/>
        <item x="137"/>
        <item x="135"/>
        <item x="136"/>
        <item x="294"/>
        <item x="172"/>
        <item x="326"/>
        <item x="338"/>
        <item x="132"/>
        <item x="380"/>
        <item x="425"/>
        <item x="245"/>
        <item x="246"/>
        <item x="352"/>
        <item x="288"/>
        <item x="232"/>
        <item x="430"/>
        <item x="79"/>
        <item x="90"/>
        <item x="291"/>
        <item x="353"/>
        <item x="269"/>
        <item x="276"/>
        <item x="354"/>
        <item x="54"/>
        <item x="205"/>
        <item x="173"/>
        <item x="308"/>
        <item x="399"/>
        <item x="77"/>
        <item x="295"/>
        <item x="6"/>
        <item x="432"/>
        <item x="187"/>
        <item x="188"/>
        <item x="426"/>
        <item x="174"/>
        <item x="43"/>
        <item x="331"/>
        <item x="175"/>
        <item x="189"/>
        <item x="282"/>
        <item x="283"/>
        <item x="177"/>
        <item x="178"/>
        <item x="5"/>
        <item x="179"/>
        <item x="180"/>
        <item x="339"/>
        <item x="119"/>
        <item x="229"/>
        <item x="41"/>
        <item x="206"/>
        <item x="355"/>
        <item x="123"/>
        <item x="323"/>
        <item x="55"/>
        <item x="327"/>
        <item x="31"/>
        <item x="301"/>
        <item x="18"/>
        <item x="85"/>
        <item x="67"/>
        <item x="46"/>
        <item x="356"/>
        <item x="22"/>
        <item x="357"/>
        <item x="129"/>
        <item x="305"/>
        <item x="296"/>
        <item x="181"/>
        <item x="32"/>
        <item x="111"/>
        <item x="275"/>
        <item x="69"/>
        <item x="341"/>
        <item x="388"/>
        <item x="312"/>
        <item x="271"/>
        <item x="21"/>
        <item x="387"/>
        <item x="290"/>
        <item x="73"/>
        <item x="20"/>
        <item x="254"/>
        <item x="236"/>
        <item x="256"/>
        <item x="289"/>
        <item x="109"/>
        <item x="1"/>
        <item x="358"/>
        <item x="98"/>
        <item x="359"/>
        <item x="360"/>
        <item x="428"/>
        <item x="13"/>
        <item x="309"/>
        <item x="270"/>
        <item x="66"/>
        <item x="292"/>
        <item x="361"/>
        <item x="194"/>
        <item x="391"/>
        <item x="314"/>
        <item x="340"/>
        <item x="182"/>
        <item x="37"/>
        <item x="410"/>
        <item x="183"/>
        <item x="190"/>
        <item x="427"/>
        <item x="81"/>
        <item x="297"/>
        <item x="362"/>
        <item x="247"/>
        <item x="25"/>
        <item x="108"/>
        <item x="429"/>
        <item x="120"/>
        <item x="93"/>
        <item x="386"/>
        <item x="281"/>
        <item x="385"/>
        <item x="263"/>
        <item x="45"/>
        <item x="442"/>
        <item x="195"/>
        <item x="113"/>
        <item x="3"/>
        <item x="56"/>
        <item x="237"/>
        <item x="11"/>
        <item x="238"/>
        <item x="60"/>
        <item x="306"/>
        <item x="419"/>
        <item x="267"/>
        <item x="57"/>
        <item x="65"/>
        <item x="91"/>
        <item x="363"/>
        <item x="392"/>
        <item x="364"/>
        <item x="196"/>
        <item x="131"/>
        <item x="239"/>
        <item x="248"/>
        <item x="445"/>
        <item x="330"/>
        <item x="34"/>
        <item x="320"/>
        <item x="384"/>
        <item x="207"/>
        <item x="14"/>
        <item x="16"/>
        <item x="94"/>
        <item x="431"/>
        <item x="208"/>
        <item x="15"/>
        <item x="197"/>
        <item x="80"/>
        <item x="436"/>
        <item x="62"/>
        <item x="133"/>
        <item x="435"/>
        <item x="139"/>
        <item x="255"/>
        <item x="26"/>
        <item x="0"/>
        <item x="249"/>
        <item x="48"/>
        <item x="365"/>
        <item x="404"/>
        <item x="316"/>
        <item x="411"/>
        <item x="332"/>
        <item x="17"/>
        <item x="10"/>
        <item x="140"/>
        <item x="310"/>
        <item x="257"/>
        <item x="70"/>
        <item x="400"/>
        <item x="393"/>
        <item x="394"/>
        <item x="402"/>
        <item x="444"/>
        <item x="366"/>
        <item x="420"/>
        <item x="367"/>
        <item x="88"/>
        <item x="441"/>
        <item x="250"/>
        <item x="4"/>
        <item x="287"/>
        <item x="209"/>
        <item x="138"/>
        <item x="228"/>
        <item x="216"/>
        <item x="217"/>
        <item x="223"/>
        <item x="272"/>
        <item x="218"/>
        <item x="219"/>
        <item x="220"/>
        <item x="221"/>
        <item x="222"/>
        <item x="47"/>
        <item x="28"/>
        <item x="39"/>
        <item x="184"/>
        <item x="298"/>
        <item x="251"/>
        <item x="268"/>
        <item x="230"/>
        <item x="99"/>
        <item x="64"/>
        <item x="438"/>
        <item x="285"/>
        <item x="146"/>
        <item x="147"/>
        <item x="148"/>
        <item x="149"/>
        <item x="141"/>
        <item x="150"/>
        <item x="142"/>
        <item x="143"/>
        <item x="151"/>
        <item x="152"/>
        <item x="144"/>
        <item x="153"/>
        <item x="154"/>
        <item x="155"/>
        <item x="156"/>
        <item x="145"/>
        <item x="157"/>
        <item x="158"/>
        <item x="159"/>
        <item x="160"/>
        <item x="161"/>
        <item x="293"/>
        <item x="368"/>
        <item x="74"/>
        <item x="273"/>
        <item x="33"/>
        <item x="369"/>
        <item x="78"/>
        <item x="370"/>
        <item x="210"/>
        <item x="303"/>
        <item x="240"/>
        <item x="261"/>
        <item x="311"/>
        <item x="2"/>
        <item x="372"/>
        <item x="342"/>
        <item x="100"/>
        <item x="373"/>
        <item x="198"/>
        <item x="398"/>
        <item x="299"/>
        <item x="374"/>
        <item x="58"/>
        <item x="412"/>
        <item x="40"/>
        <item x="35"/>
        <item x="105"/>
        <item x="52"/>
        <item x="335"/>
        <item x="439"/>
        <item x="325"/>
        <item x="375"/>
        <item x="376"/>
        <item x="421"/>
        <item x="102"/>
        <item x="259"/>
        <item x="313"/>
        <item x="211"/>
        <item x="395"/>
        <item x="334"/>
        <item x="396"/>
        <item x="422"/>
        <item x="258"/>
        <item x="377"/>
        <item x="86"/>
        <item x="302"/>
        <item x="63"/>
        <item x="264"/>
        <item x="378"/>
        <item x="199"/>
        <item x="215"/>
        <item x="50"/>
        <item x="382"/>
        <item x="379"/>
        <item x="49"/>
        <item x="36"/>
        <item x="200"/>
        <item x="779"/>
        <item x="319"/>
        <item x="307"/>
        <item x="446"/>
        <item x="448"/>
        <item x="449"/>
        <item x="450"/>
        <item x="451"/>
        <item x="452"/>
        <item x="453"/>
        <item x="454"/>
        <item x="455"/>
        <item x="456"/>
        <item x="457"/>
        <item x="458"/>
        <item x="459"/>
        <item x="460"/>
        <item x="461"/>
        <item x="462"/>
        <item x="464"/>
        <item x="465"/>
        <item x="466"/>
        <item x="467"/>
        <item x="468"/>
        <item x="469"/>
        <item x="470"/>
        <item x="471"/>
        <item x="472"/>
        <item x="473"/>
        <item x="474"/>
        <item x="475"/>
        <item x="476"/>
        <item x="477"/>
        <item x="478"/>
        <item x="479"/>
        <item x="480"/>
        <item x="463"/>
        <item x="481"/>
        <item x="482"/>
        <item x="483"/>
        <item x="484"/>
        <item x="485"/>
        <item x="344"/>
        <item x="486"/>
        <item x="487"/>
        <item x="488"/>
        <item x="489"/>
        <item x="490"/>
        <item x="371"/>
        <item x="403"/>
        <item x="413"/>
        <item x="437"/>
        <item x="491"/>
        <item x="492"/>
        <item x="493"/>
        <item x="494"/>
        <item x="495"/>
        <item x="496"/>
        <item x="497"/>
        <item x="498"/>
        <item x="499"/>
        <item x="500"/>
        <item x="501"/>
        <item x="502"/>
        <item x="503"/>
        <item x="504"/>
        <item x="505"/>
        <item x="506"/>
        <item x="507"/>
        <item x="508"/>
        <item x="509"/>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60"/>
        <item x="561"/>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510"/>
        <item x="559"/>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5"/>
        <item x="726"/>
        <item x="727"/>
        <item x="728"/>
        <item x="729"/>
        <item x="730"/>
        <item x="731"/>
        <item x="732"/>
        <item x="733"/>
        <item x="734"/>
        <item x="735"/>
        <item x="736"/>
        <item x="737"/>
        <item x="738"/>
        <item x="739"/>
        <item x="740"/>
        <item x="741"/>
        <item x="742"/>
        <item x="743"/>
        <item x="724"/>
        <item x="744"/>
        <item x="745"/>
        <item x="751"/>
        <item x="753"/>
        <item x="754"/>
        <item x="755"/>
        <item x="756"/>
        <item x="757"/>
        <item x="758"/>
        <item x="759"/>
        <item x="747"/>
        <item x="752"/>
        <item x="241"/>
        <item x="760"/>
        <item x="761"/>
        <item x="762"/>
        <item x="763"/>
        <item x="764"/>
        <item x="765"/>
        <item x="766"/>
        <item x="767"/>
        <item x="768"/>
        <item x="769"/>
        <item x="770"/>
        <item x="771"/>
        <item x="772"/>
        <item x="773"/>
        <item x="774"/>
        <item x="775"/>
        <item x="776"/>
        <item x="777"/>
        <item x="778"/>
        <item x="748"/>
        <item x="749"/>
        <item x="784"/>
        <item x="786"/>
        <item x="787"/>
        <item x="562"/>
        <item x="788"/>
        <item x="780"/>
        <item x="781"/>
        <item x="782"/>
        <item x="783"/>
        <item x="789"/>
        <item x="790"/>
        <item x="791"/>
        <item x="792"/>
        <item x="793"/>
        <item x="794"/>
        <item x="795"/>
        <item x="893"/>
        <item x="796"/>
        <item x="797"/>
        <item x="798"/>
        <item x="799"/>
        <item x="800"/>
        <item x="801"/>
        <item x="802"/>
        <item x="803"/>
        <item x="804"/>
        <item x="805"/>
        <item x="806"/>
        <item x="807"/>
        <item x="808"/>
        <item x="785"/>
        <item x="809"/>
        <item x="810"/>
        <item x="811"/>
        <item x="812"/>
        <item x="813"/>
        <item x="814"/>
        <item x="815"/>
        <item x="817"/>
        <item x="818"/>
        <item x="819"/>
        <item x="821"/>
        <item x="822"/>
        <item x="746"/>
        <item x="823"/>
        <item x="824"/>
        <item x="825"/>
        <item x="826"/>
        <item x="827"/>
        <item x="828"/>
        <item x="829"/>
        <item x="830"/>
        <item x="831"/>
        <item x="832"/>
        <item x="833"/>
        <item x="834"/>
        <item x="835"/>
        <item x="836"/>
        <item x="837"/>
        <item x="838"/>
        <item x="839"/>
        <item x="840"/>
        <item x="841"/>
        <item x="842"/>
        <item x="843"/>
        <item x="844"/>
        <item x="845"/>
        <item x="846"/>
        <item x="848"/>
        <item x="849"/>
        <item x="850"/>
        <item x="851"/>
        <item x="852"/>
        <item x="816"/>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6"/>
        <item x="887"/>
        <item x="889"/>
        <item x="890"/>
        <item x="891"/>
        <item x="892"/>
        <item x="72"/>
        <item x="121"/>
        <item x="125"/>
        <item x="126"/>
        <item x="127"/>
        <item x="128"/>
        <item x="176"/>
        <item x="315"/>
        <item x="447"/>
        <item x="750"/>
        <item x="820"/>
        <item x="847"/>
        <item x="853"/>
        <item x="885"/>
        <item x="888"/>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s>
    </pivotField>
    <pivotField compact="0" outline="0" showAll="0" defaultSubtotal="0"/>
    <pivotField name="TÍTULO | TITLE " axis="axisRow" compact="0" outline="0" showAll="0" defaultSubtotal="0">
      <items count="591">
        <item x="7"/>
        <item m="1" x="564"/>
        <item x="304"/>
        <item x="321"/>
        <item x="426"/>
        <item x="389"/>
        <item x="425"/>
        <item x="171"/>
        <item x="325"/>
        <item x="257"/>
        <item x="104"/>
        <item x="440"/>
        <item x="116"/>
        <item m="1" x="569"/>
        <item x="89"/>
        <item x="154"/>
        <item x="489"/>
        <item x="307"/>
        <item x="504"/>
        <item x="258"/>
        <item x="60"/>
        <item x="539"/>
        <item x="280"/>
        <item x="490"/>
        <item x="388"/>
        <item x="360"/>
        <item x="540"/>
        <item m="1" x="584"/>
        <item x="112"/>
        <item x="86"/>
        <item x="411"/>
        <item x="237"/>
        <item x="456"/>
        <item x="231"/>
        <item x="308"/>
        <item x="410"/>
        <item x="409"/>
        <item x="326"/>
        <item x="347"/>
        <item x="105"/>
        <item x="479"/>
        <item x="235"/>
        <item x="79"/>
        <item x="97"/>
        <item x="98"/>
        <item m="1" x="582"/>
        <item x="387"/>
        <item x="408"/>
        <item x="505"/>
        <item x="372"/>
        <item x="519"/>
        <item x="533"/>
        <item x="457"/>
        <item x="335"/>
        <item x="103"/>
        <item x="173"/>
        <item x="311"/>
        <item x="75"/>
        <item x="67"/>
        <item x="221"/>
        <item x="534"/>
        <item x="90"/>
        <item x="106"/>
        <item x="305"/>
        <item x="72"/>
        <item x="285"/>
        <item x="506"/>
        <item x="288"/>
        <item x="492"/>
        <item x="114"/>
        <item x="174"/>
        <item x="364"/>
        <item x="239"/>
        <item x="65"/>
        <item x="70"/>
        <item x="175"/>
        <item x="222"/>
        <item x="458"/>
        <item x="441"/>
        <item x="306"/>
        <item x="471"/>
        <item x="289"/>
        <item x="507"/>
        <item x="16"/>
        <item x="155"/>
        <item x="176"/>
        <item x="153"/>
        <item x="177"/>
        <item x="351"/>
        <item x="233"/>
        <item x="424"/>
        <item x="315"/>
        <item x="324"/>
        <item x="19"/>
        <item x="247"/>
        <item x="248"/>
        <item x="353"/>
        <item x="319"/>
        <item x="386"/>
        <item x="59"/>
        <item x="78"/>
        <item x="340"/>
        <item x="178"/>
        <item x="229"/>
        <item x="508"/>
        <item x="87"/>
        <item x="240"/>
        <item x="382"/>
        <item x="438"/>
        <item x="249"/>
        <item x="509"/>
        <item x="53"/>
        <item x="66"/>
        <item x="241"/>
        <item x="294"/>
        <item x="437"/>
        <item x="11"/>
        <item x="338"/>
        <item x="21"/>
        <item x="436"/>
        <item x="544"/>
        <item x="407"/>
        <item x="131"/>
        <item x="406"/>
        <item x="156"/>
        <item x="525"/>
        <item x="472"/>
        <item x="34"/>
        <item x="329"/>
        <item x="203"/>
        <item x="283"/>
        <item x="42"/>
        <item x="250"/>
        <item x="332"/>
        <item m="1" x="571"/>
        <item x="84"/>
        <item x="548"/>
        <item x="8"/>
        <item x="473"/>
        <item x="405"/>
        <item x="117"/>
        <item x="251"/>
        <item x="459"/>
        <item m="1" x="579"/>
        <item x="358"/>
        <item x="22"/>
        <item x="242"/>
        <item x="144"/>
        <item x="346"/>
        <item x="442"/>
        <item x="484"/>
        <item x="448"/>
        <item x="179"/>
        <item x="217"/>
        <item x="404"/>
        <item x="180"/>
        <item x="95"/>
        <item x="320"/>
        <item x="535"/>
        <item x="317"/>
        <item x="422"/>
        <item x="303"/>
        <item x="365"/>
        <item x="460"/>
        <item x="93"/>
        <item x="536"/>
        <item x="510"/>
        <item x="403"/>
        <item x="374"/>
        <item x="150"/>
        <item x="511"/>
        <item x="215"/>
        <item x="115"/>
        <item x="238"/>
        <item x="354"/>
        <item x="543"/>
        <item x="512"/>
        <item x="252"/>
        <item x="443"/>
        <item x="292"/>
        <item x="299"/>
        <item m="1" x="574"/>
        <item x="402"/>
        <item x="344"/>
        <item x="125"/>
        <item x="318"/>
        <item x="157"/>
        <item x="373"/>
        <item x="474"/>
        <item x="487"/>
        <item x="401"/>
        <item x="526"/>
        <item x="214"/>
        <item x="259"/>
        <item x="527"/>
        <item x="17"/>
        <item x="158"/>
        <item x="182"/>
        <item x="118"/>
        <item x="480"/>
        <item x="284"/>
        <item x="264"/>
        <item x="380"/>
        <item x="491"/>
        <item x="62"/>
        <item x="122"/>
        <item x="183"/>
        <item x="159"/>
        <item x="400"/>
        <item x="399"/>
        <item x="113"/>
        <item x="461"/>
        <item x="184"/>
        <item x="287"/>
        <item x="43"/>
        <item x="444"/>
        <item x="350"/>
        <item x="421"/>
        <item x="475"/>
        <item x="56"/>
        <item x="140"/>
        <item x="485"/>
        <item x="295"/>
        <item x="356"/>
        <item x="126"/>
        <item x="5"/>
        <item x="310"/>
        <item x="260"/>
        <item x="513"/>
        <item x="160"/>
        <item x="100"/>
        <item x="185"/>
        <item x="44"/>
        <item x="132"/>
        <item x="462"/>
        <item x="398"/>
        <item x="370"/>
        <item x="68"/>
        <item x="52"/>
        <item x="266"/>
        <item x="186"/>
        <item x="333"/>
        <item x="420"/>
        <item x="486"/>
        <item x="385"/>
        <item x="384"/>
        <item x="4"/>
        <item x="187"/>
        <item x="481"/>
        <item x="136"/>
        <item x="336"/>
        <item x="195"/>
        <item x="127"/>
        <item x="24"/>
        <item x="355"/>
        <item x="94"/>
        <item x="419"/>
        <item x="383"/>
        <item x="298"/>
        <item x="220"/>
        <item x="188"/>
        <item x="281"/>
        <item x="435"/>
        <item m="1" x="573"/>
        <item x="219"/>
        <item x="493"/>
        <item x="120"/>
        <item x="434"/>
        <item x="494"/>
        <item m="1" x="590"/>
        <item x="268"/>
        <item x="433"/>
        <item x="514"/>
        <item x="445"/>
        <item x="432"/>
        <item x="107"/>
        <item x="119"/>
        <item x="92"/>
        <item x="1"/>
        <item x="189"/>
        <item x="530"/>
        <item x="368"/>
        <item x="397"/>
        <item m="1" x="575"/>
        <item x="81"/>
        <item x="190"/>
        <item x="191"/>
        <item x="537"/>
        <item x="262"/>
        <item x="366"/>
        <item x="482"/>
        <item x="12"/>
        <item x="446"/>
        <item x="349"/>
        <item x="396"/>
        <item x="161"/>
        <item x="495"/>
        <item x="528"/>
        <item x="123"/>
        <item x="297"/>
        <item x="192"/>
        <item m="1" x="581"/>
        <item x="223"/>
        <item x="147"/>
        <item x="343"/>
        <item x="162"/>
        <item x="545"/>
        <item x="243"/>
        <item x="395"/>
        <item x="261"/>
        <item x="296"/>
        <item x="64"/>
        <item x="128"/>
        <item x="193"/>
        <item m="1" x="588"/>
        <item x="263"/>
        <item x="101"/>
        <item x="529"/>
        <item x="76"/>
        <item x="328"/>
        <item x="218"/>
        <item x="463"/>
        <item x="246"/>
        <item x="363"/>
        <item x="35"/>
        <item x="531"/>
        <item x="163"/>
        <item x="418"/>
        <item x="96"/>
        <item x="417"/>
        <item x="3"/>
        <item x="367"/>
        <item m="1" x="580"/>
        <item x="108"/>
        <item x="109"/>
        <item x="47"/>
        <item x="137"/>
        <item x="496"/>
        <item x="476"/>
        <item x="253"/>
        <item x="164"/>
        <item x="515"/>
        <item x="449"/>
        <item x="45"/>
        <item x="51"/>
        <item x="74"/>
        <item x="497"/>
        <item x="194"/>
        <item x="224"/>
        <item x="267"/>
        <item x="431"/>
        <item x="110"/>
        <item x="196"/>
        <item x="312"/>
        <item x="26"/>
        <item x="498"/>
        <item x="371"/>
        <item x="13"/>
        <item m="1" x="577"/>
        <item x="516"/>
        <item x="381"/>
        <item x="14"/>
        <item x="165"/>
        <item x="499"/>
        <item x="63"/>
        <item x="111"/>
        <item x="352"/>
        <item x="464"/>
        <item x="300"/>
        <item x="337"/>
        <item x="375"/>
        <item x="322"/>
        <item x="166"/>
        <item x="428"/>
        <item x="138"/>
        <item x="451"/>
        <item x="348"/>
        <item m="1" x="585"/>
        <item x="20"/>
        <item x="0"/>
        <item x="500"/>
        <item x="465"/>
        <item x="517"/>
        <item x="197"/>
        <item x="236"/>
        <item x="244"/>
        <item x="331"/>
        <item x="15"/>
        <item x="9"/>
        <item x="77"/>
        <item x="309"/>
        <item x="142"/>
        <item x="393"/>
        <item x="55"/>
        <item x="232"/>
        <item x="466"/>
        <item x="225"/>
        <item x="226"/>
        <item x="518"/>
        <item x="392"/>
        <item x="341"/>
        <item x="234"/>
        <item x="198"/>
        <item x="452"/>
        <item x="254"/>
        <item x="416"/>
        <item x="199"/>
        <item x="71"/>
        <item m="1" x="568"/>
        <item x="334"/>
        <item x="520"/>
        <item x="415"/>
        <item x="357"/>
        <item x="532"/>
        <item x="538"/>
        <item x="37"/>
        <item x="129"/>
        <item x="521"/>
        <item x="121"/>
        <item x="501"/>
        <item x="167"/>
        <item x="168"/>
        <item x="82"/>
        <item x="414"/>
        <item x="413"/>
        <item x="124"/>
        <item x="271"/>
        <item x="477"/>
        <item x="200"/>
        <item x="467"/>
        <item x="302"/>
        <item m="1" x="566"/>
        <item x="290"/>
        <item x="301"/>
        <item m="1" x="589"/>
        <item x="468"/>
        <item x="134"/>
        <item x="143"/>
        <item m="1" x="586"/>
        <item x="2"/>
        <item x="265"/>
        <item x="204"/>
        <item x="83"/>
        <item x="205"/>
        <item x="379"/>
        <item x="230"/>
        <item x="378"/>
        <item x="130"/>
        <item x="541"/>
        <item x="206"/>
        <item x="377"/>
        <item x="362"/>
        <item x="46"/>
        <item m="1" x="576"/>
        <item x="32"/>
        <item x="27"/>
        <item x="359"/>
        <item x="342"/>
        <item x="88"/>
        <item x="391"/>
        <item x="453"/>
        <item x="376"/>
        <item x="478"/>
        <item x="369"/>
        <item x="41"/>
        <item x="469"/>
        <item x="430"/>
        <item x="361"/>
        <item x="286"/>
        <item x="207"/>
        <item x="208"/>
        <item x="327"/>
        <item x="483"/>
        <item x="522"/>
        <item x="255"/>
        <item x="85"/>
        <item x="209"/>
        <item x="429"/>
        <item x="502"/>
        <item x="339"/>
        <item x="282"/>
        <item x="227"/>
        <item x="228"/>
        <item x="316"/>
        <item x="390"/>
        <item x="454"/>
        <item x="256"/>
        <item x="455"/>
        <item x="470"/>
        <item x="523"/>
        <item x="210"/>
        <item x="211"/>
        <item x="291"/>
        <item x="69"/>
        <item x="133"/>
        <item x="488"/>
        <item x="503"/>
        <item x="49"/>
        <item x="314"/>
        <item x="323"/>
        <item x="212"/>
        <item x="427"/>
        <item x="216"/>
        <item x="213"/>
        <item x="169"/>
        <item x="542"/>
        <item x="524"/>
        <item x="170"/>
        <item x="28"/>
        <item m="1" x="583"/>
        <item x="139"/>
        <item m="1" x="565"/>
        <item m="1" x="587"/>
        <item x="30"/>
        <item x="6"/>
        <item m="1" x="570"/>
        <item x="57"/>
        <item m="1" x="572"/>
        <item x="275"/>
        <item m="1" x="578"/>
        <item m="1" x="567"/>
        <item x="10"/>
        <item x="18"/>
        <item x="23"/>
        <item x="25"/>
        <item x="29"/>
        <item x="31"/>
        <item x="33"/>
        <item x="36"/>
        <item x="38"/>
        <item x="39"/>
        <item x="40"/>
        <item x="48"/>
        <item x="50"/>
        <item x="54"/>
        <item x="58"/>
        <item x="61"/>
        <item x="73"/>
        <item x="80"/>
        <item x="91"/>
        <item x="99"/>
        <item x="102"/>
        <item x="135"/>
        <item x="141"/>
        <item x="145"/>
        <item x="146"/>
        <item x="148"/>
        <item x="149"/>
        <item x="151"/>
        <item x="152"/>
        <item x="172"/>
        <item x="181"/>
        <item x="201"/>
        <item x="202"/>
        <item x="245"/>
        <item x="269"/>
        <item x="270"/>
        <item x="272"/>
        <item x="273"/>
        <item x="274"/>
        <item x="276"/>
        <item x="277"/>
        <item x="278"/>
        <item x="279"/>
        <item x="293"/>
        <item x="313"/>
        <item x="330"/>
        <item x="345"/>
        <item x="394"/>
        <item x="412"/>
        <item x="423"/>
        <item x="439"/>
        <item x="447"/>
        <item x="450"/>
        <item x="546"/>
        <item x="547"/>
        <item x="549"/>
        <item x="550"/>
        <item x="551"/>
        <item x="552"/>
        <item x="553"/>
        <item x="554"/>
        <item x="555"/>
        <item x="556"/>
        <item x="557"/>
        <item x="558"/>
        <item x="559"/>
        <item x="560"/>
        <item x="561"/>
        <item x="562"/>
        <item x="56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0">
        <item h="1" x="1"/>
        <item h="1" x="2"/>
        <item x="0"/>
        <item h="1" x="3"/>
        <item h="1" x="4"/>
        <item h="1" x="5"/>
        <item h="1" x="6"/>
        <item h="1" m="1" x="9"/>
        <item h="1" x="7"/>
        <item h="1" x="8"/>
      </items>
    </pivotField>
    <pivotField compact="0" outline="0" multipleItemSelectionAllowed="1" showAll="0" defaultSubtotal="0">
      <items count="46">
        <item x="1"/>
        <item m="1" x="45"/>
        <item x="12"/>
        <item x="10"/>
        <item x="8"/>
        <item x="3"/>
        <item x="2"/>
        <item x="5"/>
        <item x="4"/>
        <item m="1" x="43"/>
        <item x="0"/>
        <item x="11"/>
        <item x="6"/>
        <item x="16"/>
        <item m="1" x="44"/>
        <item x="19"/>
        <item x="20"/>
        <item x="21"/>
        <item x="22"/>
        <item x="23"/>
        <item x="24"/>
        <item x="18"/>
        <item x="42"/>
        <item x="13"/>
        <item x="9"/>
        <item x="26"/>
        <item x="27"/>
        <item x="28"/>
        <item x="29"/>
        <item x="7"/>
        <item x="14"/>
        <item x="15"/>
        <item x="17"/>
        <item x="25"/>
        <item x="30"/>
        <item x="31"/>
        <item x="32"/>
        <item x="33"/>
        <item x="34"/>
        <item x="35"/>
        <item x="36"/>
        <item x="37"/>
        <item x="38"/>
        <item x="39"/>
        <item x="40"/>
        <item x="41"/>
      </items>
    </pivotField>
    <pivotField compact="0" outline="0" showAll="0" defaultSubtotal="0"/>
    <pivotField compact="0" outline="0" showAll="0" defaultSubtotal="0"/>
    <pivotField compact="0" outline="0" showAll="0" defaultSubtotal="0"/>
    <pivotField compact="0" numFmtId="167" outline="0" showAll="0" defaultSubtotal="0">
      <items count="342">
        <item x="103"/>
        <item x="101"/>
        <item x="102"/>
        <item x="65"/>
        <item x="49"/>
        <item x="61"/>
        <item x="74"/>
        <item x="92"/>
        <item x="90"/>
        <item x="76"/>
        <item x="94"/>
        <item x="111"/>
        <item x="86"/>
        <item x="87"/>
        <item x="85"/>
        <item x="91"/>
        <item x="89"/>
        <item x="83"/>
        <item x="88"/>
        <item x="93"/>
        <item x="84"/>
        <item x="114"/>
        <item x="115"/>
        <item x="31"/>
        <item x="13"/>
        <item x="18"/>
        <item x="37"/>
        <item x="113"/>
        <item x="19"/>
        <item x="32"/>
        <item x="45"/>
        <item x="112"/>
        <item x="78"/>
        <item x="108"/>
        <item x="106"/>
        <item x="81"/>
        <item x="50"/>
        <item x="3"/>
        <item x="107"/>
        <item x="26"/>
        <item x="95"/>
        <item x="38"/>
        <item x="116"/>
        <item x="62"/>
        <item x="48"/>
        <item x="39"/>
        <item x="58"/>
        <item x="104"/>
        <item x="30"/>
        <item x="100"/>
        <item x="7"/>
        <item x="5"/>
        <item x="75"/>
        <item x="12"/>
        <item x="11"/>
        <item x="52"/>
        <item x="105"/>
        <item x="55"/>
        <item x="10"/>
        <item x="9"/>
        <item x="109"/>
        <item x="82"/>
        <item x="110"/>
        <item x="80"/>
        <item x="121"/>
        <item x="29"/>
        <item x="22"/>
        <item x="15"/>
        <item x="59"/>
        <item x="25"/>
        <item x="33"/>
        <item x="68"/>
        <item x="14"/>
        <item x="42"/>
        <item x="6"/>
        <item x="51"/>
        <item x="8"/>
        <item x="4"/>
        <item x="2"/>
        <item x="72"/>
        <item x="67"/>
        <item x="35"/>
        <item x="36"/>
        <item x="16"/>
        <item x="119"/>
        <item x="47"/>
        <item x="69"/>
        <item x="24"/>
        <item x="56"/>
        <item x="54"/>
        <item x="96"/>
        <item x="20"/>
        <item x="66"/>
        <item x="53"/>
        <item x="41"/>
        <item x="63"/>
        <item x="43"/>
        <item x="40"/>
        <item m="1" x="341"/>
        <item x="60"/>
        <item x="99"/>
        <item x="28"/>
        <item x="64"/>
        <item x="97"/>
        <item x="98"/>
        <item x="21"/>
        <item x="57"/>
        <item x="27"/>
        <item x="44"/>
        <item x="0"/>
        <item x="46"/>
        <item x="1"/>
        <item x="23"/>
        <item x="34"/>
        <item x="120"/>
        <item x="122"/>
        <item x="123"/>
        <item x="124"/>
        <item x="125"/>
        <item x="73"/>
        <item x="126"/>
        <item x="127"/>
        <item x="128"/>
        <item x="129"/>
        <item x="131"/>
        <item x="132"/>
        <item x="134"/>
        <item x="135"/>
        <item x="136"/>
        <item x="137"/>
        <item x="138"/>
        <item x="139"/>
        <item x="140"/>
        <item x="141"/>
        <item x="79"/>
        <item x="117"/>
        <item x="142"/>
        <item x="143"/>
        <item x="144"/>
        <item x="17"/>
        <item x="145"/>
        <item x="146"/>
        <item x="147"/>
        <item x="148"/>
        <item x="149"/>
        <item x="118"/>
        <item x="174"/>
        <item x="156"/>
        <item x="160"/>
        <item x="161"/>
        <item x="162"/>
        <item x="163"/>
        <item x="164"/>
        <item x="165"/>
        <item x="166"/>
        <item x="167"/>
        <item x="169"/>
        <item m="1" x="340"/>
        <item x="150"/>
        <item x="152"/>
        <item x="153"/>
        <item x="154"/>
        <item x="155"/>
        <item x="158"/>
        <item x="157"/>
        <item x="170"/>
        <item x="151"/>
        <item x="172"/>
        <item x="173"/>
        <item x="178"/>
        <item x="179"/>
        <item x="188"/>
        <item x="180"/>
        <item x="187"/>
        <item x="189"/>
        <item x="175"/>
        <item x="176"/>
        <item x="191"/>
        <item x="77"/>
        <item x="192"/>
        <item x="181"/>
        <item x="193"/>
        <item x="194"/>
        <item x="196"/>
        <item x="198"/>
        <item x="199"/>
        <item x="182"/>
        <item x="185"/>
        <item x="183"/>
        <item x="168"/>
        <item x="200"/>
        <item x="201"/>
        <item x="159"/>
        <item x="204"/>
        <item x="177"/>
        <item x="184"/>
        <item x="186"/>
        <item x="202"/>
        <item x="203"/>
        <item x="190"/>
        <item x="217"/>
        <item x="210"/>
        <item x="209"/>
        <item x="221"/>
        <item x="222"/>
        <item x="223"/>
        <item x="214"/>
        <item x="224"/>
        <item x="216"/>
        <item x="218"/>
        <item x="219"/>
        <item x="206"/>
        <item x="213"/>
        <item x="220"/>
        <item x="205"/>
        <item x="207"/>
        <item x="208"/>
        <item x="211"/>
        <item x="212"/>
        <item x="215"/>
        <item x="225"/>
        <item x="195"/>
        <item x="226"/>
        <item x="227"/>
        <item m="1" x="339"/>
        <item x="229"/>
        <item x="230"/>
        <item x="231"/>
        <item x="133"/>
        <item x="130"/>
        <item x="232"/>
        <item x="233"/>
        <item x="234"/>
        <item x="228"/>
        <item x="237"/>
        <item x="197"/>
        <item x="238"/>
        <item x="235"/>
        <item x="236"/>
        <item x="239"/>
        <item x="240"/>
        <item x="241"/>
        <item x="242"/>
        <item x="268"/>
        <item x="243"/>
        <item x="244"/>
        <item x="245"/>
        <item x="246"/>
        <item x="247"/>
        <item x="248"/>
        <item x="249"/>
        <item x="250"/>
        <item x="251"/>
        <item x="252"/>
        <item x="253"/>
        <item x="254"/>
        <item x="255"/>
        <item x="256"/>
        <item x="257"/>
        <item x="258"/>
        <item x="259"/>
        <item x="260"/>
        <item x="261"/>
        <item x="262"/>
        <item x="263"/>
        <item x="70"/>
        <item x="264"/>
        <item x="265"/>
        <item x="266"/>
        <item x="267"/>
        <item x="71"/>
        <item x="171"/>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s>
    </pivotField>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compact="0" numFmtId="167" outline="0" showAll="0" defaultSubtotal="0"/>
    <pivotField axis="axisPage" compact="0" outline="0" multipleItemSelectionAllowed="1" showAll="0" defaultSubtotal="0">
      <items count="15">
        <item h="1" x="12"/>
        <item h="1" x="8"/>
        <item h="1" x="1"/>
        <item h="1" x="3"/>
        <item h="1" x="6"/>
        <item h="1" x="13"/>
        <item h="1" x="14"/>
        <item h="1" x="10"/>
        <item h="1" x="11"/>
        <item x="4"/>
        <item x="0"/>
        <item h="1" x="7"/>
        <item h="1" x="2"/>
        <item h="1" x="9"/>
        <item h="1" x="5"/>
      </items>
    </pivotField>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6">
        <item h="1" x="3"/>
        <item h="1" x="8"/>
        <item h="1" x="6"/>
        <item h="1" x="7"/>
        <item h="1" x="2"/>
        <item h="1" x="0"/>
        <item h="1" x="9"/>
        <item h="1" x="10"/>
        <item h="1" x="11"/>
        <item h="1" x="12"/>
        <item h="1" x="13"/>
        <item h="1" x="14"/>
        <item x="1"/>
        <item h="1" x="15"/>
        <item h="1" x="4"/>
        <item h="1" x="5"/>
      </items>
    </pivotField>
    <pivotField compact="0" outline="0" showAll="0" defaultSubtotal="0"/>
    <pivotField name="REALIZADOR | DIRECTOR" axis="axisRow" compact="0" outline="0" showAll="0" defaultSubtotal="0">
      <items count="422">
        <item x="104"/>
        <item x="55"/>
        <item x="48"/>
        <item x="34"/>
        <item x="21"/>
        <item x="9"/>
        <item x="103"/>
        <item x="56"/>
        <item x="107"/>
        <item x="0"/>
        <item x="82"/>
        <item x="92"/>
        <item x="90"/>
        <item x="27"/>
        <item x="85"/>
        <item x="80"/>
        <item x="100"/>
        <item x="72"/>
        <item x="31"/>
        <item x="6"/>
        <item x="2"/>
        <item x="89"/>
        <item x="96"/>
        <item x="26"/>
        <item x="54"/>
        <item x="57"/>
        <item x="8"/>
        <item x="74"/>
        <item x="35"/>
        <item x="39"/>
        <item x="12"/>
        <item x="109"/>
        <item x="22"/>
        <item x="50"/>
        <item x="13"/>
        <item x="77"/>
        <item x="49"/>
        <item x="33"/>
        <item x="95"/>
        <item x="67"/>
        <item x="42"/>
        <item x="18"/>
        <item x="97"/>
        <item x="64"/>
        <item x="29"/>
        <item x="88"/>
        <item x="66"/>
        <item x="16"/>
        <item x="28"/>
        <item x="98"/>
        <item x="10"/>
        <item x="69"/>
        <item x="87"/>
        <item x="52"/>
        <item x="63"/>
        <item x="32"/>
        <item x="94"/>
        <item x="59"/>
        <item x="99"/>
        <item x="93"/>
        <item x="47"/>
        <item x="81"/>
        <item x="75"/>
        <item x="23"/>
        <item x="3"/>
        <item x="36"/>
        <item x="20"/>
        <item x="37"/>
        <item x="76"/>
        <item x="86"/>
        <item x="91"/>
        <item x="78"/>
        <item x="46"/>
        <item x="58"/>
        <item x="101"/>
        <item x="79"/>
        <item x="14"/>
        <item x="7"/>
        <item x="19"/>
        <item x="45"/>
        <item x="11"/>
        <item x="73"/>
        <item x="61"/>
        <item x="25"/>
        <item x="40"/>
        <item x="53"/>
        <item x="105"/>
        <item x="30"/>
        <item x="62"/>
        <item x="17"/>
        <item x="24"/>
        <item x="84"/>
        <item x="68"/>
        <item x="106"/>
        <item x="65"/>
        <item x="41"/>
        <item x="83"/>
        <item x="117"/>
        <item x="118"/>
        <item x="119"/>
        <item x="120"/>
        <item x="122"/>
        <item x="123"/>
        <item x="124"/>
        <item x="60"/>
        <item x="15"/>
        <item x="125"/>
        <item x="126"/>
        <item x="127"/>
        <item x="128"/>
        <item x="129"/>
        <item x="130"/>
        <item x="131"/>
        <item x="132"/>
        <item x="133"/>
        <item x="134"/>
        <item x="135"/>
        <item x="136"/>
        <item x="137"/>
        <item x="138"/>
        <item x="139"/>
        <item x="140"/>
        <item x="141"/>
        <item x="142"/>
        <item x="143"/>
        <item x="145"/>
        <item x="146"/>
        <item x="147"/>
        <item x="167"/>
        <item x="169"/>
        <item m="1" x="419"/>
        <item x="156"/>
        <item x="157"/>
        <item x="158"/>
        <item x="159"/>
        <item x="160"/>
        <item x="161"/>
        <item m="1" x="420"/>
        <item x="163"/>
        <item x="164"/>
        <item x="165"/>
        <item x="168"/>
        <item x="148"/>
        <item x="149"/>
        <item x="150"/>
        <item x="151"/>
        <item x="152"/>
        <item x="153"/>
        <item x="154"/>
        <item x="170"/>
        <item x="171"/>
        <item x="172"/>
        <item x="173"/>
        <item x="174"/>
        <item x="175"/>
        <item x="176"/>
        <item x="177"/>
        <item x="178"/>
        <item x="179"/>
        <item x="144"/>
        <item x="180"/>
        <item x="181"/>
        <item x="111"/>
        <item x="116"/>
        <item x="182"/>
        <item x="112"/>
        <item x="183"/>
        <item x="190"/>
        <item x="213"/>
        <item x="212"/>
        <item x="214"/>
        <item x="187"/>
        <item x="185"/>
        <item x="186"/>
        <item x="205"/>
        <item x="206"/>
        <item x="215"/>
        <item x="229"/>
        <item x="232"/>
        <item x="226"/>
        <item x="201"/>
        <item x="220"/>
        <item x="236"/>
        <item x="191"/>
        <item x="211"/>
        <item x="184"/>
        <item x="200"/>
        <item x="208"/>
        <item x="210"/>
        <item x="44"/>
        <item x="209"/>
        <item x="110"/>
        <item x="70"/>
        <item x="166"/>
        <item x="115"/>
        <item x="4"/>
        <item x="5"/>
        <item x="71"/>
        <item x="233"/>
        <item x="234"/>
        <item x="235"/>
        <item x="102"/>
        <item x="108"/>
        <item x="38"/>
        <item x="51"/>
        <item x="188"/>
        <item x="189"/>
        <item x="192"/>
        <item x="198"/>
        <item x="204"/>
        <item x="43"/>
        <item x="195"/>
        <item x="207"/>
        <item x="196"/>
        <item x="197"/>
        <item x="193"/>
        <item x="203"/>
        <item x="223"/>
        <item x="237"/>
        <item x="238"/>
        <item x="239"/>
        <item x="227"/>
        <item x="240"/>
        <item x="241"/>
        <item x="242"/>
        <item x="243"/>
        <item x="199"/>
        <item x="245"/>
        <item x="246"/>
        <item x="247"/>
        <item x="248"/>
        <item x="249"/>
        <item x="250"/>
        <item x="251"/>
        <item x="230"/>
        <item x="252"/>
        <item x="231"/>
        <item x="225"/>
        <item x="221"/>
        <item x="224"/>
        <item x="1"/>
        <item x="202"/>
        <item x="194"/>
        <item x="253"/>
        <item x="219"/>
        <item x="228"/>
        <item x="216"/>
        <item x="217"/>
        <item x="218"/>
        <item x="254"/>
        <item x="255"/>
        <item x="270"/>
        <item x="262"/>
        <item x="264"/>
        <item x="263"/>
        <item x="268"/>
        <item x="286"/>
        <item x="287"/>
        <item x="121"/>
        <item x="288"/>
        <item x="289"/>
        <item x="274"/>
        <item x="308"/>
        <item x="271"/>
        <item x="360"/>
        <item x="285"/>
        <item x="304"/>
        <item x="305"/>
        <item x="312"/>
        <item x="361"/>
        <item x="362"/>
        <item x="296"/>
        <item x="297"/>
        <item x="301"/>
        <item x="256"/>
        <item x="363"/>
        <item x="359"/>
        <item x="314"/>
        <item x="244"/>
        <item x="366"/>
        <item x="364"/>
        <item x="365"/>
        <item x="367"/>
        <item x="323"/>
        <item x="368"/>
        <item x="369"/>
        <item x="370"/>
        <item x="371"/>
        <item x="372"/>
        <item x="373"/>
        <item m="1" x="421"/>
        <item x="375"/>
        <item x="376"/>
        <item x="377"/>
        <item x="380"/>
        <item x="381"/>
        <item x="382"/>
        <item x="386"/>
        <item x="384"/>
        <item x="379"/>
        <item x="385"/>
        <item x="319"/>
        <item x="383"/>
        <item x="378"/>
        <item x="344"/>
        <item x="113"/>
        <item x="114"/>
        <item x="155"/>
        <item x="162"/>
        <item x="222"/>
        <item x="257"/>
        <item x="258"/>
        <item x="259"/>
        <item x="260"/>
        <item x="261"/>
        <item x="265"/>
        <item x="266"/>
        <item x="267"/>
        <item x="269"/>
        <item x="272"/>
        <item x="273"/>
        <item x="275"/>
        <item x="276"/>
        <item x="277"/>
        <item x="278"/>
        <item x="279"/>
        <item x="280"/>
        <item x="281"/>
        <item x="282"/>
        <item x="283"/>
        <item x="284"/>
        <item x="290"/>
        <item x="291"/>
        <item x="292"/>
        <item x="293"/>
        <item x="294"/>
        <item x="295"/>
        <item x="298"/>
        <item x="299"/>
        <item x="300"/>
        <item x="302"/>
        <item x="303"/>
        <item x="306"/>
        <item x="307"/>
        <item x="309"/>
        <item x="310"/>
        <item x="311"/>
        <item x="313"/>
        <item x="315"/>
        <item x="316"/>
        <item x="317"/>
        <item x="318"/>
        <item x="320"/>
        <item x="321"/>
        <item x="322"/>
        <item x="324"/>
        <item x="325"/>
        <item x="326"/>
        <item x="327"/>
        <item x="328"/>
        <item x="329"/>
        <item x="330"/>
        <item x="331"/>
        <item x="332"/>
        <item x="333"/>
        <item x="334"/>
        <item x="335"/>
        <item x="336"/>
        <item x="337"/>
        <item x="338"/>
        <item x="339"/>
        <item x="340"/>
        <item x="341"/>
        <item x="342"/>
        <item x="343"/>
        <item x="345"/>
        <item x="346"/>
        <item x="347"/>
        <item x="348"/>
        <item x="349"/>
        <item x="350"/>
        <item x="351"/>
        <item x="352"/>
        <item x="353"/>
        <item x="354"/>
        <item x="355"/>
        <item x="356"/>
        <item x="357"/>
        <item x="358"/>
        <item x="374"/>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pivotField>
    <pivotField compact="0" outline="0" showAll="0" defaultSubtotal="0"/>
    <pivotField compact="0" outline="0" showAll="0" defaultSubtotal="0">
      <items count="248">
        <item m="1" x="2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s>
    </pivotField>
    <pivotField compact="0" outline="0" showAll="0" defaultSubtotal="0"/>
    <pivotField name="TIPO | TYPE" axis="axisRow" compact="0" outline="0" multipleItemSelectionAllowed="1" showAll="0" sortType="ascending" defaultSubtotal="0">
      <items count="5">
        <item n="ANIM" x="1"/>
        <item x="3"/>
        <item n="DOC" x="2"/>
        <item n="FIC" x="0"/>
        <item x="4"/>
      </items>
    </pivotField>
    <pivotField axis="axisRow" compact="0" outline="0" multipleItemSelectionAllowed="1" showAll="0" defaultSubtotal="0">
      <items count="4">
        <item n="LONGA METRAGEM_x000a_FEATURE FILM" x="0"/>
        <item x="2"/>
        <item x="3"/>
        <item n="CURTA METRAGEM_x000a_SHORT FILM" x="1"/>
      </items>
    </pivotField>
    <pivotField compact="0" outline="0" showAll="0" defaultSubtotal="0"/>
    <pivotField compact="0" numFmtId="14" outline="0" showAll="0" defaultSubtotal="0"/>
    <pivotField compact="0" numFmtId="14" outline="0" showAll="0" defaultSubtotal="0"/>
    <pivotField compact="0" outline="0" showAll="0" defaultSubtotal="0">
      <items count="14">
        <item h="1" x="6"/>
        <item h="1" x="5"/>
        <item h="1" x="4"/>
        <item h="1" x="3"/>
        <item h="1" x="2"/>
        <item h="1" x="7"/>
        <item h="1" x="9"/>
        <item h="1" x="10"/>
        <item h="1" x="1"/>
        <item x="11"/>
        <item x="0"/>
        <item h="1" x="8"/>
        <item h="1" x="12"/>
        <item h="1" x="13"/>
      </items>
    </pivotField>
  </pivotFields>
  <rowFields count="5">
    <field x="47"/>
    <field x="5"/>
    <field x="46"/>
    <field x="42"/>
    <field x="2"/>
  </rowFields>
  <rowItems count="25">
    <i>
      <x/>
      <x v="118"/>
      <x v="3"/>
      <x v="23"/>
      <x v="39"/>
    </i>
    <i r="1">
      <x v="131"/>
      <x v="2"/>
      <x v="2"/>
      <x v="69"/>
    </i>
    <i r="1">
      <x v="136"/>
      <x v="2"/>
      <x v="144"/>
      <x v="89"/>
    </i>
    <i r="1">
      <x v="169"/>
      <x v="2"/>
      <x v="135"/>
      <x v="78"/>
    </i>
    <i r="1">
      <x v="195"/>
      <x v="2"/>
      <x v="41"/>
      <x v="17"/>
    </i>
    <i r="1">
      <x v="219"/>
      <x v="3"/>
      <x v="94"/>
      <x v="82"/>
    </i>
    <i r="1">
      <x v="303"/>
      <x v="3"/>
      <x v="131"/>
      <x v="45"/>
    </i>
    <i r="1">
      <x v="316"/>
      <x v="3"/>
      <x v="8"/>
      <x v="35"/>
    </i>
    <i r="1">
      <x v="513"/>
      <x v="3"/>
      <x v="3"/>
      <x v="50"/>
    </i>
    <i r="1">
      <x v="518"/>
      <x v="3"/>
      <x v="222"/>
      <x v="84"/>
    </i>
    <i r="1">
      <x v="531"/>
      <x v="2"/>
      <x v="72"/>
      <x v="195"/>
    </i>
    <i r="1">
      <x v="574"/>
      <x v="3"/>
      <x v="28"/>
      <x v="8"/>
    </i>
    <i r="1">
      <x v="575"/>
      <x v="2"/>
      <x v="281"/>
      <x v="89"/>
    </i>
    <i r="1">
      <x v="579"/>
      <x v="3"/>
      <x v="291"/>
      <x v="1"/>
    </i>
    <i>
      <x v="3"/>
      <x v="86"/>
      <x/>
      <x v="121"/>
      <x v="81"/>
    </i>
    <i r="1">
      <x v="93"/>
      <x v="2"/>
      <x v="4"/>
      <x v="35"/>
    </i>
    <i r="1">
      <x v="232"/>
      <x v="3"/>
      <x v="33"/>
      <x v="69"/>
    </i>
    <i r="1">
      <x v="324"/>
      <x v="3"/>
      <x v="95"/>
      <x v="61"/>
    </i>
    <i r="1">
      <x v="330"/>
      <x/>
      <x v="64"/>
      <x v="2"/>
    </i>
    <i r="1">
      <x v="378"/>
      <x v="3"/>
      <x v="63"/>
      <x v="35"/>
    </i>
    <i r="1">
      <x v="426"/>
      <x v="3"/>
      <x v="219"/>
      <x v="69"/>
    </i>
    <i r="1">
      <x v="514"/>
      <x/>
      <x v="77"/>
      <x v="4"/>
    </i>
    <i r="1">
      <x v="521"/>
      <x v="3"/>
      <x v="80"/>
      <x v="12"/>
    </i>
    <i r="1">
      <x v="558"/>
      <x v="3"/>
      <x v="221"/>
      <x v="12"/>
    </i>
    <i r="1">
      <x v="561"/>
      <x v="3"/>
      <x v="224"/>
      <x v="50"/>
    </i>
  </rowItems>
  <colItems count="1">
    <i/>
  </colItems>
  <pageFields count="3">
    <pageField fld="15" hier="-1"/>
    <pageField fld="29" hier="-1"/>
    <pageField fld="40" hier="-1"/>
  </pageFields>
  <formats count="80">
    <format dxfId="187">
      <pivotArea type="all" dataOnly="0" outline="0" fieldPosition="0"/>
    </format>
    <format dxfId="186">
      <pivotArea type="all" dataOnly="0" outline="0" fieldPosition="0"/>
    </format>
    <format dxfId="185">
      <pivotArea dataOnly="0" labelOnly="1" outline="0" axis="axisValues" fieldPosition="0"/>
    </format>
    <format dxfId="184">
      <pivotArea field="46" type="button" dataOnly="0" labelOnly="1" outline="0" axis="axisRow" fieldPosition="2"/>
    </format>
    <format dxfId="183">
      <pivotArea dataOnly="0" labelOnly="1" outline="0" fieldPosition="0">
        <references count="1">
          <reference field="2" count="0"/>
        </references>
      </pivotArea>
    </format>
    <format dxfId="182">
      <pivotArea field="2" type="button" dataOnly="0" labelOnly="1" outline="0" axis="axisRow" fieldPosition="4"/>
    </format>
    <format dxfId="181">
      <pivotArea field="42" type="button" dataOnly="0" labelOnly="1" outline="0" axis="axisRow" fieldPosition="3"/>
    </format>
    <format dxfId="180">
      <pivotArea field="46" type="button" dataOnly="0" labelOnly="1" outline="0" axis="axisRow" fieldPosition="2"/>
    </format>
    <format dxfId="179">
      <pivotArea field="20" type="button" dataOnly="0" labelOnly="1" outline="0"/>
    </format>
    <format dxfId="178">
      <pivotArea field="29" type="button" dataOnly="0" labelOnly="1" outline="0" axis="axisPage" fieldPosition="1"/>
    </format>
    <format dxfId="177">
      <pivotArea field="2" type="button" dataOnly="0" labelOnly="1" outline="0" axis="axisRow" fieldPosition="4"/>
    </format>
    <format dxfId="176">
      <pivotArea field="42" type="button" dataOnly="0" labelOnly="1" outline="0" axis="axisRow" fieldPosition="3"/>
    </format>
    <format dxfId="175">
      <pivotArea field="46" type="button" dataOnly="0" labelOnly="1" outline="0" axis="axisRow" fieldPosition="2"/>
    </format>
    <format dxfId="174">
      <pivotArea field="20" type="button" dataOnly="0" labelOnly="1" outline="0"/>
    </format>
    <format dxfId="173">
      <pivotArea field="29" type="button" dataOnly="0" labelOnly="1" outline="0" axis="axisPage" fieldPosition="1"/>
    </format>
    <format dxfId="172">
      <pivotArea field="2" type="button" dataOnly="0" labelOnly="1" outline="0" axis="axisRow" fieldPosition="4"/>
    </format>
    <format dxfId="171">
      <pivotArea field="42" type="button" dataOnly="0" labelOnly="1" outline="0" axis="axisRow" fieldPosition="3"/>
    </format>
    <format dxfId="170">
      <pivotArea field="46" type="button" dataOnly="0" labelOnly="1" outline="0" axis="axisRow" fieldPosition="2"/>
    </format>
    <format dxfId="169">
      <pivotArea field="20" type="button" dataOnly="0" labelOnly="1" outline="0"/>
    </format>
    <format dxfId="168">
      <pivotArea field="29" type="button" dataOnly="0" labelOnly="1" outline="0" axis="axisPage" fieldPosition="1"/>
    </format>
    <format dxfId="167">
      <pivotArea field="20" type="button" dataOnly="0" labelOnly="1" outline="0"/>
    </format>
    <format dxfId="166">
      <pivotArea field="29" type="button" dataOnly="0" labelOnly="1" outline="0" axis="axisPage" fieldPosition="1"/>
    </format>
    <format dxfId="165">
      <pivotArea field="16" type="button" dataOnly="0" labelOnly="1" outline="0"/>
    </format>
    <format dxfId="164">
      <pivotArea field="15" type="button" dataOnly="0" labelOnly="1" outline="0" axis="axisPage" fieldPosition="0"/>
    </format>
    <format dxfId="163">
      <pivotArea dataOnly="0" labelOnly="1" outline="0" fieldPosition="0">
        <references count="1">
          <reference field="15" count="0"/>
        </references>
      </pivotArea>
    </format>
    <format dxfId="162">
      <pivotArea field="15" type="button" dataOnly="0" labelOnly="1" outline="0" axis="axisPage" fieldPosition="0"/>
    </format>
    <format dxfId="161">
      <pivotArea dataOnly="0" labelOnly="1" outline="0" fieldPosition="0">
        <references count="1">
          <reference field="15" count="0"/>
        </references>
      </pivotArea>
    </format>
    <format dxfId="160">
      <pivotArea field="2" type="button" dataOnly="0" labelOnly="1" outline="0" axis="axisRow" fieldPosition="4"/>
    </format>
    <format dxfId="159">
      <pivotArea field="42" type="button" dataOnly="0" labelOnly="1" outline="0" axis="axisRow" fieldPosition="3"/>
    </format>
    <format dxfId="158">
      <pivotArea field="46" type="button" dataOnly="0" labelOnly="1" outline="0" axis="axisRow" fieldPosition="2"/>
    </format>
    <format dxfId="157">
      <pivotArea field="20" type="button" dataOnly="0" labelOnly="1" outline="0"/>
    </format>
    <format dxfId="156">
      <pivotArea field="29" type="button" dataOnly="0" labelOnly="1" outline="0" axis="axisPage" fieldPosition="1"/>
    </format>
    <format dxfId="155">
      <pivotArea field="2" type="button" dataOnly="0" labelOnly="1" outline="0" axis="axisRow" fieldPosition="4"/>
    </format>
    <format dxfId="154">
      <pivotArea field="42" type="button" dataOnly="0" labelOnly="1" outline="0" axis="axisRow" fieldPosition="3"/>
    </format>
    <format dxfId="153">
      <pivotArea field="46" type="button" dataOnly="0" labelOnly="1" outline="0" axis="axisRow" fieldPosition="2"/>
    </format>
    <format dxfId="152">
      <pivotArea field="20" type="button" dataOnly="0" labelOnly="1" outline="0"/>
    </format>
    <format dxfId="151">
      <pivotArea field="29" type="button" dataOnly="0" labelOnly="1" outline="0" axis="axisPage" fieldPosition="1"/>
    </format>
    <format dxfId="150">
      <pivotArea field="46" type="button" dataOnly="0" labelOnly="1" outline="0" axis="axisRow" fieldPosition="2"/>
    </format>
    <format dxfId="149">
      <pivotArea field="46" type="button" dataOnly="0" labelOnly="1" outline="0" axis="axisRow" fieldPosition="2"/>
    </format>
    <format dxfId="148">
      <pivotArea field="46" type="button" dataOnly="0" labelOnly="1" outline="0" axis="axisRow" fieldPosition="2"/>
    </format>
    <format dxfId="147">
      <pivotArea field="46" type="button" dataOnly="0" labelOnly="1" outline="0" axis="axisRow" fieldPosition="2"/>
    </format>
    <format dxfId="146">
      <pivotArea field="15" type="button" dataOnly="0" labelOnly="1" outline="0" axis="axisPage" fieldPosition="0"/>
    </format>
    <format dxfId="145">
      <pivotArea dataOnly="0" labelOnly="1" outline="0" fieldPosition="0">
        <references count="1">
          <reference field="15" count="0"/>
        </references>
      </pivotArea>
    </format>
    <format dxfId="144">
      <pivotArea field="47" type="button" dataOnly="0" labelOnly="1" outline="0" axis="axisRow" fieldPosition="0"/>
    </format>
    <format dxfId="143">
      <pivotArea field="15" type="button" dataOnly="0" labelOnly="1" outline="0" axis="axisPage" fieldPosition="0"/>
    </format>
    <format dxfId="142">
      <pivotArea dataOnly="0" labelOnly="1" outline="0" fieldPosition="0">
        <references count="1">
          <reference field="15" count="0"/>
        </references>
      </pivotArea>
    </format>
    <format dxfId="141">
      <pivotArea field="47" type="button" dataOnly="0" labelOnly="1" outline="0" axis="axisRow" fieldPosition="0"/>
    </format>
    <format dxfId="140">
      <pivotArea field="2" type="button" dataOnly="0" labelOnly="1" outline="0" axis="axisRow" fieldPosition="4"/>
    </format>
    <format dxfId="139">
      <pivotArea field="3" type="button" dataOnly="0" labelOnly="1" outline="0"/>
    </format>
    <format dxfId="138">
      <pivotArea field="46" type="button" dataOnly="0" labelOnly="1" outline="0" axis="axisRow" fieldPosition="2"/>
    </format>
    <format dxfId="137">
      <pivotArea field="20" type="button" dataOnly="0" labelOnly="1" outline="0"/>
    </format>
    <format dxfId="136">
      <pivotArea field="29" type="button" dataOnly="0" labelOnly="1" outline="0" axis="axisPage" fieldPosition="1"/>
    </format>
    <format dxfId="135">
      <pivotArea dataOnly="0" labelOnly="1" outline="0" fieldPosition="0">
        <references count="1">
          <reference field="2" count="8">
            <x v="39"/>
            <x v="55"/>
            <x v="58"/>
            <x v="65"/>
            <x v="69"/>
            <x v="77"/>
            <x v="78"/>
            <x v="85"/>
          </reference>
        </references>
      </pivotArea>
    </format>
    <format dxfId="134">
      <pivotArea field="2" type="button" dataOnly="0" labelOnly="1" outline="0" axis="axisRow" fieldPosition="4"/>
    </format>
    <format dxfId="133">
      <pivotArea field="3" type="button" dataOnly="0" labelOnly="1" outline="0"/>
    </format>
    <format dxfId="132">
      <pivotArea field="46" type="button" dataOnly="0" labelOnly="1" outline="0" axis="axisRow" fieldPosition="2"/>
    </format>
    <format dxfId="131">
      <pivotArea field="20" type="button" dataOnly="0" labelOnly="1" outline="0"/>
    </format>
    <format dxfId="130">
      <pivotArea field="29" type="button" dataOnly="0" labelOnly="1" outline="0" axis="axisPage" fieldPosition="1"/>
    </format>
    <format dxfId="129">
      <pivotArea type="all" dataOnly="0" outline="0" fieldPosition="0"/>
    </format>
    <format dxfId="128">
      <pivotArea field="15" type="button" dataOnly="0" labelOnly="1" outline="0" axis="axisPage" fieldPosition="0"/>
    </format>
    <format dxfId="127">
      <pivotArea dataOnly="0" labelOnly="1" outline="0" fieldPosition="0">
        <references count="1">
          <reference field="15" count="0"/>
        </references>
      </pivotArea>
    </format>
    <format dxfId="126">
      <pivotArea field="47" type="button" dataOnly="0" labelOnly="1" outline="0" axis="axisRow" fieldPosition="0"/>
    </format>
    <format dxfId="125">
      <pivotArea field="16" type="button" dataOnly="0" labelOnly="1" outline="0"/>
    </format>
    <format dxfId="124">
      <pivotArea field="20" type="button" dataOnly="0" labelOnly="1" outline="0"/>
    </format>
    <format dxfId="123">
      <pivotArea type="all" dataOnly="0" outline="0" fieldPosition="0"/>
    </format>
    <format dxfId="122">
      <pivotArea type="all" dataOnly="0" outline="0" fieldPosition="0"/>
    </format>
    <format dxfId="121">
      <pivotArea type="all" dataOnly="0" outline="0" fieldPosition="0"/>
    </format>
    <format dxfId="120">
      <pivotArea type="all" dataOnly="0" outline="0" fieldPosition="0"/>
    </format>
    <format dxfId="119">
      <pivotArea field="44" type="button" dataOnly="0" labelOnly="1" outline="0"/>
    </format>
    <format dxfId="118">
      <pivotArea type="all" dataOnly="0" outline="0" fieldPosition="0"/>
    </format>
    <format dxfId="117">
      <pivotArea type="all" dataOnly="0" outline="0" fieldPosition="0"/>
    </format>
    <format dxfId="116">
      <pivotArea type="all" dataOnly="0" outline="0" fieldPosition="0"/>
    </format>
    <format dxfId="115">
      <pivotArea type="all" dataOnly="0" outline="0" fieldPosition="0"/>
    </format>
    <format dxfId="114">
      <pivotArea type="all" dataOnly="0" outline="0" fieldPosition="0"/>
    </format>
    <format dxfId="113">
      <pivotArea type="all" dataOnly="0" outline="0" fieldPosition="0"/>
    </format>
    <format dxfId="112">
      <pivotArea type="all" dataOnly="0" outline="0" fieldPosition="0"/>
    </format>
    <format dxfId="111">
      <pivotArea dataOnly="0" labelOnly="1" outline="0" fieldPosition="0">
        <references count="1">
          <reference field="46" count="0"/>
        </references>
      </pivotArea>
    </format>
    <format dxfId="110">
      <pivotArea field="46" type="button" dataOnly="0" labelOnly="1" outline="0" axis="axisRow" fieldPosition="2"/>
    </format>
    <format dxfId="109">
      <pivotArea type="all" dataOnly="0" outline="0" fieldPosition="0"/>
    </format>
    <format dxfId="108">
      <pivotArea type="all" dataOnly="0" outline="0" fieldPosition="0"/>
    </format>
  </formats>
  <pivotTableStyleInfo name="NEWSLETTER"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05000000}" name="Tabela dinâmica8" cacheId="1" applyNumberFormats="0" applyBorderFormats="0" applyFontFormats="0" applyPatternFormats="0" applyAlignmentFormats="0" applyWidthHeightFormats="1" dataCaption="Valores" updatedVersion="4" minRefreshableVersion="3" showCalcMbrs="0" itemPrintTitles="1" createdVersion="3" indent="0" outline="1" outlineData="1" multipleFieldFilters="0" chartFormat="16">
  <location ref="W24:AC34" firstHeaderRow="1" firstDataRow="3" firstDataCol="1" rowPageCount="2" colPageCount="1"/>
  <pivotFields count="52">
    <pivotField showAll="0"/>
    <pivotField dataField="1"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axis="axisPage" multipleItemSelectionAllowed="1" showAll="0">
      <items count="11">
        <item h="1" sd="0" x="1"/>
        <item h="1" x="2"/>
        <item h="1" x="3"/>
        <item h="1" x="5"/>
        <item h="1" x="6"/>
        <item x="0"/>
        <item h="1" x="4"/>
        <item h="1" m="1" x="9"/>
        <item h="1" x="7"/>
        <item h="1" x="8"/>
        <item t="default"/>
      </items>
    </pivotField>
    <pivotField multipleItemSelectionAllowed="1" showAll="0"/>
    <pivotField showAll="0" defaultSubtotal="0"/>
    <pivotField showAll="0" defaultSubtotal="0"/>
    <pivotField showAll="0"/>
    <pivotField numFmtId="167" showAll="0"/>
    <pivotField showAll="0" defaultSubtotal="0"/>
    <pivotField showAll="0"/>
    <pivotField showAll="0" defaultSubtotal="0"/>
    <pivotField showAll="0" defaultSubtotal="0"/>
    <pivotField numFmtId="167" showAll="0"/>
    <pivotField showAll="0"/>
    <pivotField showAll="0"/>
    <pivotField dataField="1" numFmtId="167" showAll="0"/>
    <pivotField axis="axisPage" multipleItemSelectionAllowed="1" showAll="0">
      <items count="16">
        <item x="12"/>
        <item h="1" x="0"/>
        <item x="4"/>
        <item x="14"/>
        <item h="1" x="10"/>
        <item x="8"/>
        <item x="11"/>
        <item x="1"/>
        <item x="3"/>
        <item x="6"/>
        <item x="13"/>
        <item h="1" x="7"/>
        <item x="2"/>
        <item h="1" x="9"/>
        <item h="1" x="5"/>
        <item t="default"/>
      </items>
    </pivotField>
    <pivotField showAll="0" defaultSubtotal="0"/>
    <pivotField showAll="0"/>
    <pivotField showAll="0"/>
    <pivotField showAll="0" defaultSubtotal="0"/>
    <pivotField showAll="0"/>
    <pivotField multipleItemSelectionAllowed="1" showAll="0"/>
    <pivotField showAll="0"/>
    <pivotField showAll="0" defaultSubtotal="0"/>
    <pivotField showAll="0" defaultSubtotal="0"/>
    <pivotField showAll="0" defaultSubtotal="0"/>
    <pivotField showAll="0" defaultSubtotal="0"/>
    <pivotField axis="axisCol" showAll="0" defaultSubtotal="0">
      <items count="3">
        <item n="N.º DE PROJETOS_x000a_Nº OF PROJECTS" x="0"/>
        <item n="N.º DE PROJECTOS PREVISIONAIS_x000a_Nº OF PROJECTS (PREVISIONAL)" x="2"/>
        <item h="1" x="1"/>
      </items>
    </pivotField>
    <pivotField showAll="0"/>
    <pivotField showAll="0" defaultSubtotal="0"/>
    <pivotField showAll="0"/>
    <pivotField showAll="0" defaultSubtotal="0"/>
    <pivotField axis="axisRow" showAll="0">
      <items count="6">
        <item x="0"/>
        <item n="DOC" sd="0" x="2"/>
        <item n="ANIM" sd="0" x="1"/>
        <item x="4"/>
        <item x="3"/>
        <item t="default"/>
      </items>
    </pivotField>
    <pivotField axis="axisRow" showAll="0">
      <items count="5">
        <item n="LONGAS | FEATURE FILMS" x="0"/>
        <item n="CURTAS | SHORT FILMS" x="1"/>
        <item x="2"/>
        <item x="3"/>
        <item t="default"/>
      </items>
    </pivotField>
    <pivotField showAll="0" defaultSubtotal="0"/>
    <pivotField numFmtId="14" showAll="0" defaultSubtotal="0"/>
    <pivotField numFmtId="14" showAll="0" defaultSubtotal="0"/>
    <pivotField showAll="0" defaultSubtotal="0">
      <items count="14">
        <item x="6"/>
        <item h="1" x="0"/>
        <item x="11"/>
        <item x="9"/>
        <item h="1" x="10"/>
        <item x="5"/>
        <item x="1"/>
        <item x="4"/>
        <item x="3"/>
        <item x="2"/>
        <item x="7"/>
        <item h="1" x="8"/>
        <item h="1" x="12"/>
        <item h="1" x="13"/>
      </items>
    </pivotField>
  </pivotFields>
  <rowFields count="2">
    <field x="46"/>
    <field x="47"/>
  </rowFields>
  <rowItems count="8">
    <i>
      <x/>
    </i>
    <i r="1">
      <x/>
    </i>
    <i r="1">
      <x v="1"/>
    </i>
    <i>
      <x v="1"/>
    </i>
    <i>
      <x v="2"/>
    </i>
    <i>
      <x v="3"/>
    </i>
    <i r="1">
      <x v="3"/>
    </i>
    <i t="grand">
      <x/>
    </i>
  </rowItems>
  <colFields count="2">
    <field x="41"/>
    <field x="-2"/>
  </colFields>
  <colItems count="6">
    <i>
      <x/>
      <x/>
    </i>
    <i r="1" i="1">
      <x v="1"/>
    </i>
    <i>
      <x v="1"/>
      <x/>
    </i>
    <i r="1" i="1">
      <x v="1"/>
    </i>
    <i t="grand">
      <x/>
    </i>
    <i t="grand" i="1">
      <x/>
    </i>
  </colItems>
  <pageFields count="2">
    <pageField fld="15" hier="-1"/>
    <pageField fld="29" hier="-1"/>
  </pageFields>
  <dataFields count="2">
    <dataField name="VALOR A PAGAR | PAYMENTS DUE BY ICA" fld="28" baseField="0" baseItem="0" numFmtId="167"/>
    <dataField name="Nº DE PROJETOS | NUMBER OF PROJECTS" fld="1" baseField="0" baseItem="0"/>
  </dataFields>
  <formats count="12">
    <format dxfId="199">
      <pivotArea dataOnly="0" labelOnly="1" outline="0" fieldPosition="0">
        <references count="1">
          <reference field="4294967294" count="1">
            <x v="0"/>
          </reference>
        </references>
      </pivotArea>
    </format>
    <format dxfId="198">
      <pivotArea type="all" dataOnly="0" outline="0" fieldPosition="0"/>
    </format>
    <format dxfId="197">
      <pivotArea type="all" dataOnly="0" outline="0" fieldPosition="0"/>
    </format>
    <format dxfId="196">
      <pivotArea type="all" dataOnly="0" outline="0" fieldPosition="0"/>
    </format>
    <format dxfId="195">
      <pivotArea type="all" dataOnly="0" outline="0" fieldPosition="0"/>
    </format>
    <format dxfId="194">
      <pivotArea type="all" dataOnly="0" outline="0" fieldPosition="0"/>
    </format>
    <format dxfId="193">
      <pivotArea dataOnly="0" labelOnly="1" outline="0" fieldPosition="0">
        <references count="1">
          <reference field="4294967294" count="1">
            <x v="1"/>
          </reference>
        </references>
      </pivotArea>
    </format>
    <format dxfId="192">
      <pivotArea type="all" dataOnly="0" outline="0" fieldPosition="0"/>
    </format>
    <format dxfId="191">
      <pivotArea type="topRight" dataOnly="0" labelOnly="1" outline="0" offset="B1" fieldPosition="0"/>
    </format>
    <format dxfId="190">
      <pivotArea type="all" dataOnly="0" outline="0" fieldPosition="0"/>
    </format>
    <format dxfId="189">
      <pivotArea type="all" dataOnly="0" outline="0" fieldPosition="0"/>
    </format>
    <format dxfId="188">
      <pivotArea type="all" dataOnly="0" outline="0" fieldPosition="0"/>
    </format>
  </formats>
  <chartFormats count="5">
    <chartFormat chart="0" format="1"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9" format="7"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Tabela dinâmica11" cacheId="1" applyNumberFormats="0" applyBorderFormats="0" applyFontFormats="0" applyPatternFormats="0" applyAlignmentFormats="0" applyWidthHeightFormats="1" dataCaption="Valores" updatedVersion="4" minRefreshableVersion="3" showCalcMbrs="0" itemPrintTitles="1" createdVersion="3" indent="0" outline="1" outlineData="1" multipleFieldFilters="0" chartFormat="29">
  <location ref="W12:AA18" firstHeaderRow="1" firstDataRow="3" firstDataCol="1" rowPageCount="2" colPageCount="1"/>
  <pivotFields count="52">
    <pivotField showAll="0"/>
    <pivotField dataField="1"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axis="axisPage" multipleItemSelectionAllowed="1" showAll="0">
      <items count="11">
        <item x="1"/>
        <item h="1" x="2"/>
        <item h="1" x="3"/>
        <item h="1" x="5"/>
        <item h="1" x="6"/>
        <item h="1" x="0"/>
        <item h="1" x="4"/>
        <item h="1" m="1" x="9"/>
        <item h="1" x="7"/>
        <item h="1" x="8"/>
        <item t="default"/>
      </items>
    </pivotField>
    <pivotField multipleItemSelectionAllowed="1" showAll="0"/>
    <pivotField axis="axisRow" showAll="0" defaultSubtotal="0">
      <items count="6">
        <item n="ESCRITA DE ARGUMENTOS _x000a_SCRIPT WRITING" x="3"/>
        <item n="DESENVOLVIMENTO DE DOCUMENTÁRIOS_x000a_DEVELOPMENT OF DOCUMENTARY" x="2"/>
        <item h="1" x="0"/>
        <item n="DESENVOLVIMENTO DE ANIMAÇÃO_x000a_DEVELOPMENT OF ANIMATION" x="1"/>
        <item h="1" x="4"/>
        <item h="1" x="5"/>
      </items>
    </pivotField>
    <pivotField showAll="0" defaultSubtotal="0"/>
    <pivotField showAll="0"/>
    <pivotField numFmtId="167" showAll="0"/>
    <pivotField showAll="0" defaultSubtotal="0"/>
    <pivotField showAll="0"/>
    <pivotField showAll="0" defaultSubtotal="0"/>
    <pivotField showAll="0" defaultSubtotal="0"/>
    <pivotField numFmtId="167" showAll="0"/>
    <pivotField showAll="0"/>
    <pivotField showAll="0"/>
    <pivotField dataField="1" numFmtId="167" showAll="0"/>
    <pivotField axis="axisPage" multipleItemSelectionAllowed="1" showAll="0">
      <items count="16">
        <item x="12"/>
        <item x="8"/>
        <item x="1"/>
        <item x="3"/>
        <item x="6"/>
        <item x="13"/>
        <item x="14"/>
        <item h="1" x="10"/>
        <item x="11"/>
        <item x="4"/>
        <item h="1" x="0"/>
        <item h="1" x="7"/>
        <item x="2"/>
        <item h="1" x="9"/>
        <item h="1" x="5"/>
        <item t="default"/>
      </items>
    </pivotField>
    <pivotField showAll="0" defaultSubtotal="0"/>
    <pivotField showAll="0"/>
    <pivotField showAll="0"/>
    <pivotField showAll="0" defaultSubtotal="0"/>
    <pivotField showAll="0"/>
    <pivotField multipleItemSelectionAllowed="1" showAll="0"/>
    <pivotField showAll="0"/>
    <pivotField showAll="0" defaultSubtotal="0"/>
    <pivotField showAll="0" defaultSubtotal="0"/>
    <pivotField showAll="0" defaultSubtotal="0"/>
    <pivotField showAll="0" defaultSubtotal="0"/>
    <pivotField axis="axisCol" showAll="0" defaultSubtotal="0">
      <items count="3">
        <item n="N.º DE PROJETOS_x000a_Nº OF PROJECTS" x="0"/>
        <item n="N.º DE PROJECTOS PREVISIONAIS_x000a_Nº OF PROJECTS (PREVISIONAL)" x="2"/>
        <item x="1"/>
      </items>
    </pivotField>
    <pivotField showAll="0"/>
    <pivotField showAll="0" defaultSubtotal="0"/>
    <pivotField showAll="0"/>
    <pivotField showAll="0" defaultSubtotal="0"/>
    <pivotField showAll="0"/>
    <pivotField showAll="0"/>
    <pivotField showAll="0" defaultSubtotal="0"/>
    <pivotField numFmtId="14" showAll="0" defaultSubtotal="0"/>
    <pivotField numFmtId="14" showAll="0" defaultSubtotal="0"/>
    <pivotField showAll="0" defaultSubtotal="0">
      <items count="14">
        <item x="6"/>
        <item x="5"/>
        <item x="4"/>
        <item x="3"/>
        <item x="2"/>
        <item x="7"/>
        <item x="9"/>
        <item h="1" x="10"/>
        <item x="1"/>
        <item x="11"/>
        <item h="1" x="0"/>
        <item h="1" x="8"/>
        <item h="1" x="12"/>
        <item h="1" x="13"/>
      </items>
    </pivotField>
  </pivotFields>
  <rowFields count="1">
    <field x="17"/>
  </rowFields>
  <rowItems count="4">
    <i>
      <x/>
    </i>
    <i>
      <x v="1"/>
    </i>
    <i>
      <x v="3"/>
    </i>
    <i t="grand">
      <x/>
    </i>
  </rowItems>
  <colFields count="2">
    <field x="41"/>
    <field x="-2"/>
  </colFields>
  <colItems count="4">
    <i>
      <x/>
      <x/>
    </i>
    <i r="1" i="1">
      <x v="1"/>
    </i>
    <i t="grand">
      <x/>
    </i>
    <i t="grand" i="1">
      <x/>
    </i>
  </colItems>
  <pageFields count="2">
    <pageField fld="15" hier="-1"/>
    <pageField fld="29" hier="-1"/>
  </pageFields>
  <dataFields count="2">
    <dataField name="VALOR A PAGAR | PAYMENTS DUE BY ICA" fld="28" baseField="0" baseItem="0" numFmtId="167"/>
    <dataField name="Nº DE PROJETOS | NUMBER OF PROJECTS" fld="1" baseField="0" baseItem="0"/>
  </dataFields>
  <formats count="9">
    <format dxfId="208">
      <pivotArea dataOnly="0" labelOnly="1" outline="0" fieldPosition="0">
        <references count="1">
          <reference field="4294967294" count="1">
            <x v="0"/>
          </reference>
        </references>
      </pivotArea>
    </format>
    <format dxfId="207">
      <pivotArea type="all" dataOnly="0" outline="0" fieldPosition="0"/>
    </format>
    <format dxfId="206">
      <pivotArea type="all" dataOnly="0" outline="0" fieldPosition="0"/>
    </format>
    <format dxfId="205">
      <pivotArea type="all" dataOnly="0" outline="0" fieldPosition="0"/>
    </format>
    <format dxfId="204">
      <pivotArea type="all" dataOnly="0" outline="0" fieldPosition="0"/>
    </format>
    <format dxfId="203">
      <pivotArea type="all" dataOnly="0" outline="0" fieldPosition="0"/>
    </format>
    <format dxfId="202">
      <pivotArea type="all" dataOnly="0" outline="0" fieldPosition="0"/>
    </format>
    <format dxfId="201">
      <pivotArea type="all" dataOnly="0" outline="0" fieldPosition="0"/>
    </format>
    <format dxfId="200">
      <pivotArea type="all" dataOnly="0" outline="0" fieldPosition="0"/>
    </format>
  </formats>
  <chartFormats count="5">
    <chartFormat chart="0" format="1"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Tabela dinâmica2" cacheId="0" applyNumberFormats="0" applyBorderFormats="0" applyFontFormats="0" applyPatternFormats="0" applyAlignmentFormats="0" applyWidthHeightFormats="1" dataCaption="Valores" grandTotalCaption="TOTAL" updatedVersion="4" minRefreshableVersion="3" showCalcMbrs="0" itemPrintTitles="1" createdVersion="3" indent="0" outline="1" outlineData="1" multipleFieldFilters="0">
  <location ref="K5:L11" firstHeaderRow="1" firstDataRow="1" firstDataCol="1" rowPageCount="3" colPageCount="1"/>
  <pivotFields count="33">
    <pivotField axis="axisPage" multipleItemSelectionAllowed="1" showAll="0">
      <items count="5">
        <item h="1" x="0"/>
        <item h="1" x="1"/>
        <item x="2"/>
        <item h="1" x="3"/>
        <item t="default"/>
      </items>
    </pivotField>
    <pivotField showAll="0"/>
    <pivotField showAll="0"/>
    <pivotField axis="axisRow" dataField="1" showAll="0">
      <items count="7">
        <item x="4"/>
        <item x="2"/>
        <item x="1"/>
        <item x="3"/>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9">
        <item x="15"/>
        <item x="1"/>
        <item x="2"/>
        <item x="5"/>
        <item x="6"/>
        <item x="7"/>
        <item x="8"/>
        <item x="16"/>
        <item x="9"/>
        <item x="14"/>
        <item x="13"/>
        <item x="12"/>
        <item x="24"/>
        <item x="34"/>
        <item x="4"/>
        <item x="20"/>
        <item x="33"/>
        <item x="31"/>
        <item x="19"/>
        <item x="36"/>
        <item x="18"/>
        <item x="35"/>
        <item x="25"/>
        <item x="21"/>
        <item x="28"/>
        <item x="17"/>
        <item x="30"/>
        <item x="26"/>
        <item x="22"/>
        <item x="29"/>
        <item x="3"/>
        <item x="23"/>
        <item x="11"/>
        <item x="32"/>
        <item x="0"/>
        <item x="27"/>
        <item x="10"/>
        <item x="37"/>
        <item t="default"/>
      </items>
    </pivotField>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numFmtId="14" showAll="0"/>
    <pivotField showAll="0"/>
    <pivotField showAll="0" defaultSubtotal="0"/>
    <pivotField showAll="0" defaultSubtotal="0"/>
  </pivotFields>
  <rowFields count="1">
    <field x="3"/>
  </rowFields>
  <rowItems count="6">
    <i>
      <x v="1"/>
    </i>
    <i>
      <x v="2"/>
    </i>
    <i>
      <x v="3"/>
    </i>
    <i>
      <x v="4"/>
    </i>
    <i>
      <x v="5"/>
    </i>
    <i t="grand">
      <x/>
    </i>
  </rowItems>
  <colItems count="1">
    <i/>
  </colItems>
  <pageFields count="3">
    <pageField fld="0" hier="-1"/>
    <pageField fld="16" hier="-1"/>
    <pageField fld="23" hier="-1"/>
  </pageFields>
  <dataFields count="1">
    <dataField name="nº" fld="3" subtotal="count" baseField="0" baseItem="0"/>
  </dataFields>
  <formats count="1">
    <format dxfId="8">
      <pivotArea type="all" dataOnly="0"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ela dinâmica1" cacheId="0" applyNumberFormats="0" applyBorderFormats="0" applyFontFormats="0" applyPatternFormats="0" applyAlignmentFormats="0" applyWidthHeightFormats="1" dataCaption="Valores" updatedVersion="4" minRefreshableVersion="3" showCalcMbrs="0" rowGrandTotals="0" colGrandTotals="0" itemPrintTitles="1" createdVersion="3" indent="0" compact="0" compactData="0" multipleFieldFilters="0">
  <location ref="B12:H16" firstHeaderRow="1" firstDataRow="1" firstDataCol="7" rowPageCount="3" colPageCount="1"/>
  <pivotFields count="33">
    <pivotField axis="axisPage" compact="0" outline="0" multipleItemSelectionAllowed="1" showAll="0" defaultSubtotal="0">
      <items count="4">
        <item h="1" x="0"/>
        <item h="1" x="1"/>
        <item h="1" x="2"/>
        <item x="3"/>
      </items>
    </pivotField>
    <pivotField compact="0" outline="0" showAll="0" defaultSubtotal="0"/>
    <pivotField compact="0" outline="0" showAll="0" sortType="ascending"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EVENTO | EVENT" axis="axisRow" compact="0" outline="0" showAll="0" defaultSubtotal="0">
      <items count="1113">
        <item x="645"/>
        <item x="250"/>
        <item x="285"/>
        <item x="2"/>
        <item x="546"/>
        <item x="605"/>
        <item x="228"/>
        <item x="167"/>
        <item x="76"/>
        <item x="128"/>
        <item x="345"/>
        <item x="755"/>
        <item x="317"/>
        <item x="141"/>
        <item x="154"/>
        <item x="274"/>
        <item x="275"/>
        <item x="95"/>
        <item x="586"/>
        <item x="538"/>
        <item x="333"/>
        <item x="590"/>
        <item x="387"/>
        <item x="245"/>
        <item x="223"/>
        <item x="488"/>
        <item x="757"/>
        <item x="769"/>
        <item x="793"/>
        <item x="390"/>
        <item x="394"/>
        <item x="780"/>
        <item x="778"/>
        <item x="777"/>
        <item x="70"/>
        <item x="277"/>
        <item x="652"/>
        <item x="100"/>
        <item x="486"/>
        <item x="327"/>
        <item x="386"/>
        <item x="522"/>
        <item x="199"/>
        <item x="487"/>
        <item x="194"/>
        <item x="375"/>
        <item x="241"/>
        <item x="361"/>
        <item x="112"/>
        <item x="127"/>
        <item x="107"/>
        <item x="449"/>
        <item x="114"/>
        <item x="326"/>
        <item x="85"/>
        <item x="22"/>
        <item x="207"/>
        <item x="420"/>
        <item x="400"/>
        <item x="324"/>
        <item x="391"/>
        <item x="478"/>
        <item x="621"/>
        <item x="101"/>
        <item x="117"/>
        <item x="23"/>
        <item x="437"/>
        <item x="635"/>
        <item x="102"/>
        <item x="295"/>
        <item x="305"/>
        <item x="162"/>
        <item x="807"/>
        <item x="144"/>
        <item x="11"/>
        <item x="217"/>
        <item x="43"/>
        <item x="362"/>
        <item x="87"/>
        <item x="163"/>
        <item x="707"/>
        <item x="677"/>
        <item x="61"/>
        <item x="201"/>
        <item x="266"/>
        <item x="531"/>
        <item x="528"/>
        <item x="656"/>
        <item x="654"/>
        <item x="530"/>
        <item x="529"/>
        <item x="526"/>
        <item x="527"/>
        <item x="289"/>
        <item x="753"/>
        <item x="135"/>
        <item x="15"/>
        <item x="59"/>
        <item x="357"/>
        <item x="208"/>
        <item x="291"/>
        <item x="468"/>
        <item x="379"/>
        <item x="525"/>
        <item x="632"/>
        <item x="414"/>
        <item x="84"/>
        <item x="300"/>
        <item x="27"/>
        <item x="54"/>
        <item x="775"/>
        <item x="58"/>
        <item x="158"/>
        <item x="644"/>
        <item x="647"/>
        <item x="646"/>
        <item x="283"/>
        <item x="200"/>
        <item x="88"/>
        <item x="335"/>
        <item x="623"/>
        <item x="39"/>
        <item x="170"/>
        <item x="177"/>
        <item x="156"/>
        <item x="60"/>
        <item x="182"/>
        <item x="319"/>
        <item x="500"/>
        <item x="762"/>
        <item x="541"/>
        <item x="161"/>
        <item x="290"/>
        <item x="10"/>
        <item x="268"/>
        <item x="320"/>
        <item x="296"/>
        <item x="32"/>
        <item x="110"/>
        <item x="768"/>
        <item x="69"/>
        <item x="41"/>
        <item x="626"/>
        <item x="399"/>
        <item x="78"/>
        <item x="231"/>
        <item x="597"/>
        <item x="150"/>
        <item x="788"/>
        <item x="0"/>
        <item x="71"/>
        <item x="580"/>
        <item x="181"/>
        <item x="79"/>
        <item x="549"/>
        <item x="34"/>
        <item x="68"/>
        <item x="299"/>
        <item x="350"/>
        <item x="356"/>
        <item x="789"/>
        <item x="145"/>
        <item x="267"/>
        <item x="608"/>
        <item x="636"/>
        <item x="292"/>
        <item x="106"/>
        <item x="25"/>
        <item x="229"/>
        <item x="377"/>
        <item x="351"/>
        <item x="186"/>
        <item x="270"/>
        <item x="45"/>
        <item x="193"/>
        <item x="498"/>
        <item x="192"/>
        <item x="280"/>
        <item x="4"/>
        <item x="738"/>
        <item x="405"/>
        <item x="374"/>
        <item x="713"/>
        <item x="342"/>
        <item x="816"/>
        <item x="183"/>
        <item x="517"/>
        <item x="9"/>
        <item x="477"/>
        <item x="506"/>
        <item x="815"/>
        <item x="202"/>
        <item x="282"/>
        <item x="536"/>
        <item x="786"/>
        <item x="433"/>
        <item x="157"/>
        <item x="312"/>
        <item x="19"/>
        <item x="14"/>
        <item x="124"/>
        <item x="264"/>
        <item x="62"/>
        <item x="236"/>
        <item x="371"/>
        <item x="178"/>
        <item x="659"/>
        <item x="660"/>
        <item x="172"/>
        <item x="243"/>
        <item x="37"/>
        <item x="411"/>
        <item x="555"/>
        <item x="63"/>
        <item x="765"/>
        <item x="269"/>
        <item x="184"/>
        <item x="302"/>
        <item x="138"/>
        <item x="126"/>
        <item x="760"/>
        <item x="75"/>
        <item x="346"/>
        <item x="298"/>
        <item x="247"/>
        <item x="133"/>
        <item x="412"/>
        <item x="754"/>
        <item x="447"/>
        <item x="147"/>
        <item x="602"/>
        <item x="246"/>
        <item x="188"/>
        <item x="403"/>
        <item x="142"/>
        <item x="328"/>
        <item x="384"/>
        <item x="715"/>
        <item x="304"/>
        <item x="553"/>
        <item x="169"/>
        <item x="235"/>
        <item x="151"/>
        <item x="726"/>
        <item x="596"/>
        <item x="253"/>
        <item x="219"/>
        <item x="97"/>
        <item x="140"/>
        <item x="340"/>
        <item x="105"/>
        <item x="3"/>
        <item x="81"/>
        <item x="143"/>
        <item x="122"/>
        <item x="31"/>
        <item x="441"/>
        <item x="817"/>
        <item x="92"/>
        <item x="721"/>
        <item x="782"/>
        <item x="820"/>
        <item x="29"/>
        <item x="657"/>
        <item x="46"/>
        <item x="103"/>
        <item x="672"/>
        <item x="66"/>
        <item x="129"/>
        <item x="321"/>
        <item x="94"/>
        <item x="118"/>
        <item x="561"/>
        <item x="499"/>
        <item x="20"/>
        <item x="585"/>
        <item x="398"/>
        <item x="341"/>
        <item x="242"/>
        <item x="712"/>
        <item x="96"/>
        <item x="160"/>
        <item x="311"/>
        <item x="739"/>
        <item x="30"/>
        <item x="355"/>
        <item x="381"/>
        <item x="53"/>
        <item x="330"/>
        <item x="82"/>
        <item x="265"/>
        <item x="168"/>
        <item x="744"/>
        <item x="263"/>
        <item x="262"/>
        <item x="464"/>
        <item x="146"/>
        <item x="240"/>
        <item x="90"/>
        <item x="314"/>
        <item x="748"/>
        <item x="308"/>
        <item x="232"/>
        <item x="233"/>
        <item x="226"/>
        <item x="624"/>
        <item x="136"/>
        <item x="111"/>
        <item x="16"/>
        <item x="91"/>
        <item x="44"/>
        <item x="98"/>
        <item x="395"/>
        <item x="606"/>
        <item x="303"/>
        <item x="121"/>
        <item x="306"/>
        <item x="139"/>
        <item x="565"/>
        <item x="372"/>
        <item x="175"/>
        <item x="74"/>
        <item x="469"/>
        <item x="80"/>
        <item x="125"/>
        <item x="204"/>
        <item x="174"/>
        <item x="539"/>
        <item x="589"/>
        <item x="396"/>
        <item x="6"/>
        <item x="509"/>
        <item x="279"/>
        <item x="33"/>
        <item x="123"/>
        <item x="171"/>
        <item x="495"/>
        <item x="648"/>
        <item x="64"/>
        <item x="818"/>
        <item x="293"/>
        <item x="794"/>
        <item x="26"/>
        <item x="89"/>
        <item x="198"/>
        <item x="180"/>
        <item x="18"/>
        <item x="407"/>
        <item x="47"/>
        <item x="545"/>
        <item x="132"/>
        <item x="77"/>
        <item x="481"/>
        <item x="72"/>
        <item x="344"/>
        <item x="209"/>
        <item x="48"/>
        <item x="281"/>
        <item x="521"/>
        <item x="413"/>
        <item x="339"/>
        <item x="195"/>
        <item x="622"/>
        <item x="323"/>
        <item x="759"/>
        <item x="276"/>
        <item x="196"/>
        <item x="52"/>
        <item x="392"/>
        <item x="669"/>
        <item x="120"/>
        <item x="234"/>
        <item x="256"/>
        <item x="55"/>
        <item x="238"/>
        <item x="318"/>
        <item x="683"/>
        <item x="497"/>
        <item x="432"/>
        <item x="519"/>
        <item x="668"/>
        <item x="35"/>
        <item x="67"/>
        <item x="366"/>
        <item x="83"/>
        <item x="248"/>
        <item x="737"/>
        <item x="222"/>
        <item x="558"/>
        <item x="393"/>
        <item x="473"/>
        <item x="717"/>
        <item x="700"/>
        <item x="8"/>
        <item x="197"/>
        <item x="213"/>
        <item x="211"/>
        <item x="212"/>
        <item x="426"/>
        <item x="206"/>
        <item x="673"/>
        <item x="633"/>
        <item x="766"/>
        <item x="438"/>
        <item x="187"/>
        <item x="225"/>
        <item x="508"/>
        <item x="331"/>
        <item x="191"/>
        <item x="12"/>
        <item x="255"/>
        <item x="354"/>
        <item x="73"/>
        <item x="496"/>
        <item x="137"/>
        <item x="424"/>
        <item x="574"/>
        <item x="733"/>
        <item x="258"/>
        <item x="203"/>
        <item x="332"/>
        <item x="671"/>
        <item x="287"/>
        <item x="239"/>
        <item x="708"/>
        <item x="475"/>
        <item x="227"/>
        <item x="615"/>
        <item x="286"/>
        <item x="130"/>
        <item x="699"/>
        <item x="343"/>
        <item x="771"/>
        <item x="367"/>
        <item x="210"/>
        <item x="575"/>
        <item x="214"/>
        <item x="221"/>
        <item x="249"/>
        <item x="701"/>
        <item x="252"/>
        <item x="57"/>
        <item x="254"/>
        <item x="230"/>
        <item x="315"/>
        <item x="28"/>
        <item x="550"/>
        <item x="419"/>
        <item x="552"/>
        <item x="730"/>
        <item x="600"/>
        <item x="603"/>
        <item x="774"/>
        <item x="467"/>
        <item x="570"/>
        <item x="613"/>
        <item x="776"/>
        <item x="637"/>
        <item x="658"/>
        <item x="665"/>
        <item x="680"/>
        <item x="430"/>
        <item x="415"/>
        <item x="417"/>
        <item x="463"/>
        <item x="440"/>
        <item x="638"/>
        <item x="479"/>
        <item x="554"/>
        <item x="482"/>
        <item x="568"/>
        <item x="612"/>
        <item x="455"/>
        <item x="598"/>
        <item x="670"/>
        <item x="681"/>
        <item x="732"/>
        <item x="729"/>
        <item x="714"/>
        <item x="663"/>
        <item x="616"/>
        <item x="551"/>
        <item x="418"/>
        <item x="764"/>
        <item x="703"/>
        <item x="728"/>
        <item x="524"/>
        <item x="556"/>
        <item x="662"/>
        <item x="694"/>
        <item x="610"/>
        <item x="224"/>
        <item x="310"/>
        <item x="706"/>
        <item x="334"/>
        <item x="153"/>
        <item x="719"/>
        <item x="86"/>
        <item x="278"/>
        <item x="578"/>
        <item x="165"/>
        <item x="427"/>
        <item x="667"/>
        <item x="604"/>
        <item x="152"/>
        <item x="294"/>
        <item x="397"/>
        <item x="190"/>
        <item x="116"/>
        <item x="189"/>
        <item x="313"/>
        <item x="185"/>
        <item x="108"/>
        <item x="113"/>
        <item x="790"/>
        <item x="363"/>
        <item x="131"/>
        <item x="370"/>
        <item x="599"/>
        <item x="325"/>
        <item x="383"/>
        <item x="40"/>
        <item x="297"/>
        <item x="119"/>
        <item x="401"/>
        <item x="559"/>
        <item x="218"/>
        <item x="720"/>
        <item x="115"/>
        <item x="149"/>
        <item x="173"/>
        <item x="166"/>
        <item x="573"/>
        <item x="376"/>
        <item x="329"/>
        <item x="456"/>
        <item x="380"/>
        <item x="272"/>
        <item x="176"/>
        <item x="338"/>
        <item x="288"/>
        <item x="582"/>
        <item x="205"/>
        <item x="474"/>
        <item x="237"/>
        <item x="109"/>
        <item x="655"/>
        <item x="93"/>
        <item x="515"/>
        <item x="787"/>
        <item x="516"/>
        <item x="21"/>
        <item x="389"/>
        <item x="307"/>
        <item x="359"/>
        <item x="179"/>
        <item x="1"/>
        <item x="360"/>
        <item x="758"/>
        <item x="352"/>
        <item x="358"/>
        <item x="349"/>
        <item x="388"/>
        <item x="454"/>
        <item x="316"/>
        <item x="686"/>
        <item x="7"/>
        <item x="17"/>
        <item x="49"/>
        <item x="50"/>
        <item x="65"/>
        <item x="155"/>
        <item x="159"/>
        <item x="164"/>
        <item x="257"/>
        <item x="260"/>
        <item x="261"/>
        <item x="301"/>
        <item x="336"/>
        <item x="347"/>
        <item x="348"/>
        <item x="385"/>
        <item x="406"/>
        <item x="425"/>
        <item x="431"/>
        <item x="470"/>
        <item x="533"/>
        <item x="534"/>
        <item x="547"/>
        <item x="631"/>
        <item x="731"/>
        <item x="505"/>
        <item x="353"/>
        <item x="592"/>
        <item x="446"/>
        <item x="445"/>
        <item x="651"/>
        <item x="823"/>
        <item x="709"/>
        <item x="618"/>
        <item x="368"/>
        <item x="540"/>
        <item x="564"/>
        <item x="476"/>
        <item x="42"/>
        <item x="13"/>
        <item x="572"/>
        <item x="337"/>
        <item x="593"/>
        <item x="594"/>
        <item x="617"/>
        <item x="369"/>
        <item x="684"/>
        <item x="661"/>
        <item x="779"/>
        <item x="674"/>
        <item x="675"/>
        <item x="734"/>
        <item x="801"/>
        <item x="104"/>
        <item x="134"/>
        <item x="220"/>
        <item x="259"/>
        <item x="273"/>
        <item x="450"/>
        <item x="702"/>
        <item x="378"/>
        <item x="373"/>
        <item x="808"/>
        <item x="56"/>
        <item x="309"/>
        <item x="284"/>
        <item x="518"/>
        <item x="365"/>
        <item x="649"/>
        <item x="244"/>
        <item x="639"/>
        <item x="148"/>
        <item x="364"/>
        <item x="5"/>
        <item x="215"/>
        <item x="216"/>
        <item x="251"/>
        <item x="435"/>
        <item x="595"/>
        <item x="643"/>
        <item x="819"/>
        <item x="695"/>
        <item x="563"/>
        <item x="724"/>
        <item x="51"/>
        <item x="679"/>
        <item x="434"/>
        <item x="458"/>
        <item x="650"/>
        <item x="822"/>
        <item x="609"/>
        <item x="439"/>
        <item x="583"/>
        <item x="584"/>
        <item x="491"/>
        <item x="408"/>
        <item x="821"/>
        <item x="735"/>
        <item x="429"/>
        <item x="676"/>
        <item x="444"/>
        <item x="781"/>
        <item x="810"/>
        <item x="809"/>
        <item x="704"/>
        <item x="587"/>
        <item x="796"/>
        <item x="795"/>
        <item x="772"/>
        <item x="410"/>
        <item x="485"/>
        <item x="641"/>
        <item x="741"/>
        <item x="664"/>
        <item x="743"/>
        <item x="453"/>
        <item x="742"/>
        <item x="802"/>
        <item x="803"/>
        <item x="800"/>
        <item x="770"/>
        <item x="797"/>
        <item x="798"/>
        <item x="591"/>
        <item x="812"/>
        <item x="567"/>
        <item x="271"/>
        <item x="745"/>
        <item x="783"/>
        <item x="718"/>
        <item x="799"/>
        <item x="448"/>
        <item x="791"/>
        <item x="761"/>
        <item x="451"/>
        <item x="494"/>
        <item x="493"/>
        <item x="422"/>
        <item x="581"/>
        <item x="471"/>
        <item x="792"/>
        <item x="576"/>
        <item n="Shortcutz Lisboa " x="502"/>
        <item x="577"/>
        <item x="611"/>
        <item x="698"/>
        <item x="619"/>
        <item x="532"/>
        <item x="725"/>
        <item x="607"/>
        <item x="746"/>
        <item x="520"/>
        <item x="543"/>
        <item x="736"/>
        <item x="723"/>
        <item x="460"/>
        <item x="461"/>
        <item x="483"/>
        <item x="503"/>
        <item x="620"/>
        <item x="537"/>
        <item x="813"/>
        <item x="480"/>
        <item x="749"/>
        <item x="442"/>
        <item x="642"/>
        <item x="666"/>
        <item x="462"/>
        <item x="562"/>
        <item x="814"/>
        <item x="711"/>
        <item x="747"/>
        <item x="566"/>
        <item x="423"/>
        <item x="489"/>
        <item x="740"/>
        <item x="773"/>
        <item x="409"/>
        <item x="512"/>
        <item x="510"/>
        <item x="492"/>
        <item x="682"/>
        <item x="443"/>
        <item x="627"/>
        <item x="640"/>
        <item x="784"/>
        <item x="452"/>
        <item x="544"/>
        <item x="542"/>
        <item x="629"/>
        <item x="404"/>
        <item x="716"/>
        <item x="571"/>
        <item x="678"/>
        <item x="36"/>
        <item x="811"/>
        <item x="504"/>
        <item x="785"/>
        <item x="710"/>
        <item x="560"/>
        <item x="436"/>
        <item x="472"/>
        <item x="705"/>
        <item x="727"/>
        <item x="416"/>
        <item x="421"/>
        <item x="588"/>
        <item x="569"/>
        <item x="402"/>
        <item x="693"/>
        <item x="490"/>
        <item x="763"/>
        <item x="548"/>
        <item x="465"/>
        <item x="750"/>
        <item x="625"/>
        <item x="523"/>
        <item x="691"/>
        <item x="692"/>
        <item x="688"/>
        <item x="689"/>
        <item x="690"/>
        <item x="466"/>
        <item x="484"/>
        <item x="579"/>
        <item x="653"/>
        <item x="1015"/>
        <item x="501"/>
        <item x="513"/>
        <item x="696"/>
        <item x="697"/>
        <item x="752"/>
        <item x="630"/>
        <item x="804"/>
        <item x="805"/>
        <item x="806"/>
        <item x="885"/>
        <item x="966"/>
        <item x="1056"/>
        <item x="865"/>
        <item x="898"/>
        <item x="1027"/>
        <item x="874"/>
        <item x="1001"/>
        <item x="995"/>
        <item x="832"/>
        <item x="911"/>
        <item x="1034"/>
        <item x="953"/>
        <item x="884"/>
        <item x="1057"/>
        <item x="925"/>
        <item x="840"/>
        <item x="919"/>
        <item x="924"/>
        <item x="557"/>
        <item x="963"/>
        <item x="1003"/>
        <item x="926"/>
        <item x="1059"/>
        <item x="1044"/>
        <item x="982"/>
        <item x="841"/>
        <item x="828"/>
        <item x="601"/>
        <item x="535"/>
        <item x="970"/>
        <item x="883"/>
        <item x="941"/>
        <item x="1013"/>
        <item x="1031"/>
        <item x="1074"/>
        <item x="899"/>
        <item x="1028"/>
        <item x="1055"/>
        <item x="1072"/>
        <item x="511"/>
        <item x="687"/>
        <item x="879"/>
        <item x="685"/>
        <item x="891"/>
        <item x="942"/>
        <item x="1038"/>
        <item x="1052"/>
        <item x="856"/>
        <item x="1054"/>
        <item x="1082"/>
        <item x="893"/>
        <item x="868"/>
        <item x="956"/>
        <item x="459"/>
        <item x="978"/>
        <item x="862"/>
        <item x="831"/>
        <item x="1063"/>
        <item x="866"/>
        <item x="931"/>
        <item x="957"/>
        <item x="992"/>
        <item x="1046"/>
        <item x="967"/>
        <item x="1065"/>
        <item x="1048"/>
        <item x="921"/>
        <item x="1058"/>
        <item x="998"/>
        <item x="1016"/>
        <item x="959"/>
        <item x="929"/>
        <item x="888"/>
        <item x="981"/>
        <item x="1002"/>
        <item x="322"/>
        <item x="1004"/>
        <item x="1005"/>
        <item x="902"/>
        <item x="939"/>
        <item x="1006"/>
        <item x="1007"/>
        <item x="1092"/>
        <item x="912"/>
        <item x="935"/>
        <item x="1040"/>
        <item x="1067"/>
        <item x="964"/>
        <item x="1019"/>
        <item x="930"/>
        <item x="1018"/>
        <item x="889"/>
        <item x="1026"/>
        <item x="825"/>
        <item x="514"/>
        <item x="913"/>
        <item x="1085"/>
        <item x="847"/>
        <item x="975"/>
        <item x="1009"/>
        <item x="952"/>
        <item x="869"/>
        <item x="916"/>
        <item x="917"/>
        <item x="843"/>
        <item x="844"/>
        <item x="958"/>
        <item x="1008"/>
        <item x="1022"/>
        <item x="829"/>
        <item x="1010"/>
        <item x="864"/>
        <item x="756"/>
        <item x="961"/>
        <item x="863"/>
        <item x="906"/>
        <item x="827"/>
        <item x="1000"/>
        <item x="1051"/>
        <item x="1041"/>
        <item x="997"/>
        <item x="867"/>
        <item x="861"/>
        <item x="1066"/>
        <item x="947"/>
        <item x="1043"/>
        <item x="835"/>
        <item x="937"/>
        <item x="943"/>
        <item x="914"/>
        <item x="1084"/>
        <item x="1083"/>
        <item x="854"/>
        <item x="987"/>
        <item x="973"/>
        <item x="1071"/>
        <item x="1073"/>
        <item x="1075"/>
        <item x="614"/>
        <item x="628"/>
        <item x="1029"/>
        <item x="382"/>
        <item x="846"/>
        <item x="922"/>
        <item x="968"/>
        <item x="1060"/>
        <item x="839"/>
        <item x="990"/>
        <item x="946"/>
        <item x="1047"/>
        <item x="936"/>
        <item x="887"/>
        <item x="1037"/>
        <item x="979"/>
        <item x="1068"/>
        <item x="428"/>
        <item x="845"/>
        <item x="507"/>
        <item x="848"/>
        <item x="896"/>
        <item x="903"/>
        <item x="767"/>
        <item x="918"/>
        <item x="948"/>
        <item x="857"/>
        <item x="897"/>
        <item x="927"/>
        <item x="1053"/>
        <item x="1020"/>
        <item x="895"/>
        <item x="976"/>
        <item x="859"/>
        <item x="980"/>
        <item x="1014"/>
        <item x="842"/>
        <item x="826"/>
        <item x="24"/>
        <item x="457"/>
        <item x="882"/>
        <item x="1023"/>
        <item x="1024"/>
        <item x="870"/>
        <item x="985"/>
        <item x="837"/>
        <item x="954"/>
        <item x="974"/>
        <item x="951"/>
        <item x="858"/>
        <item x="900"/>
        <item x="1045"/>
        <item x="1062"/>
        <item x="1089"/>
        <item x="960"/>
        <item x="833"/>
        <item x="1021"/>
        <item x="872"/>
        <item x="915"/>
        <item x="971"/>
        <item x="944"/>
        <item x="999"/>
        <item x="991"/>
        <item x="940"/>
        <item x="928"/>
        <item x="1017"/>
        <item x="1036"/>
        <item x="945"/>
        <item x="849"/>
        <item x="850"/>
        <item x="1035"/>
        <item x="871"/>
        <item x="836"/>
        <item x="938"/>
        <item x="875"/>
        <item x="1087"/>
        <item x="1086"/>
        <item x="1061"/>
        <item x="860"/>
        <item x="824"/>
        <item x="890"/>
        <item x="923"/>
        <item x="1033"/>
        <item x="962"/>
        <item x="1011"/>
        <item x="834"/>
        <item x="881"/>
        <item x="983"/>
        <item x="950"/>
        <item x="1064"/>
        <item x="904"/>
        <item x="873"/>
        <item x="1032"/>
        <item x="965"/>
        <item x="1030"/>
        <item x="996"/>
        <item x="855"/>
        <item x="1025"/>
        <item x="1081"/>
        <item x="969"/>
        <item x="1093"/>
        <item x="851"/>
        <item x="907"/>
        <item x="901"/>
        <item x="994"/>
        <item x="1088"/>
        <item x="1076"/>
        <item x="1050"/>
        <item x="722"/>
        <item x="1049"/>
        <item x="932"/>
        <item x="853"/>
        <item x="955"/>
        <item x="852"/>
        <item x="838"/>
        <item x="830"/>
        <item x="920"/>
        <item x="1069"/>
        <item x="977"/>
        <item x="1107"/>
        <item x="1090"/>
        <item x="880"/>
        <item x="993"/>
        <item x="634"/>
        <item x="972"/>
        <item x="38"/>
        <item x="1110"/>
        <item x="99"/>
        <item x="894"/>
        <item x="988"/>
        <item x="989"/>
        <item x="1102"/>
        <item x="1109"/>
        <item x="986"/>
        <item x="1095"/>
        <item x="1070"/>
        <item x="1108"/>
        <item x="910"/>
        <item x="878"/>
        <item x="908"/>
        <item x="909"/>
        <item x="934"/>
        <item x="933"/>
        <item x="1012"/>
        <item x="1077"/>
        <item x="1080"/>
        <item x="1079"/>
        <item x="1078"/>
        <item x="1091"/>
        <item x="1104"/>
        <item x="1096"/>
        <item x="1105"/>
        <item x="1039"/>
        <item x="1111"/>
        <item x="984"/>
        <item x="1101"/>
        <item x="876"/>
        <item x="877"/>
        <item x="892"/>
        <item x="1042"/>
        <item x="1106"/>
        <item x="1097"/>
        <item x="751"/>
        <item x="886"/>
        <item x="905"/>
        <item x="949"/>
        <item x="1094"/>
        <item x="1098"/>
        <item x="1099"/>
        <item x="1100"/>
        <item x="1103"/>
        <item x="1112"/>
      </items>
    </pivotField>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defaultSubtotal="0"/>
    <pivotField compact="0" outline="0" showAll="0" sortType="ascending" defaultSubtotal="0">
      <items count="368">
        <item x="0"/>
        <item x="367"/>
        <item x="92"/>
        <item x="214"/>
        <item x="336"/>
        <item x="32"/>
        <item x="1"/>
        <item x="183"/>
        <item x="153"/>
        <item x="122"/>
        <item x="61"/>
        <item x="306"/>
        <item x="275"/>
        <item x="245"/>
        <item x="93"/>
        <item x="215"/>
        <item x="337"/>
        <item x="33"/>
        <item x="2"/>
        <item x="184"/>
        <item x="154"/>
        <item x="123"/>
        <item x="62"/>
        <item x="307"/>
        <item x="276"/>
        <item x="246"/>
        <item x="94"/>
        <item x="216"/>
        <item x="338"/>
        <item x="34"/>
        <item x="3"/>
        <item x="185"/>
        <item x="155"/>
        <item x="124"/>
        <item x="63"/>
        <item x="308"/>
        <item x="277"/>
        <item x="247"/>
        <item x="95"/>
        <item x="217"/>
        <item x="339"/>
        <item x="35"/>
        <item x="4"/>
        <item x="186"/>
        <item x="156"/>
        <item x="125"/>
        <item x="64"/>
        <item x="309"/>
        <item x="278"/>
        <item x="248"/>
        <item x="96"/>
        <item x="218"/>
        <item x="340"/>
        <item x="36"/>
        <item x="5"/>
        <item x="187"/>
        <item x="157"/>
        <item x="126"/>
        <item x="65"/>
        <item x="310"/>
        <item x="279"/>
        <item x="249"/>
        <item x="97"/>
        <item x="219"/>
        <item x="341"/>
        <item x="37"/>
        <item x="6"/>
        <item x="188"/>
        <item x="158"/>
        <item x="127"/>
        <item x="66"/>
        <item x="311"/>
        <item x="280"/>
        <item x="250"/>
        <item x="98"/>
        <item x="220"/>
        <item x="342"/>
        <item x="38"/>
        <item x="7"/>
        <item x="189"/>
        <item x="159"/>
        <item x="128"/>
        <item x="67"/>
        <item x="312"/>
        <item x="281"/>
        <item x="251"/>
        <item x="99"/>
        <item x="221"/>
        <item x="343"/>
        <item x="39"/>
        <item x="8"/>
        <item x="190"/>
        <item x="160"/>
        <item x="129"/>
        <item x="68"/>
        <item x="313"/>
        <item x="282"/>
        <item x="252"/>
        <item x="100"/>
        <item x="222"/>
        <item x="344"/>
        <item x="40"/>
        <item x="9"/>
        <item x="191"/>
        <item x="161"/>
        <item x="130"/>
        <item x="69"/>
        <item x="314"/>
        <item x="283"/>
        <item x="253"/>
        <item x="101"/>
        <item x="223"/>
        <item x="345"/>
        <item x="41"/>
        <item x="10"/>
        <item x="192"/>
        <item x="162"/>
        <item x="131"/>
        <item x="70"/>
        <item x="315"/>
        <item x="284"/>
        <item x="254"/>
        <item x="102"/>
        <item x="224"/>
        <item x="346"/>
        <item x="42"/>
        <item x="11"/>
        <item x="193"/>
        <item x="163"/>
        <item x="132"/>
        <item x="71"/>
        <item x="316"/>
        <item x="285"/>
        <item x="255"/>
        <item x="103"/>
        <item x="225"/>
        <item x="347"/>
        <item x="43"/>
        <item x="12"/>
        <item x="194"/>
        <item x="164"/>
        <item x="133"/>
        <item x="72"/>
        <item x="317"/>
        <item x="286"/>
        <item x="256"/>
        <item x="104"/>
        <item x="226"/>
        <item x="348"/>
        <item x="44"/>
        <item x="13"/>
        <item x="195"/>
        <item x="165"/>
        <item x="134"/>
        <item x="73"/>
        <item x="318"/>
        <item x="287"/>
        <item x="257"/>
        <item x="105"/>
        <item x="227"/>
        <item x="349"/>
        <item x="45"/>
        <item x="14"/>
        <item x="196"/>
        <item x="166"/>
        <item x="135"/>
        <item x="74"/>
        <item x="319"/>
        <item x="288"/>
        <item x="258"/>
        <item x="106"/>
        <item x="228"/>
        <item x="350"/>
        <item x="46"/>
        <item x="15"/>
        <item x="197"/>
        <item x="167"/>
        <item x="136"/>
        <item x="75"/>
        <item x="320"/>
        <item x="289"/>
        <item x="259"/>
        <item x="107"/>
        <item x="229"/>
        <item x="351"/>
        <item x="47"/>
        <item x="16"/>
        <item x="198"/>
        <item x="168"/>
        <item x="137"/>
        <item x="76"/>
        <item x="321"/>
        <item x="290"/>
        <item x="260"/>
        <item x="108"/>
        <item x="230"/>
        <item x="352"/>
        <item x="48"/>
        <item x="17"/>
        <item x="199"/>
        <item x="169"/>
        <item x="138"/>
        <item x="77"/>
        <item x="322"/>
        <item x="291"/>
        <item x="261"/>
        <item x="109"/>
        <item x="231"/>
        <item x="353"/>
        <item x="49"/>
        <item x="18"/>
        <item x="200"/>
        <item x="170"/>
        <item x="139"/>
        <item x="78"/>
        <item x="323"/>
        <item x="292"/>
        <item x="262"/>
        <item x="110"/>
        <item x="232"/>
        <item x="354"/>
        <item x="50"/>
        <item x="19"/>
        <item x="201"/>
        <item x="171"/>
        <item x="140"/>
        <item x="79"/>
        <item x="324"/>
        <item x="293"/>
        <item x="263"/>
        <item x="111"/>
        <item x="233"/>
        <item x="355"/>
        <item x="51"/>
        <item x="20"/>
        <item x="202"/>
        <item x="172"/>
        <item x="141"/>
        <item x="80"/>
        <item x="325"/>
        <item x="294"/>
        <item x="264"/>
        <item x="112"/>
        <item x="234"/>
        <item x="356"/>
        <item x="52"/>
        <item x="21"/>
        <item x="203"/>
        <item x="173"/>
        <item x="142"/>
        <item x="81"/>
        <item x="326"/>
        <item x="295"/>
        <item x="265"/>
        <item x="113"/>
        <item x="235"/>
        <item x="357"/>
        <item x="53"/>
        <item x="22"/>
        <item x="204"/>
        <item x="174"/>
        <item x="143"/>
        <item x="82"/>
        <item x="327"/>
        <item x="296"/>
        <item x="266"/>
        <item x="114"/>
        <item x="236"/>
        <item x="358"/>
        <item x="54"/>
        <item x="23"/>
        <item x="205"/>
        <item x="175"/>
        <item x="144"/>
        <item x="83"/>
        <item x="328"/>
        <item x="297"/>
        <item x="267"/>
        <item x="115"/>
        <item x="237"/>
        <item x="359"/>
        <item x="55"/>
        <item x="24"/>
        <item x="206"/>
        <item x="176"/>
        <item x="145"/>
        <item x="84"/>
        <item x="329"/>
        <item x="298"/>
        <item x="268"/>
        <item x="116"/>
        <item x="238"/>
        <item x="360"/>
        <item x="56"/>
        <item x="25"/>
        <item x="207"/>
        <item x="177"/>
        <item x="146"/>
        <item x="85"/>
        <item x="330"/>
        <item x="299"/>
        <item x="269"/>
        <item x="117"/>
        <item x="239"/>
        <item x="361"/>
        <item x="57"/>
        <item x="26"/>
        <item x="208"/>
        <item x="178"/>
        <item x="147"/>
        <item x="86"/>
        <item x="331"/>
        <item x="300"/>
        <item x="270"/>
        <item x="118"/>
        <item x="240"/>
        <item x="362"/>
        <item x="58"/>
        <item x="27"/>
        <item x="209"/>
        <item x="179"/>
        <item x="148"/>
        <item x="87"/>
        <item x="332"/>
        <item x="301"/>
        <item x="271"/>
        <item x="119"/>
        <item x="241"/>
        <item x="363"/>
        <item x="59"/>
        <item x="28"/>
        <item x="210"/>
        <item x="180"/>
        <item x="149"/>
        <item x="88"/>
        <item x="333"/>
        <item x="302"/>
        <item x="272"/>
        <item x="120"/>
        <item x="242"/>
        <item x="364"/>
        <item x="60"/>
        <item x="29"/>
        <item x="211"/>
        <item x="181"/>
        <item x="150"/>
        <item x="89"/>
        <item x="334"/>
        <item x="303"/>
        <item x="273"/>
        <item x="121"/>
        <item x="243"/>
        <item x="365"/>
        <item x="30"/>
        <item x="212"/>
        <item x="182"/>
        <item x="151"/>
        <item x="90"/>
        <item x="335"/>
        <item x="304"/>
        <item x="274"/>
        <item x="244"/>
        <item x="366"/>
        <item x="31"/>
        <item x="213"/>
        <item x="152"/>
        <item x="91"/>
        <item x="305"/>
      </items>
    </pivotField>
    <pivotField compact="0" outline="0" showAll="0" defaultSubtotal="0"/>
    <pivotField axis="axisPage" compact="0" outline="0" multipleItemSelectionAllowed="1" showAll="0" defaultSubtotal="0">
      <items count="38">
        <item x="15"/>
        <item h="1" x="1"/>
        <item h="1" x="2"/>
        <item h="1" x="5"/>
        <item h="1" x="6"/>
        <item h="1" x="7"/>
        <item h="1" x="8"/>
        <item h="1" x="16"/>
        <item h="1" x="9"/>
        <item h="1" x="14"/>
        <item h="1" x="13"/>
        <item h="1" x="12"/>
        <item h="1" x="24"/>
        <item h="1" x="4"/>
        <item h="1" x="20"/>
        <item h="1" x="19"/>
        <item h="1" x="18"/>
        <item h="1" x="25"/>
        <item h="1" x="21"/>
        <item h="1" x="28"/>
        <item h="1" x="17"/>
        <item h="1" x="30"/>
        <item h="1" x="26"/>
        <item h="1" x="22"/>
        <item h="1" x="29"/>
        <item h="1" x="3"/>
        <item h="1" x="11"/>
        <item h="1" x="0"/>
        <item h="1" x="27"/>
        <item h="1" x="10"/>
        <item x="33"/>
        <item h="1" x="23"/>
        <item h="1" x="31"/>
        <item h="1" x="32"/>
        <item h="1" x="35"/>
        <item h="1" x="36"/>
        <item h="1" x="34"/>
        <item h="1" x="37"/>
      </items>
    </pivotField>
    <pivotField compact="0" outline="0" showAll="0" defaultSubtotal="0"/>
    <pivotField compact="0" outline="0" showAll="0" defaultSubtotal="0"/>
    <pivotField compact="0" outline="0" showAll="0" defaultSubtotal="0"/>
    <pivotField name="Prémios/Menções" compact="0" outline="0" showAll="0" defaultSubtotal="0"/>
    <pivotField compact="0" outline="0" multipleItemSelectionAllowed="1" showAll="0" defaultSubtotal="0"/>
    <pivotField compact="0" outline="0" showAll="0" defaultSubtotal="0"/>
    <pivotField axis="axisPage" compact="0" outline="0" multipleItemSelectionAllowed="1" showAll="0" defaultSubtotal="0">
      <items count="2">
        <item x="1"/>
        <item h="1" x="0"/>
      </items>
    </pivotField>
    <pivotField axis="axisRow" compact="0" outline="0" showAll="0" defaultSubtotal="0">
      <items count="18">
        <item x="7"/>
        <item x="13"/>
        <item x="5"/>
        <item x="0"/>
        <item x="1"/>
        <item x="2"/>
        <item x="4"/>
        <item x="6"/>
        <item x="9"/>
        <item x="10"/>
        <item x="11"/>
        <item x="14"/>
        <item x="15"/>
        <item x="16"/>
        <item x="17"/>
        <item x="8"/>
        <item x="3"/>
        <item x="12"/>
      </items>
    </pivotField>
    <pivotField axis="axisRow" compact="0" outline="0" showAll="0" sortType="ascending" defaultSubtotal="0">
      <items count="2162">
        <item x="887"/>
        <item x="888"/>
        <item x="889"/>
        <item x="890"/>
        <item x="1628"/>
        <item x="3"/>
        <item x="891"/>
        <item x="4"/>
        <item x="892"/>
        <item x="886"/>
        <item x="893"/>
        <item x="5"/>
        <item x="894"/>
        <item x="2"/>
        <item x="895"/>
        <item x="896"/>
        <item x="1629"/>
        <item x="884"/>
        <item x="1626"/>
        <item x="6"/>
        <item x="897"/>
        <item x="1625"/>
        <item x="7"/>
        <item x="898"/>
        <item x="885"/>
        <item x="1630"/>
        <item x="1631"/>
        <item x="899"/>
        <item x="1632"/>
        <item x="900"/>
        <item x="8"/>
        <item x="0"/>
        <item x="9"/>
        <item x="1633"/>
        <item x="10"/>
        <item x="901"/>
        <item x="11"/>
        <item x="1"/>
        <item x="12"/>
        <item x="902"/>
        <item x="1627"/>
        <item x="13"/>
        <item x="14"/>
        <item x="903"/>
        <item x="1634"/>
        <item x="904"/>
        <item x="905"/>
        <item x="15"/>
        <item x="1635"/>
        <item x="16"/>
        <item x="1636"/>
        <item x="17"/>
        <item x="1637"/>
        <item x="906"/>
        <item x="1638"/>
        <item x="18"/>
        <item x="907"/>
        <item x="908"/>
        <item x="19"/>
        <item x="20"/>
        <item x="21"/>
        <item x="909"/>
        <item x="1639"/>
        <item x="910"/>
        <item x="22"/>
        <item x="911"/>
        <item x="912"/>
        <item x="23"/>
        <item x="914"/>
        <item x="915"/>
        <item x="24"/>
        <item x="916"/>
        <item x="913"/>
        <item x="1640"/>
        <item x="1641"/>
        <item x="25"/>
        <item x="917"/>
        <item x="918"/>
        <item x="919"/>
        <item x="920"/>
        <item x="921"/>
        <item x="922"/>
        <item x="923"/>
        <item x="26"/>
        <item x="27"/>
        <item x="924"/>
        <item x="28"/>
        <item x="29"/>
        <item x="30"/>
        <item x="31"/>
        <item x="1642"/>
        <item x="32"/>
        <item x="1643"/>
        <item x="1644"/>
        <item x="33"/>
        <item x="925"/>
        <item x="34"/>
        <item x="926"/>
        <item x="1646"/>
        <item x="1645"/>
        <item x="35"/>
        <item x="927"/>
        <item x="928"/>
        <item x="36"/>
        <item x="37"/>
        <item x="929"/>
        <item x="1647"/>
        <item x="38"/>
        <item x="39"/>
        <item x="1648"/>
        <item x="930"/>
        <item x="1649"/>
        <item x="1650"/>
        <item x="931"/>
        <item x="40"/>
        <item x="41"/>
        <item x="932"/>
        <item x="933"/>
        <item x="934"/>
        <item x="1651"/>
        <item x="42"/>
        <item x="43"/>
        <item x="935"/>
        <item x="44"/>
        <item x="1652"/>
        <item x="45"/>
        <item x="1653"/>
        <item x="46"/>
        <item x="936"/>
        <item x="937"/>
        <item x="938"/>
        <item x="1654"/>
        <item x="47"/>
        <item x="48"/>
        <item x="939"/>
        <item x="49"/>
        <item x="50"/>
        <item x="51"/>
        <item x="52"/>
        <item x="53"/>
        <item x="1655"/>
        <item x="1656"/>
        <item x="1657"/>
        <item x="1658"/>
        <item x="1659"/>
        <item x="940"/>
        <item x="1660"/>
        <item x="1661"/>
        <item x="1662"/>
        <item x="1663"/>
        <item x="54"/>
        <item x="55"/>
        <item x="56"/>
        <item x="1664"/>
        <item x="1665"/>
        <item x="941"/>
        <item x="942"/>
        <item x="943"/>
        <item x="57"/>
        <item x="944"/>
        <item x="1666"/>
        <item x="945"/>
        <item x="58"/>
        <item x="946"/>
        <item x="59"/>
        <item x="60"/>
        <item x="947"/>
        <item x="1667"/>
        <item x="948"/>
        <item x="61"/>
        <item x="950"/>
        <item x="949"/>
        <item x="62"/>
        <item x="951"/>
        <item x="63"/>
        <item x="64"/>
        <item x="952"/>
        <item x="65"/>
        <item x="1668"/>
        <item x="1669"/>
        <item x="66"/>
        <item x="67"/>
        <item x="1670"/>
        <item x="68"/>
        <item x="953"/>
        <item x="954"/>
        <item x="69"/>
        <item x="70"/>
        <item x="71"/>
        <item x="1671"/>
        <item x="955"/>
        <item x="956"/>
        <item x="957"/>
        <item x="958"/>
        <item x="959"/>
        <item x="72"/>
        <item x="73"/>
        <item x="960"/>
        <item x="74"/>
        <item x="75"/>
        <item x="76"/>
        <item x="1672"/>
        <item x="77"/>
        <item x="78"/>
        <item x="1673"/>
        <item x="79"/>
        <item x="961"/>
        <item x="80"/>
        <item x="962"/>
        <item x="81"/>
        <item x="1674"/>
        <item x="963"/>
        <item x="82"/>
        <item x="1675"/>
        <item x="1676"/>
        <item x="964"/>
        <item x="83"/>
        <item x="965"/>
        <item x="84"/>
        <item x="85"/>
        <item x="966"/>
        <item x="1677"/>
        <item x="86"/>
        <item x="1678"/>
        <item x="1679"/>
        <item x="87"/>
        <item x="967"/>
        <item x="968"/>
        <item x="969"/>
        <item x="88"/>
        <item x="970"/>
        <item x="971"/>
        <item x="89"/>
        <item x="972"/>
        <item x="973"/>
        <item x="974"/>
        <item x="1680"/>
        <item x="90"/>
        <item x="975"/>
        <item x="1681"/>
        <item x="91"/>
        <item x="1682"/>
        <item x="976"/>
        <item x="977"/>
        <item x="92"/>
        <item x="1683"/>
        <item x="93"/>
        <item x="94"/>
        <item x="95"/>
        <item x="96"/>
        <item x="97"/>
        <item x="1684"/>
        <item x="98"/>
        <item x="99"/>
        <item x="100"/>
        <item x="978"/>
        <item x="101"/>
        <item x="103"/>
        <item x="102"/>
        <item x="104"/>
        <item x="105"/>
        <item x="106"/>
        <item x="1685"/>
        <item x="1686"/>
        <item x="1687"/>
        <item x="107"/>
        <item x="979"/>
        <item x="1688"/>
        <item x="1689"/>
        <item x="980"/>
        <item x="108"/>
        <item x="109"/>
        <item x="1690"/>
        <item x="981"/>
        <item x="1691"/>
        <item x="110"/>
        <item x="982"/>
        <item x="111"/>
        <item x="112"/>
        <item x="113"/>
        <item x="114"/>
        <item x="115"/>
        <item x="983"/>
        <item x="116"/>
        <item x="1692"/>
        <item x="117"/>
        <item x="118"/>
        <item x="1693"/>
        <item x="1694"/>
        <item x="119"/>
        <item x="984"/>
        <item x="985"/>
        <item x="120"/>
        <item x="121"/>
        <item x="986"/>
        <item x="1695"/>
        <item x="987"/>
        <item x="1696"/>
        <item x="988"/>
        <item x="122"/>
        <item x="123"/>
        <item x="124"/>
        <item x="1697"/>
        <item x="125"/>
        <item x="1699"/>
        <item x="1700"/>
        <item x="127"/>
        <item x="126"/>
        <item x="1698"/>
        <item x="128"/>
        <item x="989"/>
        <item x="129"/>
        <item x="130"/>
        <item x="990"/>
        <item x="991"/>
        <item x="131"/>
        <item x="132"/>
        <item x="133"/>
        <item x="1701"/>
        <item x="992"/>
        <item x="134"/>
        <item x="1702"/>
        <item x="1703"/>
        <item x="993"/>
        <item x="1704"/>
        <item x="1705"/>
        <item x="1706"/>
        <item x="1707"/>
        <item x="135"/>
        <item x="994"/>
        <item x="995"/>
        <item x="1708"/>
        <item x="136"/>
        <item x="137"/>
        <item x="138"/>
        <item x="1709"/>
        <item x="996"/>
        <item x="997"/>
        <item x="998"/>
        <item x="999"/>
        <item x="139"/>
        <item x="1000"/>
        <item x="1001"/>
        <item x="140"/>
        <item x="141"/>
        <item x="1710"/>
        <item x="1711"/>
        <item x="1712"/>
        <item x="144"/>
        <item x="143"/>
        <item x="142"/>
        <item x="1713"/>
        <item x="145"/>
        <item x="146"/>
        <item x="1002"/>
        <item x="1714"/>
        <item x="1715"/>
        <item x="147"/>
        <item x="148"/>
        <item x="1716"/>
        <item x="149"/>
        <item x="1003"/>
        <item x="150"/>
        <item x="151"/>
        <item x="1717"/>
        <item x="1004"/>
        <item x="152"/>
        <item x="1718"/>
        <item x="1719"/>
        <item x="1005"/>
        <item x="1006"/>
        <item x="1007"/>
        <item x="1008"/>
        <item x="1009"/>
        <item x="1010"/>
        <item x="1011"/>
        <item x="153"/>
        <item x="1012"/>
        <item x="1720"/>
        <item x="2155"/>
        <item x="154"/>
        <item x="1721"/>
        <item x="155"/>
        <item x="1013"/>
        <item x="156"/>
        <item x="1722"/>
        <item x="1723"/>
        <item x="157"/>
        <item x="1014"/>
        <item x="1015"/>
        <item x="158"/>
        <item x="1016"/>
        <item x="1724"/>
        <item x="159"/>
        <item x="1017"/>
        <item x="1725"/>
        <item x="160"/>
        <item x="1018"/>
        <item x="161"/>
        <item x="1019"/>
        <item x="162"/>
        <item x="1020"/>
        <item x="163"/>
        <item x="164"/>
        <item x="165"/>
        <item x="166"/>
        <item x="1021"/>
        <item x="167"/>
        <item x="168"/>
        <item x="1726"/>
        <item x="169"/>
        <item x="170"/>
        <item x="171"/>
        <item x="1727"/>
        <item x="172"/>
        <item x="1728"/>
        <item x="173"/>
        <item x="174"/>
        <item x="175"/>
        <item x="1022"/>
        <item x="1023"/>
        <item x="1024"/>
        <item x="1729"/>
        <item x="1025"/>
        <item x="176"/>
        <item x="1730"/>
        <item x="1026"/>
        <item x="177"/>
        <item x="1731"/>
        <item x="178"/>
        <item x="179"/>
        <item x="180"/>
        <item x="181"/>
        <item x="182"/>
        <item x="1027"/>
        <item x="1732"/>
        <item x="1028"/>
        <item x="183"/>
        <item x="184"/>
        <item x="1029"/>
        <item x="185"/>
        <item x="1030"/>
        <item x="1031"/>
        <item x="186"/>
        <item x="1733"/>
        <item x="1032"/>
        <item x="1734"/>
        <item x="1735"/>
        <item x="1033"/>
        <item x="1034"/>
        <item x="187"/>
        <item x="188"/>
        <item x="1736"/>
        <item x="1737"/>
        <item x="1738"/>
        <item x="189"/>
        <item x="190"/>
        <item x="191"/>
        <item x="1739"/>
        <item x="1740"/>
        <item x="192"/>
        <item x="1741"/>
        <item x="193"/>
        <item x="1742"/>
        <item x="1743"/>
        <item x="1035"/>
        <item x="194"/>
        <item x="195"/>
        <item x="1744"/>
        <item x="1036"/>
        <item x="1037"/>
        <item x="1745"/>
        <item x="196"/>
        <item x="197"/>
        <item x="198"/>
        <item x="1746"/>
        <item x="199"/>
        <item x="1747"/>
        <item x="1038"/>
        <item x="1039"/>
        <item x="1040"/>
        <item x="200"/>
        <item x="1041"/>
        <item x="1748"/>
        <item x="201"/>
        <item x="1749"/>
        <item x="202"/>
        <item x="1042"/>
        <item x="203"/>
        <item x="1750"/>
        <item x="1751"/>
        <item x="204"/>
        <item x="205"/>
        <item x="1043"/>
        <item x="1044"/>
        <item x="1752"/>
        <item x="206"/>
        <item x="1045"/>
        <item x="1753"/>
        <item x="1754"/>
        <item x="207"/>
        <item x="1046"/>
        <item x="208"/>
        <item x="1755"/>
        <item x="209"/>
        <item x="1047"/>
        <item x="1048"/>
        <item x="210"/>
        <item x="1049"/>
        <item x="211"/>
        <item x="1756"/>
        <item x="1757"/>
        <item x="1050"/>
        <item x="212"/>
        <item x="1758"/>
        <item x="1759"/>
        <item x="213"/>
        <item x="214"/>
        <item x="215"/>
        <item x="217"/>
        <item x="1051"/>
        <item x="1760"/>
        <item x="1052"/>
        <item x="1761"/>
        <item x="1053"/>
        <item x="216"/>
        <item x="1054"/>
        <item x="218"/>
        <item x="219"/>
        <item x="1055"/>
        <item x="1056"/>
        <item x="1057"/>
        <item x="220"/>
        <item x="1762"/>
        <item x="1763"/>
        <item x="1058"/>
        <item x="1059"/>
        <item x="1060"/>
        <item x="221"/>
        <item x="1764"/>
        <item x="1061"/>
        <item x="222"/>
        <item x="223"/>
        <item x="1765"/>
        <item x="224"/>
        <item x="225"/>
        <item x="226"/>
        <item x="227"/>
        <item x="1766"/>
        <item x="1767"/>
        <item x="228"/>
        <item x="1768"/>
        <item x="1062"/>
        <item x="1063"/>
        <item x="229"/>
        <item x="1769"/>
        <item x="1770"/>
        <item x="230"/>
        <item x="1064"/>
        <item x="231"/>
        <item x="1771"/>
        <item x="1066"/>
        <item x="1065"/>
        <item x="232"/>
        <item x="1772"/>
        <item x="1067"/>
        <item x="1773"/>
        <item x="233"/>
        <item x="1068"/>
        <item x="234"/>
        <item x="235"/>
        <item x="1069"/>
        <item x="1070"/>
        <item x="1071"/>
        <item x="1072"/>
        <item x="1774"/>
        <item x="1073"/>
        <item x="1074"/>
        <item x="236"/>
        <item x="237"/>
        <item x="238"/>
        <item x="239"/>
        <item x="240"/>
        <item x="1075"/>
        <item x="241"/>
        <item x="1775"/>
        <item x="242"/>
        <item x="1076"/>
        <item x="1077"/>
        <item x="1776"/>
        <item x="243"/>
        <item x="244"/>
        <item x="1078"/>
        <item x="1079"/>
        <item x="1080"/>
        <item x="1777"/>
        <item x="245"/>
        <item x="246"/>
        <item x="1778"/>
        <item x="247"/>
        <item x="248"/>
        <item x="249"/>
        <item x="250"/>
        <item x="251"/>
        <item x="1779"/>
        <item x="252"/>
        <item x="253"/>
        <item x="1081"/>
        <item x="254"/>
        <item x="1082"/>
        <item x="255"/>
        <item x="1780"/>
        <item x="256"/>
        <item x="257"/>
        <item x="1781"/>
        <item x="1083"/>
        <item x="1084"/>
        <item x="258"/>
        <item x="259"/>
        <item x="1085"/>
        <item x="1086"/>
        <item x="260"/>
        <item x="1782"/>
        <item x="1087"/>
        <item x="1088"/>
        <item x="261"/>
        <item x="1089"/>
        <item x="1090"/>
        <item x="1091"/>
        <item x="1783"/>
        <item x="1092"/>
        <item x="1784"/>
        <item x="1093"/>
        <item x="262"/>
        <item x="1094"/>
        <item x="1785"/>
        <item x="263"/>
        <item x="1786"/>
        <item x="264"/>
        <item x="1095"/>
        <item x="1787"/>
        <item x="265"/>
        <item x="1096"/>
        <item x="1788"/>
        <item x="266"/>
        <item x="1789"/>
        <item x="1790"/>
        <item x="1791"/>
        <item x="267"/>
        <item x="268"/>
        <item x="1097"/>
        <item x="1792"/>
        <item x="1793"/>
        <item x="1794"/>
        <item x="1795"/>
        <item x="1796"/>
        <item x="1797"/>
        <item x="269"/>
        <item x="1098"/>
        <item x="270"/>
        <item x="1099"/>
        <item x="1100"/>
        <item x="271"/>
        <item x="272"/>
        <item x="1101"/>
        <item x="273"/>
        <item x="1798"/>
        <item x="1799"/>
        <item x="1102"/>
        <item x="1103"/>
        <item x="1104"/>
        <item x="1105"/>
        <item x="1800"/>
        <item x="274"/>
        <item x="1106"/>
        <item x="275"/>
        <item x="276"/>
        <item x="1801"/>
        <item x="277"/>
        <item x="1107"/>
        <item x="278"/>
        <item x="279"/>
        <item x="280"/>
        <item x="281"/>
        <item x="282"/>
        <item x="283"/>
        <item x="1108"/>
        <item x="1109"/>
        <item x="1110"/>
        <item x="1111"/>
        <item x="284"/>
        <item x="285"/>
        <item x="286"/>
        <item x="1112"/>
        <item x="1802"/>
        <item x="1113"/>
        <item x="287"/>
        <item x="1114"/>
        <item x="2156"/>
        <item x="1803"/>
        <item x="288"/>
        <item x="1804"/>
        <item x="1805"/>
        <item x="1115"/>
        <item x="1116"/>
        <item x="1117"/>
        <item x="1807"/>
        <item x="1806"/>
        <item x="289"/>
        <item x="290"/>
        <item x="1808"/>
        <item x="291"/>
        <item x="292"/>
        <item x="1118"/>
        <item x="293"/>
        <item x="1119"/>
        <item x="294"/>
        <item x="1120"/>
        <item x="1809"/>
        <item x="1810"/>
        <item x="1121"/>
        <item x="1811"/>
        <item x="1122"/>
        <item x="1123"/>
        <item x="295"/>
        <item x="296"/>
        <item x="297"/>
        <item x="1124"/>
        <item x="298"/>
        <item x="299"/>
        <item x="1812"/>
        <item x="300"/>
        <item x="1125"/>
        <item x="301"/>
        <item x="302"/>
        <item x="1126"/>
        <item x="303"/>
        <item x="304"/>
        <item x="1813"/>
        <item x="1127"/>
        <item x="1128"/>
        <item x="305"/>
        <item x="1814"/>
        <item x="306"/>
        <item x="307"/>
        <item x="1129"/>
        <item x="1130"/>
        <item x="308"/>
        <item x="309"/>
        <item x="1131"/>
        <item x="310"/>
        <item x="1132"/>
        <item x="1133"/>
        <item x="1134"/>
        <item x="1135"/>
        <item x="1136"/>
        <item x="1815"/>
        <item x="311"/>
        <item x="1816"/>
        <item x="1817"/>
        <item x="1137"/>
        <item x="1818"/>
        <item x="1138"/>
        <item x="312"/>
        <item x="313"/>
        <item x="315"/>
        <item x="314"/>
        <item x="316"/>
        <item x="317"/>
        <item x="1139"/>
        <item x="318"/>
        <item x="1819"/>
        <item x="1140"/>
        <item x="319"/>
        <item x="320"/>
        <item x="1141"/>
        <item x="1142"/>
        <item x="1143"/>
        <item x="321"/>
        <item x="322"/>
        <item x="1820"/>
        <item x="323"/>
        <item x="1821"/>
        <item x="1144"/>
        <item x="324"/>
        <item x="325"/>
        <item x="1145"/>
        <item x="326"/>
        <item x="1146"/>
        <item x="1822"/>
        <item x="1823"/>
        <item x="1147"/>
        <item x="327"/>
        <item x="328"/>
        <item x="1148"/>
        <item x="1824"/>
        <item x="1825"/>
        <item x="1149"/>
        <item x="1827"/>
        <item x="1826"/>
        <item x="1828"/>
        <item x="1829"/>
        <item x="1150"/>
        <item x="329"/>
        <item x="1151"/>
        <item x="1830"/>
        <item x="1152"/>
        <item x="330"/>
        <item x="1831"/>
        <item x="1154"/>
        <item x="1153"/>
        <item x="1155"/>
        <item x="331"/>
        <item x="1156"/>
        <item x="332"/>
        <item x="1157"/>
        <item x="1832"/>
        <item x="1158"/>
        <item x="1159"/>
        <item x="1160"/>
        <item x="333"/>
        <item x="334"/>
        <item x="1161"/>
        <item x="335"/>
        <item x="1162"/>
        <item x="1163"/>
        <item x="1833"/>
        <item x="1164"/>
        <item x="1165"/>
        <item x="1166"/>
        <item x="336"/>
        <item x="1167"/>
        <item x="337"/>
        <item x="1168"/>
        <item x="1169"/>
        <item x="1170"/>
        <item x="1171"/>
        <item x="1172"/>
        <item x="1173"/>
        <item x="339"/>
        <item x="340"/>
        <item x="338"/>
        <item x="341"/>
        <item x="1174"/>
        <item x="1175"/>
        <item x="342"/>
        <item x="343"/>
        <item x="1176"/>
        <item x="1834"/>
        <item x="1177"/>
        <item x="344"/>
        <item x="1178"/>
        <item x="345"/>
        <item x="1179"/>
        <item x="1835"/>
        <item x="1180"/>
        <item x="1181"/>
        <item x="1182"/>
        <item x="1183"/>
        <item x="1184"/>
        <item x="1185"/>
        <item x="346"/>
        <item x="347"/>
        <item x="348"/>
        <item x="1186"/>
        <item x="1836"/>
        <item x="1837"/>
        <item x="349"/>
        <item x="1838"/>
        <item x="1187"/>
        <item x="350"/>
        <item x="351"/>
        <item x="352"/>
        <item x="1188"/>
        <item x="1839"/>
        <item x="1840"/>
        <item x="353"/>
        <item x="1841"/>
        <item x="1842"/>
        <item x="1843"/>
        <item x="1189"/>
        <item x="1190"/>
        <item x="1844"/>
        <item x="1191"/>
        <item x="354"/>
        <item x="1192"/>
        <item x="1845"/>
        <item x="1846"/>
        <item x="355"/>
        <item x="1193"/>
        <item x="1194"/>
        <item x="356"/>
        <item x="1847"/>
        <item x="357"/>
        <item x="358"/>
        <item x="1848"/>
        <item x="1849"/>
        <item x="359"/>
        <item x="1195"/>
        <item x="360"/>
        <item x="361"/>
        <item x="1196"/>
        <item x="1197"/>
        <item x="362"/>
        <item x="363"/>
        <item x="364"/>
        <item x="1850"/>
        <item x="1851"/>
        <item x="365"/>
        <item x="366"/>
        <item x="367"/>
        <item x="368"/>
        <item x="369"/>
        <item x="1198"/>
        <item x="1852"/>
        <item x="1199"/>
        <item x="370"/>
        <item x="371"/>
        <item x="1853"/>
        <item x="1854"/>
        <item x="372"/>
        <item x="1855"/>
        <item x="1856"/>
        <item x="1857"/>
        <item x="373"/>
        <item x="1200"/>
        <item x="1858"/>
        <item x="374"/>
        <item x="1201"/>
        <item x="1202"/>
        <item x="375"/>
        <item x="376"/>
        <item x="1859"/>
        <item x="1860"/>
        <item x="377"/>
        <item x="1203"/>
        <item x="1204"/>
        <item x="378"/>
        <item x="1205"/>
        <item x="1861"/>
        <item x="1206"/>
        <item x="1862"/>
        <item x="380"/>
        <item x="381"/>
        <item x="382"/>
        <item x="1207"/>
        <item x="379"/>
        <item x="1863"/>
        <item x="1208"/>
        <item x="383"/>
        <item x="384"/>
        <item x="385"/>
        <item x="386"/>
        <item x="387"/>
        <item x="1209"/>
        <item x="388"/>
        <item x="1210"/>
        <item x="389"/>
        <item x="1864"/>
        <item x="390"/>
        <item x="391"/>
        <item x="1211"/>
        <item x="392"/>
        <item x="393"/>
        <item x="1212"/>
        <item x="394"/>
        <item x="395"/>
        <item x="1213"/>
        <item x="1214"/>
        <item x="1215"/>
        <item x="396"/>
        <item x="1865"/>
        <item x="1866"/>
        <item x="1216"/>
        <item x="397"/>
        <item x="1217"/>
        <item x="398"/>
        <item x="399"/>
        <item x="400"/>
        <item x="1867"/>
        <item x="401"/>
        <item x="1218"/>
        <item x="402"/>
        <item x="403"/>
        <item x="404"/>
        <item x="1868"/>
        <item x="405"/>
        <item x="1869"/>
        <item x="406"/>
        <item x="407"/>
        <item x="1219"/>
        <item x="408"/>
        <item x="1220"/>
        <item x="409"/>
        <item x="1221"/>
        <item x="1222"/>
        <item x="1870"/>
        <item x="1223"/>
        <item x="1224"/>
        <item x="410"/>
        <item x="411"/>
        <item x="1225"/>
        <item x="1871"/>
        <item x="412"/>
        <item x="413"/>
        <item x="1872"/>
        <item x="414"/>
        <item x="415"/>
        <item x="416"/>
        <item x="418"/>
        <item x="417"/>
        <item x="1873"/>
        <item x="2157"/>
        <item x="1874"/>
        <item x="419"/>
        <item x="1226"/>
        <item x="420"/>
        <item x="1227"/>
        <item x="1875"/>
        <item x="1876"/>
        <item x="421"/>
        <item x="1877"/>
        <item x="1228"/>
        <item x="422"/>
        <item x="1878"/>
        <item x="1229"/>
        <item x="423"/>
        <item x="1230"/>
        <item x="424"/>
        <item x="1231"/>
        <item x="1879"/>
        <item x="425"/>
        <item x="1232"/>
        <item x="1234"/>
        <item x="1233"/>
        <item x="1235"/>
        <item x="426"/>
        <item x="1880"/>
        <item x="1881"/>
        <item x="1882"/>
        <item x="427"/>
        <item x="428"/>
        <item x="429"/>
        <item x="1236"/>
        <item x="430"/>
        <item x="431"/>
        <item x="1883"/>
        <item x="1237"/>
        <item x="432"/>
        <item x="1884"/>
        <item x="1238"/>
        <item x="1885"/>
        <item x="433"/>
        <item x="1886"/>
        <item x="1239"/>
        <item x="1240"/>
        <item x="434"/>
        <item x="435"/>
        <item x="436"/>
        <item x="1887"/>
        <item x="437"/>
        <item x="1241"/>
        <item x="438"/>
        <item x="1242"/>
        <item x="439"/>
        <item x="1243"/>
        <item x="1888"/>
        <item x="440"/>
        <item x="441"/>
        <item x="1889"/>
        <item x="442"/>
        <item x="1244"/>
        <item x="443"/>
        <item x="444"/>
        <item x="445"/>
        <item x="446"/>
        <item x="447"/>
        <item x="1245"/>
        <item x="1246"/>
        <item x="448"/>
        <item x="449"/>
        <item x="450"/>
        <item x="1247"/>
        <item x="451"/>
        <item x="1248"/>
        <item x="452"/>
        <item x="1249"/>
        <item x="1250"/>
        <item x="453"/>
        <item x="1890"/>
        <item x="454"/>
        <item x="1251"/>
        <item x="1891"/>
        <item x="1252"/>
        <item x="1253"/>
        <item x="1254"/>
        <item x="1255"/>
        <item x="1892"/>
        <item x="1893"/>
        <item x="1894"/>
        <item x="1256"/>
        <item x="1895"/>
        <item x="1257"/>
        <item x="1258"/>
        <item x="1259"/>
        <item x="1260"/>
        <item x="1261"/>
        <item x="455"/>
        <item x="1262"/>
        <item x="1263"/>
        <item x="1264"/>
        <item x="1896"/>
        <item x="456"/>
        <item x="457"/>
        <item x="1265"/>
        <item x="458"/>
        <item x="459"/>
        <item x="1266"/>
        <item x="1267"/>
        <item x="1897"/>
        <item x="1268"/>
        <item x="460"/>
        <item x="461"/>
        <item x="1269"/>
        <item x="1898"/>
        <item x="462"/>
        <item x="463"/>
        <item x="1270"/>
        <item x="1271"/>
        <item x="464"/>
        <item x="465"/>
        <item x="1272"/>
        <item x="1273"/>
        <item x="466"/>
        <item x="1274"/>
        <item x="1899"/>
        <item x="1900"/>
        <item x="1275"/>
        <item x="1276"/>
        <item x="467"/>
        <item x="1901"/>
        <item x="468"/>
        <item x="1277"/>
        <item x="469"/>
        <item x="1278"/>
        <item x="1902"/>
        <item x="1903"/>
        <item x="1904"/>
        <item x="470"/>
        <item x="1905"/>
        <item x="471"/>
        <item x="1279"/>
        <item x="1906"/>
        <item x="1907"/>
        <item x="1280"/>
        <item x="472"/>
        <item x="1908"/>
        <item x="473"/>
        <item x="1909"/>
        <item x="1281"/>
        <item x="474"/>
        <item x="475"/>
        <item x="476"/>
        <item x="1910"/>
        <item x="477"/>
        <item x="478"/>
        <item x="1911"/>
        <item x="1912"/>
        <item x="1282"/>
        <item x="1283"/>
        <item x="479"/>
        <item x="1284"/>
        <item x="480"/>
        <item x="481"/>
        <item x="1913"/>
        <item x="482"/>
        <item x="1285"/>
        <item x="1286"/>
        <item x="483"/>
        <item x="2158"/>
        <item x="1287"/>
        <item x="1914"/>
        <item x="1915"/>
        <item x="1288"/>
        <item x="1289"/>
        <item x="484"/>
        <item x="1916"/>
        <item x="1917"/>
        <item x="485"/>
        <item x="1918"/>
        <item x="1290"/>
        <item x="486"/>
        <item x="1291"/>
        <item x="487"/>
        <item x="488"/>
        <item x="489"/>
        <item x="1292"/>
        <item x="490"/>
        <item x="491"/>
        <item x="1293"/>
        <item x="492"/>
        <item x="493"/>
        <item x="1294"/>
        <item x="494"/>
        <item x="495"/>
        <item x="1919"/>
        <item x="496"/>
        <item x="497"/>
        <item x="498"/>
        <item x="499"/>
        <item x="1920"/>
        <item x="500"/>
        <item x="1295"/>
        <item x="1296"/>
        <item x="501"/>
        <item x="1297"/>
        <item x="502"/>
        <item x="1921"/>
        <item x="1922"/>
        <item x="1923"/>
        <item x="503"/>
        <item x="1924"/>
        <item x="1298"/>
        <item x="504"/>
        <item x="1299"/>
        <item x="505"/>
        <item x="1925"/>
        <item x="506"/>
        <item x="1926"/>
        <item x="1927"/>
        <item x="1300"/>
        <item x="1301"/>
        <item x="1302"/>
        <item x="507"/>
        <item x="1928"/>
        <item x="508"/>
        <item x="509"/>
        <item x="510"/>
        <item x="511"/>
        <item x="512"/>
        <item x="513"/>
        <item x="514"/>
        <item x="515"/>
        <item x="516"/>
        <item x="1303"/>
        <item x="1304"/>
        <item x="517"/>
        <item x="1929"/>
        <item x="1305"/>
        <item x="1306"/>
        <item x="518"/>
        <item x="1930"/>
        <item x="519"/>
        <item x="520"/>
        <item x="521"/>
        <item x="1931"/>
        <item x="1307"/>
        <item x="1308"/>
        <item x="1309"/>
        <item x="1310"/>
        <item x="522"/>
        <item x="523"/>
        <item x="524"/>
        <item x="525"/>
        <item x="1311"/>
        <item x="1932"/>
        <item x="526"/>
        <item x="1933"/>
        <item x="1934"/>
        <item x="527"/>
        <item x="528"/>
        <item x="529"/>
        <item x="1312"/>
        <item x="530"/>
        <item x="531"/>
        <item x="1313"/>
        <item x="532"/>
        <item x="1314"/>
        <item x="1315"/>
        <item x="1316"/>
        <item x="2159"/>
        <item x="533"/>
        <item x="534"/>
        <item x="535"/>
        <item x="536"/>
        <item x="1317"/>
        <item x="537"/>
        <item x="538"/>
        <item x="1319"/>
        <item x="1318"/>
        <item x="1935"/>
        <item x="539"/>
        <item x="540"/>
        <item x="541"/>
        <item x="1320"/>
        <item x="1321"/>
        <item x="1322"/>
        <item x="1323"/>
        <item x="1324"/>
        <item x="1325"/>
        <item x="1326"/>
        <item x="1327"/>
        <item x="542"/>
        <item x="1936"/>
        <item x="543"/>
        <item x="1937"/>
        <item x="544"/>
        <item x="1328"/>
        <item x="545"/>
        <item x="1329"/>
        <item x="1938"/>
        <item x="1330"/>
        <item x="546"/>
        <item x="1939"/>
        <item x="1940"/>
        <item x="1941"/>
        <item x="547"/>
        <item x="548"/>
        <item x="1942"/>
        <item x="1943"/>
        <item x="549"/>
        <item x="550"/>
        <item x="1331"/>
        <item x="551"/>
        <item x="1332"/>
        <item x="1944"/>
        <item x="1333"/>
        <item x="552"/>
        <item x="1334"/>
        <item x="553"/>
        <item x="554"/>
        <item x="555"/>
        <item x="556"/>
        <item x="1336"/>
        <item x="557"/>
        <item x="558"/>
        <item x="559"/>
        <item x="1335"/>
        <item x="560"/>
        <item x="1945"/>
        <item x="1946"/>
        <item x="561"/>
        <item x="1337"/>
        <item x="1947"/>
        <item x="562"/>
        <item x="1338"/>
        <item x="563"/>
        <item x="564"/>
        <item x="1948"/>
        <item x="1949"/>
        <item x="1339"/>
        <item x="565"/>
        <item x="1340"/>
        <item x="566"/>
        <item x="1341"/>
        <item x="1950"/>
        <item x="1342"/>
        <item x="567"/>
        <item x="1951"/>
        <item x="568"/>
        <item x="569"/>
        <item x="1952"/>
        <item x="1343"/>
        <item x="570"/>
        <item x="1953"/>
        <item x="571"/>
        <item x="572"/>
        <item x="1344"/>
        <item x="573"/>
        <item x="1954"/>
        <item x="1955"/>
        <item x="1956"/>
        <item x="574"/>
        <item x="1345"/>
        <item x="1346"/>
        <item x="575"/>
        <item x="576"/>
        <item x="1957"/>
        <item x="1347"/>
        <item x="1348"/>
        <item x="1349"/>
        <item x="1350"/>
        <item x="577"/>
        <item x="1351"/>
        <item x="1958"/>
        <item x="578"/>
        <item x="1352"/>
        <item x="579"/>
        <item x="1353"/>
        <item x="580"/>
        <item x="1354"/>
        <item x="581"/>
        <item x="1959"/>
        <item x="582"/>
        <item x="1355"/>
        <item x="1356"/>
        <item x="1357"/>
        <item x="583"/>
        <item x="584"/>
        <item x="1358"/>
        <item x="1359"/>
        <item x="1360"/>
        <item x="1361"/>
        <item x="1362"/>
        <item x="1363"/>
        <item x="1364"/>
        <item x="1960"/>
        <item x="1961"/>
        <item x="1365"/>
        <item x="1962"/>
        <item x="585"/>
        <item x="586"/>
        <item x="1366"/>
        <item x="1367"/>
        <item x="1368"/>
        <item x="587"/>
        <item x="588"/>
        <item x="1369"/>
        <item x="1370"/>
        <item x="1371"/>
        <item x="1372"/>
        <item x="589"/>
        <item x="1373"/>
        <item x="1374"/>
        <item x="590"/>
        <item x="591"/>
        <item x="1375"/>
        <item x="1376"/>
        <item x="592"/>
        <item x="593"/>
        <item x="594"/>
        <item x="1377"/>
        <item x="1963"/>
        <item x="595"/>
        <item x="1964"/>
        <item x="596"/>
        <item x="597"/>
        <item x="598"/>
        <item x="1965"/>
        <item x="1378"/>
        <item x="1966"/>
        <item x="1379"/>
        <item x="599"/>
        <item x="600"/>
        <item x="1380"/>
        <item x="1381"/>
        <item x="1382"/>
        <item x="601"/>
        <item x="1383"/>
        <item x="1967"/>
        <item x="1968"/>
        <item x="602"/>
        <item x="603"/>
        <item x="604"/>
        <item x="605"/>
        <item x="1384"/>
        <item x="1386"/>
        <item x="606"/>
        <item x="1385"/>
        <item x="1387"/>
        <item x="1969"/>
        <item x="607"/>
        <item x="608"/>
        <item x="1970"/>
        <item x="1971"/>
        <item x="1972"/>
        <item x="609"/>
        <item x="1973"/>
        <item x="1388"/>
        <item x="1974"/>
        <item x="610"/>
        <item x="1389"/>
        <item x="1390"/>
        <item x="611"/>
        <item x="1391"/>
        <item x="612"/>
        <item x="613"/>
        <item x="1392"/>
        <item x="1393"/>
        <item x="1394"/>
        <item x="1395"/>
        <item x="1975"/>
        <item x="614"/>
        <item x="1976"/>
        <item x="1396"/>
        <item x="1977"/>
        <item x="1397"/>
        <item x="1398"/>
        <item x="615"/>
        <item x="616"/>
        <item x="1978"/>
        <item x="1399"/>
        <item x="617"/>
        <item x="618"/>
        <item x="619"/>
        <item x="1979"/>
        <item x="1400"/>
        <item x="1401"/>
        <item x="620"/>
        <item x="1980"/>
        <item x="621"/>
        <item x="622"/>
        <item x="1981"/>
        <item x="623"/>
        <item x="1982"/>
        <item x="1402"/>
        <item x="1983"/>
        <item x="1403"/>
        <item x="1404"/>
        <item x="1405"/>
        <item x="624"/>
        <item x="1406"/>
        <item x="1984"/>
        <item x="1985"/>
        <item x="625"/>
        <item x="626"/>
        <item x="1986"/>
        <item x="1987"/>
        <item x="627"/>
        <item x="1988"/>
        <item x="628"/>
        <item x="1989"/>
        <item x="629"/>
        <item x="630"/>
        <item x="631"/>
        <item x="1990"/>
        <item x="1991"/>
        <item x="632"/>
        <item x="1407"/>
        <item x="1992"/>
        <item x="633"/>
        <item x="1993"/>
        <item x="1408"/>
        <item x="1409"/>
        <item x="634"/>
        <item x="1994"/>
        <item x="1410"/>
        <item x="635"/>
        <item x="1411"/>
        <item x="1995"/>
        <item x="1412"/>
        <item x="636"/>
        <item x="1413"/>
        <item x="637"/>
        <item x="638"/>
        <item x="639"/>
        <item x="1996"/>
        <item x="1414"/>
        <item x="1997"/>
        <item x="1415"/>
        <item x="1998"/>
        <item x="1416"/>
        <item x="1417"/>
        <item x="640"/>
        <item x="641"/>
        <item x="1999"/>
        <item x="642"/>
        <item x="1418"/>
        <item x="2000"/>
        <item x="2001"/>
        <item x="2002"/>
        <item x="1419"/>
        <item x="2003"/>
        <item x="2004"/>
        <item x="643"/>
        <item x="1420"/>
        <item x="2005"/>
        <item x="644"/>
        <item x="645"/>
        <item x="1421"/>
        <item x="646"/>
        <item x="1422"/>
        <item x="2006"/>
        <item x="647"/>
        <item x="648"/>
        <item x="2007"/>
        <item x="1423"/>
        <item x="2008"/>
        <item x="1424"/>
        <item x="649"/>
        <item x="650"/>
        <item x="651"/>
        <item x="1425"/>
        <item x="1427"/>
        <item x="1426"/>
        <item x="652"/>
        <item x="653"/>
        <item x="2009"/>
        <item x="1428"/>
        <item x="1429"/>
        <item x="654"/>
        <item x="1430"/>
        <item x="655"/>
        <item x="656"/>
        <item x="1431"/>
        <item x="1432"/>
        <item x="1433"/>
        <item x="657"/>
        <item x="658"/>
        <item x="1434"/>
        <item x="1435"/>
        <item x="1436"/>
        <item x="659"/>
        <item x="1437"/>
        <item x="660"/>
        <item x="2010"/>
        <item x="2011"/>
        <item x="2012"/>
        <item x="1438"/>
        <item x="1439"/>
        <item x="1440"/>
        <item x="661"/>
        <item x="1441"/>
        <item x="1442"/>
        <item x="1443"/>
        <item x="1444"/>
        <item x="1445"/>
        <item x="662"/>
        <item x="1446"/>
        <item x="663"/>
        <item x="2013"/>
        <item x="664"/>
        <item x="665"/>
        <item x="2014"/>
        <item x="1447"/>
        <item x="666"/>
        <item x="667"/>
        <item x="668"/>
        <item x="1448"/>
        <item x="669"/>
        <item x="1449"/>
        <item x="1450"/>
        <item x="2015"/>
        <item x="670"/>
        <item x="1451"/>
        <item x="1452"/>
        <item x="2016"/>
        <item x="1453"/>
        <item x="2017"/>
        <item x="671"/>
        <item x="1454"/>
        <item x="2018"/>
        <item x="672"/>
        <item x="673"/>
        <item x="674"/>
        <item x="675"/>
        <item x="2019"/>
        <item x="2020"/>
        <item x="1455"/>
        <item x="676"/>
        <item x="1456"/>
        <item x="2021"/>
        <item x="1457"/>
        <item x="1458"/>
        <item x="1459"/>
        <item x="2022"/>
        <item x="1460"/>
        <item x="1461"/>
        <item x="677"/>
        <item x="678"/>
        <item x="1462"/>
        <item x="679"/>
        <item x="680"/>
        <item x="681"/>
        <item x="1463"/>
        <item x="2023"/>
        <item x="2024"/>
        <item x="2025"/>
        <item x="682"/>
        <item x="1464"/>
        <item x="683"/>
        <item x="2026"/>
        <item x="684"/>
        <item x="685"/>
        <item x="1465"/>
        <item x="1466"/>
        <item x="2027"/>
        <item x="686"/>
        <item x="1467"/>
        <item x="1468"/>
        <item x="1469"/>
        <item x="687"/>
        <item x="1470"/>
        <item x="1471"/>
        <item x="688"/>
        <item x="1472"/>
        <item x="1473"/>
        <item x="689"/>
        <item x="2028"/>
        <item x="1474"/>
        <item x="2029"/>
        <item x="690"/>
        <item x="2030"/>
        <item x="691"/>
        <item x="1475"/>
        <item x="1476"/>
        <item x="1477"/>
        <item x="692"/>
        <item x="2031"/>
        <item x="693"/>
        <item x="694"/>
        <item x="696"/>
        <item x="695"/>
        <item x="1478"/>
        <item x="2032"/>
        <item x="1479"/>
        <item x="1480"/>
        <item x="697"/>
        <item x="699"/>
        <item x="698"/>
        <item x="700"/>
        <item x="1481"/>
        <item x="1482"/>
        <item x="1483"/>
        <item x="701"/>
        <item x="702"/>
        <item x="1484"/>
        <item x="703"/>
        <item x="2033"/>
        <item x="1485"/>
        <item x="704"/>
        <item x="705"/>
        <item x="706"/>
        <item x="2034"/>
        <item x="2035"/>
        <item x="707"/>
        <item x="2036"/>
        <item x="2037"/>
        <item x="708"/>
        <item x="2038"/>
        <item x="709"/>
        <item x="710"/>
        <item x="1486"/>
        <item x="2039"/>
        <item x="1487"/>
        <item x="2040"/>
        <item x="1488"/>
        <item x="1489"/>
        <item x="711"/>
        <item x="712"/>
        <item x="1490"/>
        <item x="1491"/>
        <item x="713"/>
        <item x="1492"/>
        <item x="1493"/>
        <item x="2041"/>
        <item x="2042"/>
        <item x="714"/>
        <item x="1494"/>
        <item x="715"/>
        <item x="2043"/>
        <item x="2044"/>
        <item x="2045"/>
        <item x="2046"/>
        <item x="2047"/>
        <item x="716"/>
        <item x="717"/>
        <item x="718"/>
        <item x="2048"/>
        <item x="1495"/>
        <item x="2049"/>
        <item x="1496"/>
        <item x="2050"/>
        <item x="2051"/>
        <item x="1497"/>
        <item x="719"/>
        <item x="720"/>
        <item x="721"/>
        <item x="722"/>
        <item x="2052"/>
        <item x="723"/>
        <item x="724"/>
        <item x="1498"/>
        <item x="725"/>
        <item x="2053"/>
        <item x="2054"/>
        <item x="726"/>
        <item x="727"/>
        <item x="1499"/>
        <item x="1500"/>
        <item x="1501"/>
        <item x="728"/>
        <item x="729"/>
        <item x="2055"/>
        <item x="2056"/>
        <item x="730"/>
        <item x="1502"/>
        <item x="1503"/>
        <item x="2057"/>
        <item x="731"/>
        <item x="1504"/>
        <item x="732"/>
        <item x="2058"/>
        <item x="733"/>
        <item x="734"/>
        <item x="1505"/>
        <item x="735"/>
        <item x="2059"/>
        <item x="1506"/>
        <item x="1507"/>
        <item x="2060"/>
        <item x="736"/>
        <item x="737"/>
        <item x="2061"/>
        <item x="738"/>
        <item x="739"/>
        <item x="740"/>
        <item x="2062"/>
        <item x="2160"/>
        <item x="1508"/>
        <item x="2063"/>
        <item x="1509"/>
        <item x="741"/>
        <item x="2064"/>
        <item x="1510"/>
        <item x="2065"/>
        <item x="1511"/>
        <item x="2066"/>
        <item x="2067"/>
        <item x="1513"/>
        <item x="1512"/>
        <item x="1514"/>
        <item x="1515"/>
        <item x="2068"/>
        <item x="2069"/>
        <item x="1516"/>
        <item x="742"/>
        <item x="2070"/>
        <item x="2071"/>
        <item x="1517"/>
        <item x="2072"/>
        <item x="1518"/>
        <item x="743"/>
        <item x="1519"/>
        <item x="744"/>
        <item x="745"/>
        <item x="746"/>
        <item x="747"/>
        <item x="1520"/>
        <item x="748"/>
        <item x="1521"/>
        <item x="749"/>
        <item x="1522"/>
        <item x="750"/>
        <item x="751"/>
        <item x="752"/>
        <item x="753"/>
        <item x="2073"/>
        <item x="2074"/>
        <item x="2075"/>
        <item x="754"/>
        <item x="755"/>
        <item x="2076"/>
        <item x="756"/>
        <item x="757"/>
        <item x="2077"/>
        <item x="1523"/>
        <item x="758"/>
        <item x="1524"/>
        <item x="1525"/>
        <item x="1526"/>
        <item x="759"/>
        <item x="760"/>
        <item x="761"/>
        <item x="2078"/>
        <item x="1527"/>
        <item x="762"/>
        <item x="2079"/>
        <item x="763"/>
        <item x="764"/>
        <item x="2080"/>
        <item x="1528"/>
        <item x="2081"/>
        <item x="765"/>
        <item x="1529"/>
        <item x="2082"/>
        <item x="2083"/>
        <item x="766"/>
        <item x="2084"/>
        <item x="1530"/>
        <item x="767"/>
        <item x="2085"/>
        <item x="768"/>
        <item x="769"/>
        <item x="1531"/>
        <item x="1532"/>
        <item x="1533"/>
        <item x="2086"/>
        <item x="2087"/>
        <item x="770"/>
        <item x="2088"/>
        <item x="1534"/>
        <item x="771"/>
        <item x="1535"/>
        <item x="1536"/>
        <item x="1537"/>
        <item x="1538"/>
        <item x="1539"/>
        <item x="772"/>
        <item x="773"/>
        <item x="774"/>
        <item x="2089"/>
        <item x="775"/>
        <item x="1540"/>
        <item x="776"/>
        <item x="1541"/>
        <item x="1542"/>
        <item x="777"/>
        <item x="2090"/>
        <item x="2091"/>
        <item x="778"/>
        <item x="779"/>
        <item x="2092"/>
        <item x="2093"/>
        <item x="1543"/>
        <item x="1544"/>
        <item x="2094"/>
        <item x="780"/>
        <item x="1545"/>
        <item x="1546"/>
        <item x="2161"/>
        <item x="781"/>
        <item x="782"/>
        <item x="783"/>
        <item x="2095"/>
        <item x="784"/>
        <item x="2096"/>
        <item x="785"/>
        <item x="786"/>
        <item x="1547"/>
        <item x="2097"/>
        <item x="787"/>
        <item x="1548"/>
        <item x="788"/>
        <item x="789"/>
        <item x="1549"/>
        <item x="1550"/>
        <item x="1551"/>
        <item x="790"/>
        <item x="791"/>
        <item x="1552"/>
        <item x="792"/>
        <item x="2098"/>
        <item x="793"/>
        <item x="1553"/>
        <item x="794"/>
        <item x="795"/>
        <item x="2099"/>
        <item x="2100"/>
        <item x="796"/>
        <item x="797"/>
        <item x="2101"/>
        <item x="798"/>
        <item x="2102"/>
        <item x="2103"/>
        <item x="1554"/>
        <item x="799"/>
        <item x="1555"/>
        <item x="1556"/>
        <item x="800"/>
        <item x="1557"/>
        <item x="801"/>
        <item x="2104"/>
        <item x="1558"/>
        <item x="1559"/>
        <item x="2105"/>
        <item x="802"/>
        <item x="1560"/>
        <item x="1561"/>
        <item x="803"/>
        <item x="804"/>
        <item x="1562"/>
        <item x="805"/>
        <item x="806"/>
        <item x="807"/>
        <item x="808"/>
        <item x="809"/>
        <item x="2106"/>
        <item x="1563"/>
        <item x="810"/>
        <item x="2107"/>
        <item x="2108"/>
        <item x="1564"/>
        <item x="811"/>
        <item x="812"/>
        <item x="813"/>
        <item x="1565"/>
        <item x="1566"/>
        <item x="814"/>
        <item x="1567"/>
        <item x="2109"/>
        <item x="2110"/>
        <item x="2111"/>
        <item x="815"/>
        <item x="816"/>
        <item x="1568"/>
        <item x="2112"/>
        <item x="817"/>
        <item x="1569"/>
        <item x="2113"/>
        <item x="818"/>
        <item x="2114"/>
        <item x="1570"/>
        <item x="1571"/>
        <item x="2115"/>
        <item x="1572"/>
        <item x="819"/>
        <item x="820"/>
        <item x="2116"/>
        <item x="1573"/>
        <item x="1574"/>
        <item x="2117"/>
        <item x="1575"/>
        <item x="821"/>
        <item x="822"/>
        <item x="823"/>
        <item x="2118"/>
        <item x="1576"/>
        <item x="2119"/>
        <item x="824"/>
        <item x="1578"/>
        <item x="1577"/>
        <item x="825"/>
        <item x="1579"/>
        <item x="826"/>
        <item x="827"/>
        <item x="1580"/>
        <item x="828"/>
        <item x="829"/>
        <item x="830"/>
        <item x="2120"/>
        <item x="831"/>
        <item x="832"/>
        <item x="833"/>
        <item x="1581"/>
        <item x="834"/>
        <item x="2121"/>
        <item x="1582"/>
        <item x="835"/>
        <item x="1583"/>
        <item x="836"/>
        <item x="1584"/>
        <item x="837"/>
        <item x="1585"/>
        <item x="838"/>
        <item x="1586"/>
        <item x="839"/>
        <item x="2122"/>
        <item x="2123"/>
        <item x="840"/>
        <item x="1587"/>
        <item x="841"/>
        <item x="1588"/>
        <item x="2124"/>
        <item x="1589"/>
        <item x="1590"/>
        <item x="1591"/>
        <item x="1592"/>
        <item x="1593"/>
        <item x="842"/>
        <item x="1594"/>
        <item x="2125"/>
        <item x="843"/>
        <item x="1595"/>
        <item x="844"/>
        <item x="1596"/>
        <item x="2126"/>
        <item x="845"/>
        <item x="846"/>
        <item x="847"/>
        <item x="1597"/>
        <item x="848"/>
        <item x="1598"/>
        <item x="2127"/>
        <item x="2128"/>
        <item x="1599"/>
        <item x="849"/>
        <item x="1600"/>
        <item x="1601"/>
        <item x="850"/>
        <item x="2129"/>
        <item x="851"/>
        <item x="2130"/>
        <item x="852"/>
        <item x="2131"/>
        <item x="1602"/>
        <item x="853"/>
        <item x="854"/>
        <item x="1603"/>
        <item x="1604"/>
        <item x="855"/>
        <item x="856"/>
        <item x="857"/>
        <item x="858"/>
        <item x="1605"/>
        <item x="1606"/>
        <item x="859"/>
        <item x="860"/>
        <item x="2132"/>
        <item x="2133"/>
        <item x="2134"/>
        <item x="1607"/>
        <item x="2135"/>
        <item x="2136"/>
        <item x="2137"/>
        <item x="2138"/>
        <item x="861"/>
        <item x="862"/>
        <item x="863"/>
        <item x="1608"/>
        <item x="1609"/>
        <item x="2139"/>
        <item x="864"/>
        <item x="1610"/>
        <item x="2140"/>
        <item x="1611"/>
        <item x="1612"/>
        <item x="1613"/>
        <item x="865"/>
        <item x="1614"/>
        <item x="2141"/>
        <item x="2142"/>
        <item x="866"/>
        <item x="867"/>
        <item x="868"/>
        <item x="1615"/>
        <item x="869"/>
        <item x="870"/>
        <item x="1616"/>
        <item x="2143"/>
        <item x="871"/>
        <item x="872"/>
        <item x="1617"/>
        <item x="2144"/>
        <item x="2145"/>
        <item x="2146"/>
        <item x="2147"/>
        <item x="873"/>
        <item x="1618"/>
        <item x="2148"/>
        <item x="874"/>
        <item x="2149"/>
        <item x="1619"/>
        <item x="1620"/>
        <item x="875"/>
        <item x="2150"/>
        <item x="2151"/>
        <item x="876"/>
        <item x="1621"/>
        <item x="2152"/>
        <item x="877"/>
        <item x="2153"/>
        <item x="878"/>
        <item x="879"/>
        <item x="1622"/>
        <item x="880"/>
        <item x="881"/>
        <item x="2154"/>
        <item x="882"/>
        <item x="883"/>
        <item x="1623"/>
        <item x="1624"/>
      </items>
    </pivotField>
    <pivotField axis="axisRow" compact="0" outline="0" showAll="0" defaultSubtotal="0">
      <items count="79">
        <item x="0"/>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6"/>
        <item x="47"/>
        <item x="48"/>
        <item x="49"/>
        <item x="61"/>
        <item x="50"/>
        <item x="51"/>
        <item x="52"/>
        <item x="53"/>
        <item x="54"/>
        <item x="55"/>
        <item x="56"/>
        <item x="57"/>
        <item x="58"/>
        <item x="59"/>
        <item x="60"/>
        <item x="62"/>
        <item x="63"/>
        <item x="64"/>
        <item x="65"/>
        <item x="66"/>
        <item x="68"/>
        <item x="69"/>
        <item x="28"/>
        <item x="70"/>
        <item x="71"/>
        <item x="72"/>
        <item x="67"/>
        <item x="75"/>
        <item x="77"/>
        <item x="74"/>
        <item x="73"/>
        <item x="78"/>
        <item x="76"/>
      </items>
    </pivotField>
    <pivotField axis="axisRow" compact="0" outline="0" showAll="0" defaultSubtotal="0">
      <items count="743">
        <item x="512"/>
        <item x="73"/>
        <item x="306"/>
        <item x="444"/>
        <item x="371"/>
        <item x="126"/>
        <item x="250"/>
        <item x="310"/>
        <item x="68"/>
        <item x="18"/>
        <item x="221"/>
        <item x="69"/>
        <item x="182"/>
        <item x="46"/>
        <item x="476"/>
        <item x="321"/>
        <item x="315"/>
        <item x="462"/>
        <item x="522"/>
        <item x="53"/>
        <item x="128"/>
        <item x="278"/>
        <item x="136"/>
        <item x="234"/>
        <item x="201"/>
        <item x="214"/>
        <item x="16"/>
        <item x="135"/>
        <item x="58"/>
        <item x="80"/>
        <item x="70"/>
        <item x="400"/>
        <item x="32"/>
        <item x="208"/>
        <item x="271"/>
        <item x="257"/>
        <item x="55"/>
        <item x="313"/>
        <item x="127"/>
        <item x="203"/>
        <item x="76"/>
        <item x="303"/>
        <item x="19"/>
        <item x="12"/>
        <item x="500"/>
        <item x="25"/>
        <item x="173"/>
        <item x="477"/>
        <item x="335"/>
        <item x="148"/>
        <item x="519"/>
        <item x="485"/>
        <item x="79"/>
        <item x="26"/>
        <item x="88"/>
        <item x="185"/>
        <item x="172"/>
        <item x="365"/>
        <item x="376"/>
        <item x="44"/>
        <item x="220"/>
        <item x="288"/>
        <item x="499"/>
        <item x="169"/>
        <item x="425"/>
        <item x="331"/>
        <item x="103"/>
        <item x="47"/>
        <item x="398"/>
        <item x="397"/>
        <item x="516"/>
        <item x="74"/>
        <item x="283"/>
        <item x="202"/>
        <item x="141"/>
        <item x="151"/>
        <item x="210"/>
        <item x="265"/>
        <item x="494"/>
        <item x="118"/>
        <item x="213"/>
        <item x="390"/>
        <item x="482"/>
        <item x="147"/>
        <item x="164"/>
        <item x="72"/>
        <item x="64"/>
        <item x="112"/>
        <item x="9"/>
        <item x="124"/>
        <item x="13"/>
        <item x="83"/>
        <item x="178"/>
        <item x="297"/>
        <item x="117"/>
        <item x="231"/>
        <item x="471"/>
        <item x="142"/>
        <item x="45"/>
        <item x="232"/>
        <item x="489"/>
        <item x="122"/>
        <item x="451"/>
        <item x="309"/>
        <item x="295"/>
        <item x="115"/>
        <item x="184"/>
        <item x="307"/>
        <item x="153"/>
        <item x="101"/>
        <item x="249"/>
        <item x="81"/>
        <item x="60"/>
        <item x="369"/>
        <item x="440"/>
        <item x="517"/>
        <item x="421"/>
        <item x="121"/>
        <item x="527"/>
        <item x="6"/>
        <item x="109"/>
        <item x="327"/>
        <item x="217"/>
        <item x="24"/>
        <item x="258"/>
        <item x="205"/>
        <item x="107"/>
        <item x="363"/>
        <item x="10"/>
        <item x="330"/>
        <item x="59"/>
        <item x="21"/>
        <item x="102"/>
        <item x="195"/>
        <item x="23"/>
        <item x="180"/>
        <item x="291"/>
        <item x="137"/>
        <item x="92"/>
        <item x="100"/>
        <item x="483"/>
        <item x="525"/>
        <item x="1"/>
        <item x="29"/>
        <item x="396"/>
        <item x="82"/>
        <item x="411"/>
        <item x="366"/>
        <item x="166"/>
        <item x="37"/>
        <item x="179"/>
        <item x="359"/>
        <item x="27"/>
        <item x="91"/>
        <item x="85"/>
        <item x="323"/>
        <item x="368"/>
        <item x="348"/>
        <item x="159"/>
        <item x="197"/>
        <item x="61"/>
        <item x="230"/>
        <item x="110"/>
        <item x="163"/>
        <item x="382"/>
        <item x="262"/>
        <item x="123"/>
        <item x="347"/>
        <item x="464"/>
        <item x="420"/>
        <item x="22"/>
        <item x="191"/>
        <item x="196"/>
        <item x="75"/>
        <item x="176"/>
        <item x="380"/>
        <item x="430"/>
        <item x="209"/>
        <item x="515"/>
        <item x="189"/>
        <item x="244"/>
        <item x="87"/>
        <item x="468"/>
        <item x="486"/>
        <item x="322"/>
        <item x="272"/>
        <item x="311"/>
        <item x="119"/>
        <item x="526"/>
        <item x="215"/>
        <item x="143"/>
        <item x="199"/>
        <item x="170"/>
        <item x="36"/>
        <item x="78"/>
        <item x="194"/>
        <item x="34"/>
        <item x="116"/>
        <item x="133"/>
        <item x="138"/>
        <item x="3"/>
        <item x="161"/>
        <item x="388"/>
        <item x="157"/>
        <item x="8"/>
        <item x="139"/>
        <item x="375"/>
        <item x="171"/>
        <item x="140"/>
        <item x="418"/>
        <item x="111"/>
        <item x="413"/>
        <item x="2"/>
        <item x="204"/>
        <item x="71"/>
        <item x="337"/>
        <item x="200"/>
        <item x="225"/>
        <item x="334"/>
        <item x="453"/>
        <item x="49"/>
        <item x="40"/>
        <item x="174"/>
        <item x="20"/>
        <item x="381"/>
        <item x="240"/>
        <item x="233"/>
        <item x="449"/>
        <item x="242"/>
        <item x="193"/>
        <item x="443"/>
        <item x="52"/>
        <item x="57"/>
        <item x="149"/>
        <item x="14"/>
        <item x="43"/>
        <item x="518"/>
        <item x="93"/>
        <item x="56"/>
        <item x="466"/>
        <item x="459"/>
        <item x="270"/>
        <item x="66"/>
        <item x="65"/>
        <item x="218"/>
        <item x="339"/>
        <item x="63"/>
        <item x="370"/>
        <item x="293"/>
        <item x="239"/>
        <item x="266"/>
        <item x="490"/>
        <item x="342"/>
        <item x="386"/>
        <item x="105"/>
        <item x="35"/>
        <item x="374"/>
        <item x="419"/>
        <item x="4"/>
        <item x="211"/>
        <item x="154"/>
        <item x="175"/>
        <item x="372"/>
        <item x="467"/>
        <item x="276"/>
        <item x="162"/>
        <item x="336"/>
        <item x="77"/>
        <item x="394"/>
        <item x="329"/>
        <item x="125"/>
        <item x="108"/>
        <item x="405"/>
        <item x="38"/>
        <item x="192"/>
        <item x="145"/>
        <item x="144"/>
        <item x="186"/>
        <item x="198"/>
        <item x="473"/>
        <item x="252"/>
        <item x="351"/>
        <item x="491"/>
        <item x="426"/>
        <item x="377"/>
        <item x="228"/>
        <item x="417"/>
        <item x="501"/>
        <item x="222"/>
        <item x="362"/>
        <item x="407"/>
        <item x="285"/>
        <item x="399"/>
        <item x="226"/>
        <item x="263"/>
        <item x="319"/>
        <item x="458"/>
        <item x="316"/>
        <item x="216"/>
        <item x="498"/>
        <item x="298"/>
        <item x="253"/>
        <item x="427"/>
        <item x="223"/>
        <item x="402"/>
        <item x="261"/>
        <item x="510"/>
        <item x="513"/>
        <item x="357"/>
        <item n="Loup Argenté présenté par TFO: Meilleur Court Métrage de la Sélection Internationale_x000a_Sélection Internationale - Courts métrages: Éléments" x="495"/>
        <item x="432"/>
        <item x="478"/>
        <item x="269"/>
        <item x="243"/>
        <item x="507"/>
        <item x="284"/>
        <item x="301"/>
        <item x="268"/>
        <item x="447"/>
        <item x="470"/>
        <item x="287"/>
        <item x="367"/>
        <item x="404"/>
        <item x="296"/>
        <item x="456"/>
        <item x="403"/>
        <item x="237"/>
        <item x="290"/>
        <item x="304"/>
        <item x="354"/>
        <item x="379"/>
        <item x="446"/>
        <item x="455"/>
        <item x="318"/>
        <item x="492"/>
        <item x="247"/>
        <item x="360"/>
        <item x="305"/>
        <item x="352"/>
        <item x="308"/>
        <item x="454"/>
        <item x="436"/>
        <item x="241"/>
        <item x="281"/>
        <item x="259"/>
        <item x="254"/>
        <item x="328"/>
        <item x="493"/>
        <item x="429"/>
        <item x="251"/>
        <item x="350"/>
        <item x="521"/>
        <item x="523"/>
        <item x="469"/>
        <item x="353"/>
        <item x="524"/>
        <item x="445"/>
        <item x="475"/>
        <item x="355"/>
        <item x="255"/>
        <item x="414"/>
        <item x="415"/>
        <item x="511"/>
        <item x="509"/>
        <item x="520"/>
        <item x="224"/>
        <item x="479"/>
        <item x="437"/>
        <item x="391"/>
        <item x="280"/>
        <item x="227"/>
        <item x="333"/>
        <item x="256"/>
        <item x="267"/>
        <item x="431"/>
        <item x="387"/>
        <item x="438"/>
        <item x="410"/>
        <item x="219"/>
        <item x="395"/>
        <item x="457"/>
        <item x="480"/>
        <item x="294"/>
        <item x="506"/>
        <item x="383"/>
        <item x="356"/>
        <item x="384"/>
        <item x="409"/>
        <item x="428"/>
        <item x="448"/>
        <item x="472"/>
        <item x="508"/>
        <item x="502"/>
        <item x="452"/>
        <item x="279"/>
        <item x="245"/>
        <item x="246"/>
        <item x="264"/>
        <item x="439"/>
        <item x="441"/>
        <item x="442"/>
        <item x="660"/>
        <item x="669"/>
        <item x="711"/>
        <item x="532"/>
        <item x="713"/>
        <item x="717"/>
        <item x="720"/>
        <item x="707"/>
        <item x="652"/>
        <item x="687"/>
        <item x="671"/>
        <item n="Melhor Curta de Estudantes Portuguesa - Prémio FNAC_x000a_Competição Internacional Estudantes" x="597"/>
        <item x="697"/>
        <item x="627"/>
        <item x="641"/>
        <item x="582"/>
        <item x="530"/>
        <item x="553"/>
        <item x="598"/>
        <item x="563"/>
        <item x="666"/>
        <item x="668"/>
        <item x="628"/>
        <item x="629"/>
        <item x="634"/>
        <item x="621"/>
        <item x="646"/>
        <item x="704"/>
        <item x="684"/>
        <item x="533"/>
        <item x="735"/>
        <item x="546"/>
        <item x="552"/>
        <item x="554"/>
        <item x="576"/>
        <item x="585"/>
        <item x="625"/>
        <item x="655"/>
        <item x="709"/>
        <item x="631"/>
        <item x="531"/>
        <item x="580"/>
        <item x="691"/>
        <item x="734"/>
        <item x="705"/>
        <item x="620"/>
        <item x="649"/>
        <item x="712"/>
        <item x="661"/>
        <item x="630"/>
        <item x="659"/>
        <item x="545"/>
        <item x="542"/>
        <item x="534"/>
        <item x="603"/>
        <item x="672"/>
        <item x="564"/>
        <item x="699"/>
        <item x="708"/>
        <item x="565"/>
        <item x="632"/>
        <item x="674"/>
        <item x="568"/>
        <item x="616"/>
        <item x="610"/>
        <item x="626"/>
        <item x="701"/>
        <item x="703"/>
        <item x="706"/>
        <item x="738"/>
        <item x="567"/>
        <item x="570"/>
        <item x="606"/>
        <item x="638"/>
        <item x="714"/>
        <item x="589"/>
        <item x="579"/>
        <item x="540"/>
        <item x="549"/>
        <item x="556"/>
        <item x="561"/>
        <item x="562"/>
        <item x="578"/>
        <item x="611"/>
        <item x="622"/>
        <item x="653"/>
        <item x="658"/>
        <item x="690"/>
        <item x="716"/>
        <item x="664"/>
        <item x="586"/>
        <item x="740"/>
        <item x="605"/>
        <item x="584"/>
        <item x="688"/>
        <item x="591"/>
        <item x="693"/>
        <item x="572"/>
        <item x="675"/>
        <item x="604"/>
        <item x="583"/>
        <item x="644"/>
        <item x="696"/>
        <item x="30"/>
        <item x="617"/>
        <item x="663"/>
        <item x="650"/>
        <item x="609"/>
        <item x="662"/>
        <item x="624"/>
        <item x="651"/>
        <item x="557"/>
        <item x="727"/>
        <item x="618"/>
        <item x="575"/>
        <item x="587"/>
        <item x="657"/>
        <item x="592"/>
        <item x="590"/>
        <item x="593"/>
        <item x="639"/>
        <item x="537"/>
        <item x="544"/>
        <item x="550"/>
        <item x="679"/>
        <item x="680"/>
        <item x="718"/>
        <item x="729"/>
        <item x="685"/>
        <item x="648"/>
        <item x="694"/>
        <item x="731"/>
        <item x="647"/>
        <item x="559"/>
        <item x="588"/>
        <item x="566"/>
        <item x="728"/>
        <item x="732"/>
        <item x="665"/>
        <item x="656"/>
        <item x="692"/>
        <item x="730"/>
        <item x="543"/>
        <item x="695"/>
        <item x="555"/>
        <item x="645"/>
        <item x="689"/>
        <item x="528"/>
        <item x="569"/>
        <item x="594"/>
        <item x="619"/>
        <item x="640"/>
        <item x="702"/>
        <item x="733"/>
        <item x="722"/>
        <item x="724"/>
        <item x="682"/>
        <item x="681"/>
        <item x="541"/>
        <item x="737"/>
        <item x="0"/>
        <item x="5"/>
        <item x="7"/>
        <item x="11"/>
        <item x="15"/>
        <item x="17"/>
        <item x="28"/>
        <item x="31"/>
        <item x="33"/>
        <item x="39"/>
        <item x="41"/>
        <item x="42"/>
        <item x="48"/>
        <item x="50"/>
        <item x="51"/>
        <item x="54"/>
        <item x="62"/>
        <item x="67"/>
        <item x="84"/>
        <item x="86"/>
        <item x="89"/>
        <item x="90"/>
        <item x="94"/>
        <item x="95"/>
        <item x="96"/>
        <item x="97"/>
        <item x="98"/>
        <item x="99"/>
        <item x="104"/>
        <item x="106"/>
        <item x="113"/>
        <item x="114"/>
        <item x="120"/>
        <item x="129"/>
        <item x="130"/>
        <item x="131"/>
        <item x="132"/>
        <item x="134"/>
        <item x="146"/>
        <item x="150"/>
        <item x="152"/>
        <item x="155"/>
        <item x="156"/>
        <item x="158"/>
        <item x="160"/>
        <item x="165"/>
        <item x="167"/>
        <item x="168"/>
        <item x="177"/>
        <item x="181"/>
        <item x="183"/>
        <item x="187"/>
        <item x="188"/>
        <item x="190"/>
        <item x="206"/>
        <item x="207"/>
        <item x="212"/>
        <item x="229"/>
        <item x="235"/>
        <item x="236"/>
        <item x="238"/>
        <item x="248"/>
        <item x="260"/>
        <item x="273"/>
        <item x="274"/>
        <item x="275"/>
        <item x="277"/>
        <item x="282"/>
        <item x="286"/>
        <item x="289"/>
        <item x="292"/>
        <item x="299"/>
        <item x="300"/>
        <item x="302"/>
        <item x="312"/>
        <item x="314"/>
        <item x="317"/>
        <item x="320"/>
        <item x="324"/>
        <item x="325"/>
        <item x="326"/>
        <item x="332"/>
        <item x="341"/>
        <item x="343"/>
        <item x="344"/>
        <item x="345"/>
        <item x="346"/>
        <item x="349"/>
        <item x="358"/>
        <item x="361"/>
        <item x="364"/>
        <item x="373"/>
        <item x="378"/>
        <item x="385"/>
        <item x="389"/>
        <item x="392"/>
        <item x="393"/>
        <item x="401"/>
        <item x="406"/>
        <item x="408"/>
        <item x="412"/>
        <item x="416"/>
        <item x="422"/>
        <item x="423"/>
        <item x="424"/>
        <item x="433"/>
        <item x="434"/>
        <item x="435"/>
        <item x="450"/>
        <item x="460"/>
        <item x="461"/>
        <item x="463"/>
        <item x="465"/>
        <item x="474"/>
        <item x="484"/>
        <item x="487"/>
        <item x="488"/>
        <item x="496"/>
        <item x="503"/>
        <item x="504"/>
        <item x="505"/>
        <item x="529"/>
        <item x="536"/>
        <item x="538"/>
        <item x="539"/>
        <item x="547"/>
        <item x="548"/>
        <item x="551"/>
        <item x="560"/>
        <item x="571"/>
        <item x="573"/>
        <item x="574"/>
        <item x="577"/>
        <item x="581"/>
        <item x="595"/>
        <item x="596"/>
        <item x="600"/>
        <item x="601"/>
        <item x="602"/>
        <item x="607"/>
        <item x="608"/>
        <item x="615"/>
        <item x="623"/>
        <item x="633"/>
        <item x="635"/>
        <item x="636"/>
        <item x="637"/>
        <item x="642"/>
        <item x="643"/>
        <item x="654"/>
        <item x="667"/>
        <item x="670"/>
        <item x="673"/>
        <item x="676"/>
        <item x="677"/>
        <item x="678"/>
        <item x="683"/>
        <item x="686"/>
        <item x="698"/>
        <item x="700"/>
        <item x="710"/>
        <item x="719"/>
        <item x="721"/>
        <item x="723"/>
        <item x="725"/>
        <item x="726"/>
        <item x="739"/>
        <item x="715"/>
        <item x="340"/>
        <item x="514"/>
        <item x="497"/>
        <item x="338"/>
        <item x="481"/>
        <item x="613"/>
        <item x="614"/>
        <item x="612"/>
        <item x="535"/>
        <item x="599"/>
        <item x="558"/>
        <item x="742"/>
        <item x="741"/>
        <item x="736"/>
      </items>
    </pivotField>
    <pivotField compact="0" outline="0" showAll="0" defaultSubtotal="0"/>
    <pivotField axis="axisRow" compact="0" numFmtId="14" outline="0" showAll="0" sortType="ascending" defaultSubtotal="0">
      <items count="756">
        <item x="78"/>
        <item x="734"/>
        <item x="49"/>
        <item x="146"/>
        <item x="220"/>
        <item x="181"/>
        <item x="73"/>
        <item x="149"/>
        <item x="26"/>
        <item x="81"/>
        <item x="216"/>
        <item x="229"/>
        <item x="185"/>
        <item x="71"/>
        <item x="221"/>
        <item x="145"/>
        <item x="179"/>
        <item x="182"/>
        <item x="218"/>
        <item x="195"/>
        <item x="180"/>
        <item x="58"/>
        <item x="1"/>
        <item x="57"/>
        <item x="196"/>
        <item x="121"/>
        <item x="190"/>
        <item x="130"/>
        <item x="192"/>
        <item x="158"/>
        <item x="123"/>
        <item x="27"/>
        <item x="223"/>
        <item x="219"/>
        <item x="177"/>
        <item x="28"/>
        <item x="107"/>
        <item x="24"/>
        <item x="147"/>
        <item x="2"/>
        <item x="29"/>
        <item x="3"/>
        <item x="115"/>
        <item x="30"/>
        <item x="125"/>
        <item x="141"/>
        <item x="202"/>
        <item x="164"/>
        <item x="116"/>
        <item x="225"/>
        <item x="126"/>
        <item x="178"/>
        <item x="56"/>
        <item x="131"/>
        <item x="4"/>
        <item x="59"/>
        <item x="5"/>
        <item x="82"/>
        <item x="74"/>
        <item x="112"/>
        <item x="213"/>
        <item x="6"/>
        <item x="18"/>
        <item x="152"/>
        <item x="97"/>
        <item x="153"/>
        <item x="31"/>
        <item x="42"/>
        <item x="174"/>
        <item x="104"/>
        <item x="162"/>
        <item x="75"/>
        <item x="98"/>
        <item x="43"/>
        <item x="60"/>
        <item x="197"/>
        <item x="113"/>
        <item x="203"/>
        <item x="175"/>
        <item x="61"/>
        <item x="62"/>
        <item x="100"/>
        <item x="167"/>
        <item x="63"/>
        <item x="132"/>
        <item x="95"/>
        <item x="173"/>
        <item x="32"/>
        <item x="159"/>
        <item x="193"/>
        <item x="7"/>
        <item x="101"/>
        <item x="50"/>
        <item x="51"/>
        <item x="33"/>
        <item x="150"/>
        <item x="226"/>
        <item x="44"/>
        <item x="90"/>
        <item x="161"/>
        <item x="76"/>
        <item x="89"/>
        <item x="105"/>
        <item x="8"/>
        <item x="9"/>
        <item x="64"/>
        <item x="224"/>
        <item x="160"/>
        <item x="83"/>
        <item x="117"/>
        <item x="140"/>
        <item x="142"/>
        <item x="109"/>
        <item x="52"/>
        <item x="47"/>
        <item x="176"/>
        <item x="227"/>
        <item x="48"/>
        <item x="110"/>
        <item x="157"/>
        <item x="200"/>
        <item x="128"/>
        <item x="143"/>
        <item x="134"/>
        <item x="228"/>
        <item x="171"/>
        <item x="144"/>
        <item x="37"/>
        <item x="129"/>
        <item x="68"/>
        <item x="111"/>
        <item x="102"/>
        <item x="65"/>
        <item x="154"/>
        <item x="84"/>
        <item x="53"/>
        <item x="204"/>
        <item x="194"/>
        <item x="45"/>
        <item x="54"/>
        <item x="21"/>
        <item x="55"/>
        <item x="19"/>
        <item x="46"/>
        <item x="133"/>
        <item x="163"/>
        <item x="106"/>
        <item x="168"/>
        <item x="22"/>
        <item x="114"/>
        <item x="10"/>
        <item x="11"/>
        <item x="35"/>
        <item x="12"/>
        <item x="211"/>
        <item x="169"/>
        <item x="155"/>
        <item x="187"/>
        <item x="138"/>
        <item x="119"/>
        <item x="217"/>
        <item x="201"/>
        <item x="136"/>
        <item x="205"/>
        <item x="189"/>
        <item x="165"/>
        <item x="77"/>
        <item x="206"/>
        <item x="79"/>
        <item x="94"/>
        <item x="137"/>
        <item x="172"/>
        <item x="122"/>
        <item x="156"/>
        <item x="103"/>
        <item x="184"/>
        <item x="214"/>
        <item x="85"/>
        <item x="207"/>
        <item x="23"/>
        <item x="127"/>
        <item x="139"/>
        <item x="166"/>
        <item x="80"/>
        <item x="39"/>
        <item x="210"/>
        <item x="66"/>
        <item x="0"/>
        <item x="208"/>
        <item x="13"/>
        <item x="188"/>
        <item x="120"/>
        <item x="70"/>
        <item x="99"/>
        <item x="69"/>
        <item x="25"/>
        <item x="40"/>
        <item x="20"/>
        <item x="67"/>
        <item x="72"/>
        <item x="86"/>
        <item x="230"/>
        <item x="41"/>
        <item x="186"/>
        <item x="170"/>
        <item x="212"/>
        <item x="34"/>
        <item x="92"/>
        <item x="14"/>
        <item x="183"/>
        <item x="36"/>
        <item x="93"/>
        <item x="38"/>
        <item x="15"/>
        <item x="209"/>
        <item x="16"/>
        <item x="108"/>
        <item x="91"/>
        <item x="215"/>
        <item x="88"/>
        <item x="151"/>
        <item x="17"/>
        <item x="124"/>
        <item x="87"/>
        <item x="148"/>
        <item x="191"/>
        <item x="198"/>
        <item x="96"/>
        <item x="222"/>
        <item x="135"/>
        <item x="399"/>
        <item x="316"/>
        <item x="432"/>
        <item x="361"/>
        <item x="459"/>
        <item x="462"/>
        <item x="400"/>
        <item x="322"/>
        <item x="463"/>
        <item x="474"/>
        <item x="434"/>
        <item x="431"/>
        <item x="291"/>
        <item x="483"/>
        <item x="315"/>
        <item x="249"/>
        <item x="384"/>
        <item x="263"/>
        <item x="273"/>
        <item x="271"/>
        <item x="352"/>
        <item x="357"/>
        <item x="390"/>
        <item x="235"/>
        <item x="375"/>
        <item x="292"/>
        <item x="401"/>
        <item x="476"/>
        <item x="461"/>
        <item x="299"/>
        <item x="245"/>
        <item x="244"/>
        <item x="414"/>
        <item x="402"/>
        <item x="478"/>
        <item x="270"/>
        <item x="391"/>
        <item x="247"/>
        <item x="426"/>
        <item x="258"/>
        <item x="409"/>
        <item x="318"/>
        <item x="302"/>
        <item x="396"/>
        <item x="425"/>
        <item x="371"/>
        <item x="403"/>
        <item x="300"/>
        <item x="310"/>
        <item x="366"/>
        <item x="317"/>
        <item x="344"/>
        <item x="468"/>
        <item x="278"/>
        <item x="259"/>
        <item x="288"/>
        <item x="269"/>
        <item x="348"/>
        <item x="464"/>
        <item x="449"/>
        <item x="353"/>
        <item x="256"/>
        <item x="404"/>
        <item x="268"/>
        <item x="332"/>
        <item x="372"/>
        <item x="323"/>
        <item x="394"/>
        <item x="405"/>
        <item x="388"/>
        <item x="433"/>
        <item x="248"/>
        <item x="287"/>
        <item x="311"/>
        <item x="412"/>
        <item x="420"/>
        <item x="320"/>
        <item x="313"/>
        <item x="362"/>
        <item x="421"/>
        <item x="475"/>
        <item x="422"/>
        <item x="329"/>
        <item x="232"/>
        <item x="363"/>
        <item x="364"/>
        <item x="319"/>
        <item x="265"/>
        <item x="423"/>
        <item x="321"/>
        <item x="260"/>
        <item x="358"/>
        <item x="355"/>
        <item x="473"/>
        <item x="442"/>
        <item x="281"/>
        <item x="471"/>
        <item x="443"/>
        <item x="367"/>
        <item x="450"/>
        <item x="324"/>
        <item x="346"/>
        <item x="360"/>
        <item x="274"/>
        <item x="416"/>
        <item x="241"/>
        <item x="481"/>
        <item x="314"/>
        <item x="373"/>
        <item x="448"/>
        <item x="365"/>
        <item x="472"/>
        <item x="465"/>
        <item x="485"/>
        <item x="386"/>
        <item x="413"/>
        <item x="452"/>
        <item x="446"/>
        <item x="466"/>
        <item x="407"/>
        <item x="275"/>
        <item x="243"/>
        <item x="242"/>
        <item x="435"/>
        <item x="368"/>
        <item x="305"/>
        <item x="456"/>
        <item x="301"/>
        <item x="290"/>
        <item x="406"/>
        <item x="359"/>
        <item x="309"/>
        <item x="264"/>
        <item x="255"/>
        <item x="458"/>
        <item x="393"/>
        <item x="345"/>
        <item x="306"/>
        <item x="397"/>
        <item x="236"/>
        <item x="470"/>
        <item x="237"/>
        <item x="347"/>
        <item x="280"/>
        <item x="293"/>
        <item x="283"/>
        <item x="343"/>
        <item x="419"/>
        <item x="482"/>
        <item x="253"/>
        <item x="392"/>
        <item x="333"/>
        <item x="491"/>
        <item x="298"/>
        <item x="484"/>
        <item x="447"/>
        <item x="492"/>
        <item x="250"/>
        <item x="335"/>
        <item x="477"/>
        <item x="383"/>
        <item x="398"/>
        <item x="479"/>
        <item x="486"/>
        <item x="356"/>
        <item x="455"/>
        <item x="487"/>
        <item x="238"/>
        <item x="495"/>
        <item x="453"/>
        <item x="199"/>
        <item x="428"/>
        <item x="444"/>
        <item x="440"/>
        <item x="445"/>
        <item x="488"/>
        <item x="286"/>
        <item x="118"/>
        <item x="415"/>
        <item x="370"/>
        <item x="276"/>
        <item x="436"/>
        <item x="349"/>
        <item x="376"/>
        <item x="494"/>
        <item x="460"/>
        <item x="377"/>
        <item x="417"/>
        <item x="489"/>
        <item x="380"/>
        <item x="328"/>
        <item x="266"/>
        <item x="430"/>
        <item x="312"/>
        <item x="257"/>
        <item x="303"/>
        <item x="261"/>
        <item x="336"/>
        <item x="382"/>
        <item x="337"/>
        <item x="457"/>
        <item x="262"/>
        <item x="480"/>
        <item x="378"/>
        <item x="338"/>
        <item x="410"/>
        <item x="424"/>
        <item x="240"/>
        <item x="285"/>
        <item x="308"/>
        <item x="374"/>
        <item x="294"/>
        <item x="233"/>
        <item x="411"/>
        <item x="427"/>
        <item x="295"/>
        <item x="350"/>
        <item x="297"/>
        <item x="339"/>
        <item x="252"/>
        <item x="277"/>
        <item x="340"/>
        <item x="341"/>
        <item x="389"/>
        <item x="381"/>
        <item x="325"/>
        <item x="254"/>
        <item x="251"/>
        <item x="330"/>
        <item x="342"/>
        <item x="307"/>
        <item x="369"/>
        <item x="379"/>
        <item x="267"/>
        <item x="354"/>
        <item x="282"/>
        <item x="387"/>
        <item x="441"/>
        <item x="326"/>
        <item x="418"/>
        <item x="234"/>
        <item x="279"/>
        <item x="239"/>
        <item x="284"/>
        <item x="493"/>
        <item x="289"/>
        <item x="304"/>
        <item x="451"/>
        <item x="437"/>
        <item x="331"/>
        <item x="438"/>
        <item x="296"/>
        <item x="351"/>
        <item x="429"/>
        <item x="231"/>
        <item x="327"/>
        <item x="246"/>
        <item x="395"/>
        <item x="408"/>
        <item x="385"/>
        <item x="490"/>
        <item x="469"/>
        <item x="272"/>
        <item x="454"/>
        <item x="439"/>
        <item x="717"/>
        <item x="705"/>
        <item x="709"/>
        <item x="529"/>
        <item x="686"/>
        <item x="702"/>
        <item x="673"/>
        <item x="687"/>
        <item x="725"/>
        <item x="572"/>
        <item x="599"/>
        <item x="586"/>
        <item x="715"/>
        <item x="721"/>
        <item x="563"/>
        <item x="584"/>
        <item x="602"/>
        <item x="609"/>
        <item x="522"/>
        <item x="507"/>
        <item x="640"/>
        <item x="672"/>
        <item x="600"/>
        <item x="616"/>
        <item x="496"/>
        <item x="523"/>
        <item x="688"/>
        <item x="726"/>
        <item x="714"/>
        <item x="552"/>
        <item x="660"/>
        <item x="621"/>
        <item x="580"/>
        <item x="661"/>
        <item x="706"/>
        <item x="595"/>
        <item x="578"/>
        <item x="587"/>
        <item x="668"/>
        <item x="565"/>
        <item x="713"/>
        <item x="503"/>
        <item x="625"/>
        <item x="622"/>
        <item x="689"/>
        <item x="650"/>
        <item x="655"/>
        <item x="638"/>
        <item x="571"/>
        <item x="560"/>
        <item x="690"/>
        <item x="628"/>
        <item x="557"/>
        <item x="550"/>
        <item x="700"/>
        <item x="511"/>
        <item x="588"/>
        <item x="680"/>
        <item x="683"/>
        <item x="697"/>
        <item x="649"/>
        <item x="596"/>
        <item x="561"/>
        <item x="710"/>
        <item x="617"/>
        <item x="707"/>
        <item x="658"/>
        <item x="670"/>
        <item x="589"/>
        <item x="620"/>
        <item x="608"/>
        <item x="585"/>
        <item x="556"/>
        <item x="641"/>
        <item x="691"/>
        <item x="530"/>
        <item x="692"/>
        <item x="590"/>
        <item x="582"/>
        <item x="663"/>
        <item x="671"/>
        <item x="678"/>
        <item x="497"/>
        <item x="610"/>
        <item x="537"/>
        <item x="531"/>
        <item x="524"/>
        <item x="603"/>
        <item x="612"/>
        <item x="613"/>
        <item x="708"/>
        <item x="504"/>
        <item x="728"/>
        <item x="633"/>
        <item x="591"/>
        <item x="525"/>
        <item x="536"/>
        <item x="693"/>
        <item x="514"/>
        <item x="729"/>
        <item x="646"/>
        <item x="532"/>
        <item x="674"/>
        <item x="533"/>
        <item x="567"/>
        <item x="644"/>
        <item x="666"/>
        <item x="499"/>
        <item x="508"/>
        <item x="720"/>
        <item x="664"/>
        <item x="538"/>
        <item x="562"/>
        <item x="654"/>
        <item x="564"/>
        <item x="526"/>
        <item x="506"/>
        <item x="656"/>
        <item x="614"/>
        <item x="682"/>
        <item x="592"/>
        <item x="515"/>
        <item x="558"/>
        <item x="635"/>
        <item x="642"/>
        <item x="521"/>
        <item x="593"/>
        <item x="605"/>
        <item x="539"/>
        <item x="573"/>
        <item x="570"/>
        <item x="675"/>
        <item x="722"/>
        <item x="575"/>
        <item x="601"/>
        <item x="634"/>
        <item x="629"/>
        <item x="334"/>
        <item x="632"/>
        <item x="535"/>
        <item x="676"/>
        <item x="669"/>
        <item x="657"/>
        <item x="618"/>
        <item x="566"/>
        <item x="626"/>
        <item x="555"/>
        <item x="696"/>
        <item x="645"/>
        <item x="719"/>
        <item x="623"/>
        <item x="554"/>
        <item x="516"/>
        <item x="534"/>
        <item x="723"/>
        <item x="500"/>
        <item x="540"/>
        <item x="598"/>
        <item x="512"/>
        <item x="607"/>
        <item x="677"/>
        <item x="541"/>
        <item x="542"/>
        <item x="597"/>
        <item x="569"/>
        <item x="510"/>
        <item x="667"/>
        <item x="712"/>
        <item x="543"/>
        <item x="636"/>
        <item x="604"/>
        <item x="527"/>
        <item x="559"/>
        <item x="579"/>
        <item x="505"/>
        <item x="619"/>
        <item x="517"/>
        <item x="662"/>
        <item x="651"/>
        <item x="624"/>
        <item x="615"/>
        <item x="568"/>
        <item x="665"/>
        <item x="647"/>
        <item x="643"/>
        <item x="528"/>
        <item x="518"/>
        <item x="501"/>
        <item x="631"/>
        <item x="553"/>
        <item x="652"/>
        <item x="701"/>
        <item x="648"/>
        <item x="551"/>
        <item x="698"/>
        <item x="684"/>
        <item x="544"/>
        <item x="704"/>
        <item x="639"/>
        <item x="574"/>
        <item x="519"/>
        <item x="583"/>
        <item x="694"/>
        <item x="611"/>
        <item x="513"/>
        <item x="498"/>
        <item x="730"/>
        <item x="699"/>
        <item x="467"/>
        <item x="545"/>
        <item x="581"/>
        <item x="594"/>
        <item x="637"/>
        <item x="718"/>
        <item x="509"/>
        <item x="546"/>
        <item x="727"/>
        <item x="653"/>
        <item x="685"/>
        <item x="502"/>
        <item x="695"/>
        <item x="627"/>
        <item x="703"/>
        <item x="520"/>
        <item x="547"/>
        <item x="681"/>
        <item x="724"/>
        <item x="576"/>
        <item x="630"/>
        <item x="606"/>
        <item x="716"/>
        <item x="659"/>
        <item x="679"/>
        <item x="548"/>
        <item x="549"/>
        <item x="577"/>
        <item x="747"/>
        <item x="751"/>
        <item x="731"/>
        <item x="737"/>
        <item x="753"/>
        <item x="740"/>
        <item x="744"/>
        <item x="750"/>
        <item x="735"/>
        <item x="752"/>
        <item x="732"/>
        <item x="738"/>
        <item x="755"/>
        <item x="742"/>
        <item x="748"/>
        <item x="743"/>
        <item x="741"/>
        <item x="733"/>
        <item x="754"/>
        <item x="736"/>
        <item x="745"/>
        <item x="746"/>
        <item x="739"/>
        <item x="749"/>
        <item x="711"/>
      </items>
    </pivotField>
    <pivotField axis="axisRow" compact="0" outline="0" showAll="0" defaultSubtotal="0">
      <items count="65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8"/>
        <item x="1589"/>
        <item x="1590"/>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3"/>
        <item x="1814"/>
        <item x="1815"/>
        <item x="1816"/>
        <item x="1817"/>
        <item x="1818"/>
        <item x="1819"/>
        <item x="1820"/>
        <item x="1821"/>
        <item x="1822"/>
        <item x="1823"/>
        <item x="1824"/>
        <item x="1825"/>
        <item x="1826"/>
        <item x="1827"/>
        <item x="1828"/>
        <item x="1829"/>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70"/>
        <item x="1971"/>
        <item x="1972"/>
        <item x="1973"/>
        <item x="1974"/>
        <item x="1975"/>
        <item x="1976"/>
        <item x="1977"/>
        <item x="1978"/>
        <item x="1979"/>
        <item x="1980"/>
        <item x="1981"/>
        <item x="1982"/>
        <item x="1983"/>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40"/>
        <item x="2041"/>
        <item x="2042"/>
        <item x="2043"/>
        <item x="2044"/>
        <item x="2045"/>
        <item x="2046"/>
        <item x="2047"/>
        <item x="2048"/>
        <item x="2049"/>
        <item x="2050"/>
        <item x="2051"/>
        <item x="2052"/>
        <item x="2054"/>
        <item x="2055"/>
        <item x="2056"/>
        <item x="2057"/>
        <item x="2059"/>
        <item x="2060"/>
        <item x="2061"/>
        <item x="2062"/>
        <item x="2063"/>
        <item x="2064"/>
        <item x="2065"/>
        <item x="2066"/>
        <item x="2067"/>
        <item x="2068"/>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4"/>
        <item x="2105"/>
        <item x="2106"/>
        <item x="2107"/>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6"/>
        <item x="2267"/>
        <item x="2268"/>
        <item x="2269"/>
        <item x="2270"/>
        <item x="2271"/>
        <item x="2272"/>
        <item x="2273"/>
        <item x="2274"/>
        <item x="2275"/>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40"/>
        <item x="2341"/>
        <item x="2342"/>
        <item x="2343"/>
        <item x="2344"/>
        <item x="2345"/>
        <item x="2346"/>
        <item x="2347"/>
        <item x="2348"/>
        <item x="2349"/>
        <item x="2350"/>
        <item x="2351"/>
        <item x="2352"/>
        <item x="2353"/>
        <item x="2354"/>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7"/>
        <item x="2678"/>
        <item x="2679"/>
        <item x="2680"/>
        <item x="2681"/>
        <item x="2682"/>
        <item x="2683"/>
        <item x="2684"/>
        <item x="2685"/>
        <item x="2686"/>
        <item x="2687"/>
        <item x="2688"/>
        <item x="2689"/>
        <item x="2690"/>
        <item x="2691"/>
        <item x="2692"/>
        <item x="3558"/>
        <item x="3559"/>
        <item x="2693"/>
        <item x="2694"/>
        <item x="2695"/>
        <item x="2696"/>
        <item x="2697"/>
        <item x="2698"/>
        <item x="2699"/>
        <item x="2700"/>
        <item x="2702"/>
        <item x="2703"/>
        <item x="2704"/>
        <item x="2705"/>
        <item x="2706"/>
        <item x="2707"/>
        <item x="2708"/>
        <item x="2709"/>
        <item x="2710"/>
        <item x="2711"/>
        <item x="2712"/>
        <item x="2713"/>
        <item x="2714"/>
        <item x="2715"/>
        <item x="2716"/>
        <item x="2717"/>
        <item x="2718"/>
        <item x="2719"/>
        <item x="2720"/>
        <item x="2721"/>
        <item x="2722"/>
        <item x="2723"/>
        <item x="3438"/>
        <item x="2724"/>
        <item x="2725"/>
        <item x="2726"/>
        <item x="2727"/>
        <item x="2728"/>
        <item x="2729"/>
        <item x="2730"/>
        <item x="2731"/>
        <item x="2732"/>
        <item x="2733"/>
        <item x="2734"/>
        <item x="2735"/>
        <item x="2736"/>
        <item x="2737"/>
        <item x="2738"/>
        <item x="2739"/>
        <item x="2740"/>
        <item x="2741"/>
        <item x="2742"/>
        <item x="2743"/>
        <item x="2745"/>
        <item x="2746"/>
        <item x="2747"/>
        <item x="2748"/>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6"/>
        <item x="2797"/>
        <item x="2798"/>
        <item x="2799"/>
        <item x="2800"/>
        <item x="2801"/>
        <item x="2802"/>
        <item x="2804"/>
        <item x="2805"/>
        <item x="2806"/>
        <item x="2807"/>
        <item x="2808"/>
        <item x="2809"/>
        <item x="2810"/>
        <item x="2811"/>
        <item x="2812"/>
        <item x="2813"/>
        <item x="2814"/>
        <item x="2815"/>
        <item x="2816"/>
        <item x="2817"/>
        <item x="2818"/>
        <item x="2819"/>
        <item x="2820"/>
        <item x="2821"/>
        <item x="2824"/>
        <item x="2825"/>
        <item x="2826"/>
        <item x="2827"/>
        <item x="2828"/>
        <item x="2829"/>
        <item x="2830"/>
        <item x="2831"/>
        <item x="2832"/>
        <item x="2833"/>
        <item x="2834"/>
        <item x="2835"/>
        <item x="2836"/>
        <item x="2837"/>
        <item x="2838"/>
        <item x="2839"/>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5"/>
        <item x="2876"/>
        <item x="2877"/>
        <item x="2878"/>
        <item x="2879"/>
        <item x="2880"/>
        <item x="2881"/>
        <item x="2882"/>
        <item x="2883"/>
        <item x="2884"/>
        <item x="2885"/>
        <item x="2887"/>
        <item x="2888"/>
        <item x="2889"/>
        <item x="2890"/>
        <item x="2891"/>
        <item x="2892"/>
        <item x="2893"/>
        <item x="2894"/>
        <item x="2895"/>
        <item x="2897"/>
        <item x="2898"/>
        <item x="2899"/>
        <item x="2900"/>
        <item x="2901"/>
        <item x="2902"/>
        <item x="2903"/>
        <item x="2904"/>
        <item x="2905"/>
        <item x="2906"/>
        <item x="2907"/>
        <item x="2908"/>
        <item x="2909"/>
        <item x="2910"/>
        <item x="2911"/>
        <item x="2912"/>
        <item x="2913"/>
        <item x="2914"/>
        <item x="2915"/>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5"/>
        <item x="2986"/>
        <item x="2987"/>
        <item x="2988"/>
        <item x="2989"/>
        <item x="2990"/>
        <item x="2991"/>
        <item x="2992"/>
        <item x="2993"/>
        <item x="2994"/>
        <item x="2995"/>
        <item x="2996"/>
        <item x="2997"/>
        <item x="2998"/>
        <item x="2999"/>
        <item x="3000"/>
        <item x="3001"/>
        <item x="3003"/>
        <item x="3004"/>
        <item x="3005"/>
        <item x="3006"/>
        <item x="3007"/>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9"/>
        <item x="3090"/>
        <item x="3091"/>
        <item x="3092"/>
        <item x="3093"/>
        <item x="3094"/>
        <item x="3095"/>
        <item x="3096"/>
        <item x="3097"/>
        <item x="3098"/>
        <item x="3099"/>
        <item x="3100"/>
        <item x="3101"/>
        <item x="3102"/>
        <item x="3103"/>
        <item x="3104"/>
        <item x="3105"/>
        <item x="3106"/>
        <item x="3107"/>
        <item x="3108"/>
        <item x="3109"/>
        <item x="3110"/>
        <item x="3112"/>
        <item x="3114"/>
        <item x="3115"/>
        <item x="3116"/>
        <item x="3117"/>
        <item x="3118"/>
        <item x="3119"/>
        <item x="3120"/>
        <item x="3121"/>
        <item x="3122"/>
        <item x="3123"/>
        <item x="3124"/>
        <item x="3125"/>
        <item x="3126"/>
        <item x="3127"/>
        <item x="3128"/>
        <item x="3130"/>
        <item x="3131"/>
        <item x="3132"/>
        <item x="3133"/>
        <item x="3134"/>
        <item x="3135"/>
        <item x="3136"/>
        <item x="3137"/>
        <item x="3138"/>
        <item x="3139"/>
        <item x="3140"/>
        <item x="3141"/>
        <item x="3142"/>
        <item x="3143"/>
        <item x="3144"/>
        <item x="3145"/>
        <item x="3146"/>
        <item x="3147"/>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632"/>
        <item x="3633"/>
        <item x="363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4"/>
        <item x="3555"/>
        <item x="3556"/>
        <item x="3557"/>
        <item x="3560"/>
        <item x="3561"/>
        <item x="3562"/>
        <item x="3563"/>
        <item x="3564"/>
        <item x="3565"/>
        <item x="3566"/>
        <item x="3568"/>
        <item x="3569"/>
        <item x="3570"/>
        <item x="3571"/>
        <item x="3572"/>
        <item x="3573"/>
        <item x="3574"/>
        <item x="3575"/>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3"/>
        <item x="3624"/>
        <item x="3625"/>
        <item x="3626"/>
        <item x="3627"/>
        <item x="3628"/>
        <item x="3629"/>
        <item x="3630"/>
        <item x="3631"/>
        <item x="3634"/>
        <item x="3636"/>
        <item x="3637"/>
        <item x="3638"/>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2"/>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40"/>
        <item x="3841"/>
        <item x="3842"/>
        <item x="3843"/>
        <item x="3844"/>
        <item x="3845"/>
        <item x="3846"/>
        <item x="3847"/>
        <item x="3848"/>
        <item x="3849"/>
        <item x="3850"/>
        <item x="3851"/>
        <item x="3852"/>
        <item x="3853"/>
        <item x="3854"/>
        <item x="3855"/>
        <item x="3856"/>
        <item x="3857"/>
        <item x="3858"/>
        <item x="3859"/>
        <item x="3860"/>
        <item x="3861"/>
        <item x="3862"/>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3"/>
        <item x="3894"/>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90"/>
        <item x="4291"/>
        <item x="4292"/>
        <item x="4293"/>
        <item x="4294"/>
        <item x="4295"/>
        <item x="4296"/>
        <item x="4297"/>
        <item x="4298"/>
        <item x="4299"/>
        <item x="4300"/>
        <item x="4301"/>
        <item x="4302"/>
        <item x="4303"/>
        <item x="4304"/>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6"/>
        <item x="4337"/>
        <item x="4338"/>
        <item x="4339"/>
        <item x="4340"/>
        <item x="4341"/>
        <item x="4342"/>
        <item x="4343"/>
        <item x="4344"/>
        <item x="4345"/>
        <item x="4346"/>
        <item x="4347"/>
        <item x="4348"/>
        <item x="4349"/>
        <item x="4350"/>
        <item x="4351"/>
        <item x="4352"/>
        <item x="4353"/>
        <item x="4354"/>
        <item x="4356"/>
        <item x="4357"/>
        <item x="4358"/>
        <item x="4359"/>
        <item x="4360"/>
        <item x="4361"/>
        <item x="4362"/>
        <item x="4363"/>
        <item x="4364"/>
        <item x="4365"/>
        <item x="4366"/>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50"/>
        <item x="4506"/>
        <item x="4522"/>
        <item x="4531"/>
        <item x="4615"/>
        <item x="4692"/>
        <item x="4734"/>
        <item x="4885"/>
        <item x="4940"/>
        <item x="4956"/>
        <item x="5067"/>
        <item x="5072"/>
        <item x="5314"/>
        <item x="5320"/>
        <item x="5390"/>
        <item x="5391"/>
        <item x="5449"/>
        <item x="5476"/>
        <item x="5602"/>
        <item x="5747"/>
        <item x="5828"/>
        <item x="5829"/>
        <item x="5916"/>
        <item x="5956"/>
        <item x="6027"/>
        <item x="6056"/>
        <item x="6083"/>
        <item x="6178"/>
        <item x="6205"/>
        <item x="6252"/>
        <item x="6263"/>
        <item x="6391"/>
        <item x="6429"/>
        <item x="6477"/>
        <item x="6489"/>
        <item x="5223"/>
        <item x="4657"/>
        <item x="5471"/>
        <item x="5643"/>
        <item x="5856"/>
        <item x="5857"/>
        <item x="4545"/>
        <item x="6213"/>
        <item x="5383"/>
        <item x="5129"/>
        <item x="5524"/>
        <item x="5557"/>
        <item x="4876"/>
        <item x="5073"/>
        <item x="5168"/>
        <item x="5345"/>
        <item x="5514"/>
        <item x="5637"/>
        <item x="5758"/>
        <item x="5759"/>
        <item x="5921"/>
        <item x="6057"/>
        <item x="6188"/>
        <item x="6357"/>
        <item x="6490"/>
        <item x="4425"/>
        <item x="4458"/>
        <item x="4691"/>
        <item x="5185"/>
        <item x="5344"/>
        <item x="5655"/>
        <item x="5709"/>
        <item x="5800"/>
        <item x="5854"/>
        <item x="5952"/>
        <item x="6307"/>
        <item x="6388"/>
        <item x="6450"/>
        <item x="855"/>
        <item x="1316"/>
        <item x="1591"/>
        <item x="1812"/>
        <item x="5593"/>
        <item x="4970"/>
        <item x="4606"/>
        <item x="6028"/>
        <item x="5489"/>
        <item x="5711"/>
        <item x="5922"/>
        <item x="6200"/>
        <item x="6201"/>
        <item x="6389"/>
        <item x="5803"/>
        <item x="6173"/>
        <item x="2039"/>
        <item x="2896"/>
        <item x="2916"/>
        <item x="4769"/>
        <item x="3553"/>
        <item x="3002"/>
        <item x="4743"/>
        <item x="4993"/>
        <item x="5045"/>
        <item x="5589"/>
        <item x="5827"/>
        <item x="5840"/>
        <item x="4716"/>
        <item x="4868"/>
        <item x="5536"/>
        <item x="5674"/>
        <item x="5757"/>
        <item x="5799"/>
        <item x="4438"/>
        <item x="4524"/>
        <item x="4883"/>
        <item x="5760"/>
        <item x="5018"/>
        <item x="5151"/>
        <item x="5872"/>
        <item x="6162"/>
        <item x="4616"/>
        <item x="4617"/>
        <item x="4663"/>
        <item x="4726"/>
        <item x="4735"/>
        <item x="4736"/>
        <item x="5491"/>
        <item x="5778"/>
        <item x="5919"/>
        <item x="6363"/>
        <item x="4766"/>
        <item x="4832"/>
        <item x="5693"/>
        <item x="4851"/>
        <item x="4988"/>
        <item x="5041"/>
        <item x="5281"/>
        <item x="5384"/>
        <item x="5660"/>
        <item x="5953"/>
        <item x="5392"/>
        <item x="5393"/>
        <item x="2392"/>
        <item x="3800"/>
        <item x="4335"/>
        <item x="5692"/>
        <item x="4355"/>
        <item x="5044"/>
        <item x="4770"/>
        <item x="6113"/>
        <item x="4771"/>
        <item x="5677"/>
        <item x="5839"/>
        <item x="6082"/>
        <item x="5490"/>
        <item x="5748"/>
        <item x="6084"/>
        <item x="6268"/>
        <item x="5813"/>
        <item x="4401"/>
        <item x="5199"/>
        <item x="4783"/>
        <item x="6283"/>
        <item x="4748"/>
        <item x="4957"/>
        <item x="6238"/>
        <item x="6058"/>
        <item x="5710"/>
        <item x="5241"/>
        <item x="4440"/>
        <item x="4439"/>
        <item x="2339"/>
        <item x="2462"/>
        <item x="5233"/>
        <item x="5102"/>
        <item x="5280"/>
        <item x="5036"/>
        <item x="6029"/>
        <item x="5808"/>
        <item x="4414"/>
        <item x="6333"/>
        <item x="4594"/>
        <item x="4852"/>
        <item x="5074"/>
        <item x="5376"/>
        <item x="5437"/>
        <item x="5686"/>
        <item x="6020"/>
        <item x="6072"/>
        <item x="6267"/>
        <item x="4658"/>
        <item x="4994"/>
        <item x="5652"/>
        <item x="5665"/>
        <item x="5795"/>
        <item x="6015"/>
        <item x="6204"/>
        <item x="6264"/>
        <item x="2276"/>
        <item x="3129"/>
        <item x="4574"/>
        <item x="4578"/>
        <item x="4990"/>
        <item x="5209"/>
        <item x="5334"/>
        <item x="5394"/>
        <item x="5395"/>
        <item x="5488"/>
        <item x="5625"/>
        <item x="5908"/>
        <item x="5917"/>
        <item x="5920"/>
        <item x="5925"/>
        <item x="5949"/>
        <item x="3111"/>
        <item x="3113"/>
        <item x="4984"/>
        <item x="5455"/>
        <item x="4494"/>
        <item x="5350"/>
        <item x="4632"/>
        <item x="6342"/>
        <item x="5370"/>
        <item x="5098"/>
        <item x="5580"/>
        <item x="4703"/>
        <item x="4969"/>
        <item x="5315"/>
        <item x="4564"/>
        <item x="5708"/>
        <item x="5761"/>
        <item x="4854"/>
        <item x="5763"/>
        <item x="6232"/>
        <item x="6390"/>
        <item x="6006"/>
        <item x="4479"/>
        <item x="4941"/>
        <item x="5526"/>
        <item x="5896"/>
        <item x="5967"/>
        <item x="6014"/>
        <item x="6265"/>
        <item x="6308"/>
        <item x="6269"/>
        <item x="5492"/>
        <item x="4635"/>
        <item x="5918"/>
        <item x="6297"/>
        <item x="5606"/>
        <item x="5791"/>
        <item x="4765"/>
        <item x="5785"/>
        <item x="5577"/>
        <item x="4511"/>
        <item x="4921"/>
        <item x="5000"/>
        <item x="4565"/>
        <item x="4983"/>
        <item x="5180"/>
        <item x="5359"/>
        <item x="5509"/>
        <item x="5512"/>
        <item x="5603"/>
        <item x="5675"/>
        <item x="5798"/>
        <item x="5888"/>
        <item x="6009"/>
        <item x="6161"/>
        <item x="6366"/>
        <item x="2103"/>
        <item x="2108"/>
        <item x="2744"/>
        <item x="2984"/>
        <item x="3863"/>
        <item x="3925"/>
        <item x="4249"/>
        <item x="4289"/>
        <item x="4367"/>
        <item x="5196"/>
        <item x="5806"/>
        <item x="5841"/>
        <item x="5873"/>
        <item x="5889"/>
        <item x="6413"/>
        <item x="6449"/>
        <item x="2608"/>
        <item x="4613"/>
        <item x="4871"/>
        <item x="4897"/>
        <item x="5113"/>
        <item x="5142"/>
        <item x="5178"/>
        <item x="5188"/>
        <item x="5201"/>
        <item x="5202"/>
        <item x="5254"/>
        <item x="5511"/>
        <item x="5576"/>
        <item x="5825"/>
        <item x="5928"/>
        <item x="5983"/>
        <item x="6179"/>
        <item x="6466"/>
        <item x="4408"/>
        <item x="4487"/>
        <item x="4971"/>
        <item x="5194"/>
        <item x="5355"/>
        <item x="5592"/>
        <item x="6112"/>
        <item x="6350"/>
        <item x="6441"/>
        <item x="4502"/>
        <item x="4508"/>
        <item x="4649"/>
        <item x="4744"/>
        <item x="4865"/>
        <item x="4998"/>
        <item x="5063"/>
        <item x="5187"/>
        <item x="5327"/>
        <item x="5915"/>
        <item x="5995"/>
        <item x="6024"/>
        <item x="6120"/>
        <item x="6146"/>
        <item x="6247"/>
        <item x="6310"/>
        <item x="4507"/>
        <item x="4764"/>
        <item x="4794"/>
        <item x="4817"/>
        <item x="4903"/>
        <item x="5001"/>
        <item x="5046"/>
        <item x="5159"/>
        <item x="5200"/>
        <item x="5307"/>
        <item x="5477"/>
        <item x="5600"/>
        <item x="6059"/>
        <item x="6218"/>
        <item x="4712"/>
        <item x="5483"/>
        <item x="5527"/>
        <item x="5621"/>
        <item x="5075"/>
        <item x="4415"/>
        <item x="4441"/>
        <item x="4517"/>
        <item x="4539"/>
        <item x="4595"/>
        <item x="4647"/>
        <item x="5043"/>
        <item x="5450"/>
        <item x="5451"/>
        <item x="5553"/>
        <item x="5809"/>
        <item x="5642"/>
        <item x="5862"/>
        <item x="6030"/>
        <item x="6334"/>
        <item x="5230"/>
        <item x="5680"/>
        <item x="6270"/>
        <item x="4733"/>
        <item x="5858"/>
        <item x="5143"/>
        <item x="5365"/>
        <item x="4860"/>
        <item x="4901"/>
        <item x="6055"/>
        <item x="5360"/>
        <item x="6052"/>
        <item x="5810"/>
        <item x="4566"/>
        <item x="5092"/>
        <item x="5213"/>
        <item x="5397"/>
        <item x="5452"/>
        <item x="5528"/>
        <item x="5695"/>
        <item x="5845"/>
        <item x="5974"/>
        <item x="6154"/>
        <item x="6160"/>
        <item x="4974"/>
        <item x="5025"/>
        <item x="4538"/>
        <item x="4935"/>
        <item x="5007"/>
        <item x="5146"/>
        <item x="5499"/>
        <item x="6482"/>
        <item x="4669"/>
        <item x="5056"/>
        <item x="5095"/>
        <item x="5874"/>
        <item x="5890"/>
        <item x="4451"/>
        <item x="5913"/>
        <item x="5590"/>
        <item x="4420"/>
        <item x="5031"/>
        <item x="5221"/>
        <item x="5130"/>
        <item x="5191"/>
        <item x="5352"/>
        <item x="6168"/>
        <item x="6341"/>
        <item x="4452"/>
        <item x="4749"/>
        <item x="4959"/>
        <item x="5035"/>
        <item x="5111"/>
        <item x="5147"/>
        <item x="5914"/>
        <item x="6060"/>
        <item x="6062"/>
        <item x="6090"/>
        <item x="6271"/>
        <item x="6347"/>
        <item x="4579"/>
        <item x="4623"/>
        <item x="4664"/>
        <item x="4673"/>
        <item x="4960"/>
        <item x="5064"/>
        <item x="5170"/>
        <item x="5332"/>
        <item x="5457"/>
        <item x="5633"/>
        <item x="5849"/>
        <item x="5960"/>
        <item x="6016"/>
        <item x="6156"/>
        <item x="6272"/>
        <item x="6464"/>
        <item x="5304"/>
        <item x="5368"/>
        <item x="5335"/>
        <item x="5399"/>
        <item x="5558"/>
        <item x="5574"/>
        <item x="5486"/>
        <item x="5010"/>
        <item x="5019"/>
        <item x="5184"/>
        <item x="4785"/>
        <item x="5779"/>
        <item x="4489"/>
        <item x="4535"/>
        <item x="4826"/>
        <item x="5156"/>
        <item x="5824"/>
        <item x="5842"/>
        <item x="6031"/>
        <item x="6226"/>
        <item x="4807"/>
        <item x="5106"/>
        <item x="5456"/>
        <item x="5400"/>
        <item x="6121"/>
        <item x="4795"/>
        <item x="5323"/>
        <item x="5485"/>
        <item x="5556"/>
        <item x="5802"/>
        <item x="6274"/>
        <item x="6328"/>
        <item x="5049"/>
        <item x="5826"/>
        <item x="5042"/>
        <item x="4837"/>
        <item x="5402"/>
        <item x="4402"/>
        <item x="4621"/>
        <item x="4943"/>
        <item x="5238"/>
        <item x="5656"/>
        <item x="5765"/>
        <item x="5831"/>
        <item x="6074"/>
        <item x="6109"/>
        <item x="6227"/>
        <item x="6239"/>
        <item x="4772"/>
        <item x="4944"/>
        <item x="5766"/>
        <item x="5385"/>
        <item x="5661"/>
        <item x="6085"/>
        <item x="6189"/>
        <item x="5560"/>
        <item x="4622"/>
        <item x="4945"/>
        <item x="6025"/>
        <item x="5169"/>
        <item x="4607"/>
        <item x="5396"/>
        <item x="5403"/>
        <item x="5398"/>
        <item x="5498"/>
        <item x="5771"/>
        <item x="5774"/>
        <item x="5846"/>
        <item x="6190"/>
        <item x="5408"/>
        <item x="4843"/>
        <item x="5438"/>
        <item x="4862"/>
        <item x="4718"/>
        <item x="5204"/>
        <item x="5362"/>
        <item x="5401"/>
        <item x="5458"/>
        <item x="5850"/>
        <item x="5002"/>
        <item x="4665"/>
        <item x="6175"/>
        <item x="5407"/>
        <item x="5500"/>
        <item x="5940"/>
        <item x="5404"/>
        <item x="4844"/>
        <item x="5405"/>
        <item x="5312"/>
        <item x="5537"/>
        <item x="6122"/>
        <item x="4442"/>
        <item x="6451"/>
        <item x="5975"/>
        <item x="5138"/>
        <item x="5773"/>
        <item x="6358"/>
        <item x="6374"/>
        <item x="5848"/>
        <item x="6312"/>
        <item x="4694"/>
        <item x="5608"/>
        <item x="4818"/>
        <item x="6480"/>
        <item x="5786"/>
        <item x="6207"/>
        <item x="5077"/>
        <item x="5899"/>
        <item x="5060"/>
        <item x="5279"/>
        <item x="5541"/>
        <item x="4786"/>
        <item x="5628"/>
        <item x="5529"/>
        <item x="5186"/>
        <item x="4624"/>
        <item x="5409"/>
        <item x="5459"/>
        <item x="5627"/>
        <item x="6064"/>
        <item x="5152"/>
        <item x="5906"/>
        <item x="4745"/>
        <item x="5863"/>
        <item x="5012"/>
        <item x="6002"/>
        <item x="4423"/>
        <item x="5017"/>
        <item x="6021"/>
        <item x="6446"/>
        <item x="5282"/>
        <item x="6383"/>
        <item x="5871"/>
        <item x="5941"/>
        <item x="5932"/>
        <item x="6124"/>
        <item x="5300"/>
        <item x="5206"/>
        <item x="6176"/>
        <item x="4504"/>
        <item x="5875"/>
        <item x="4704"/>
        <item x="5093"/>
        <item x="5581"/>
        <item x="5859"/>
        <item x="6010"/>
        <item x="6234"/>
        <item x="5215"/>
        <item x="4443"/>
        <item x="6410"/>
        <item x="6171"/>
        <item x="5611"/>
        <item x="6228"/>
        <item x="4995"/>
        <item x="5851"/>
        <item x="5689"/>
        <item x="6177"/>
        <item x="6032"/>
        <item x="4523"/>
        <item x="4866"/>
        <item x="5363"/>
        <item x="5253"/>
        <item x="5880"/>
        <item x="5262"/>
        <item x="5479"/>
        <item x="5707"/>
        <item x="5192"/>
        <item x="6339"/>
        <item x="4589"/>
        <item x="5032"/>
        <item x="5630"/>
        <item x="4828"/>
        <item x="4696"/>
        <item x="6338"/>
        <item x="4404"/>
        <item x="5071"/>
        <item x="4604"/>
        <item x="6250"/>
        <item x="5505"/>
        <item x="5058"/>
        <item x="4457"/>
        <item x="5816"/>
        <item x="5530"/>
        <item x="6340"/>
        <item x="6447"/>
        <item x="5225"/>
        <item x="5268"/>
        <item x="5882"/>
        <item x="6125"/>
        <item x="5174"/>
        <item x="5460"/>
        <item x="5413"/>
        <item x="4888"/>
        <item x="4460"/>
        <item x="4925"/>
        <item x="6313"/>
        <item x="6393"/>
        <item x="4789"/>
        <item x="6047"/>
        <item x="4924"/>
        <item x="4709"/>
        <item x="5149"/>
        <item x="4516"/>
        <item x="5406"/>
        <item x="4717"/>
        <item x="5099"/>
        <item x="5775"/>
        <item x="5453"/>
        <item x="5161"/>
        <item x="4721"/>
        <item x="4483"/>
        <item x="4685"/>
        <item x="4637"/>
        <item x="4857"/>
        <item x="5346"/>
        <item x="4710"/>
        <item x="4834"/>
        <item x="5239"/>
        <item x="5082"/>
        <item x="5410"/>
        <item x="5818"/>
        <item x="5945"/>
        <item x="6065"/>
        <item x="6403"/>
        <item x="5687"/>
        <item x="5132"/>
        <item x="4582"/>
        <item x="4592"/>
        <item x="4453"/>
        <item x="5749"/>
        <item x="5985"/>
        <item x="5688"/>
        <item x="6404"/>
        <item x="5731"/>
        <item x="5240"/>
        <item x="5411"/>
        <item x="6066"/>
        <item x="4686"/>
        <item x="4858"/>
        <item x="4835"/>
        <item x="4484"/>
        <item x="5750"/>
        <item x="5986"/>
        <item x="5946"/>
        <item x="5436"/>
        <item x="4454"/>
        <item x="4593"/>
        <item x="5083"/>
        <item x="4638"/>
        <item x="4583"/>
        <item x="5347"/>
        <item x="4711"/>
        <item x="5133"/>
        <item x="5673"/>
        <item x="4584"/>
        <item x="5819"/>
        <item x="4563"/>
        <item x="5013"/>
        <item x="5864"/>
        <item x="4746"/>
        <item x="5003"/>
        <item x="5011"/>
        <item x="5153"/>
        <item x="5412"/>
        <item x="5454"/>
        <item x="5563"/>
        <item x="5907"/>
        <item x="6462"/>
        <item x="5672"/>
        <item x="4567"/>
        <item x="4541"/>
        <item x="4648"/>
        <item x="6335"/>
        <item x="5226"/>
        <item x="4444"/>
        <item x="4416"/>
        <item x="5811"/>
        <item x="5415"/>
        <item x="5977"/>
        <item x="4986"/>
        <item x="5414"/>
        <item x="5801"/>
        <item x="5562"/>
        <item x="6033"/>
        <item x="4505"/>
        <item x="5216"/>
        <item x="5466"/>
        <item x="5480"/>
        <item x="5852"/>
        <item x="5933"/>
        <item x="5942"/>
        <item x="5263"/>
        <item x="6394"/>
        <item x="4829"/>
        <item x="5582"/>
        <item x="5207"/>
        <item x="5301"/>
        <item x="6126"/>
        <item x="4496"/>
        <item x="5416"/>
        <item x="5461"/>
        <item x="5788"/>
        <item x="5021"/>
        <item x="6191"/>
        <item x="6367"/>
        <item x="6192"/>
        <item x="4737"/>
        <item x="6114"/>
        <item x="4503"/>
        <item x="5790"/>
        <item x="6229"/>
        <item x="5222"/>
        <item x="6329"/>
        <item x="5982"/>
        <item x="5326"/>
        <item x="5009"/>
        <item x="4411"/>
        <item x="5020"/>
        <item x="5278"/>
        <item x="6409"/>
        <item x="5531"/>
        <item x="4684"/>
        <item x="4536"/>
        <item x="4788"/>
        <item x="4815"/>
        <item x="5162"/>
        <item x="5264"/>
        <item x="5379"/>
        <item x="5683"/>
        <item x="5756"/>
        <item x="6004"/>
        <item x="6011"/>
        <item x="6040"/>
        <item x="6242"/>
        <item x="5984"/>
        <item x="6418"/>
        <item x="5787"/>
        <item x="6382"/>
        <item x="5367"/>
        <item x="5351"/>
        <item x="6186"/>
        <item x="5497"/>
        <item x="4782"/>
        <item x="6298"/>
        <item x="4501"/>
        <item x="4562"/>
        <item x="4509"/>
        <item x="4510"/>
        <item x="6241"/>
        <item x="4946"/>
        <item x="4625"/>
        <item x="6165"/>
        <item x="4887"/>
        <item x="6467"/>
        <item x="4428"/>
        <item x="5796"/>
        <item x="4429"/>
        <item x="4542"/>
        <item x="4445"/>
        <item x="6483"/>
        <item x="6034"/>
        <item x="4999"/>
        <item x="4805"/>
        <item x="5228"/>
        <item x="4672"/>
        <item x="5622"/>
        <item x="5578"/>
        <item x="4763"/>
        <item x="4893"/>
        <item x="4936"/>
        <item x="5062"/>
        <item x="5084"/>
        <item x="5231"/>
        <item x="5303"/>
        <item x="5937"/>
        <item x="6119"/>
        <item x="6138"/>
        <item x="6185"/>
        <item x="6448"/>
        <item x="5860"/>
        <item x="4830"/>
        <item x="4863"/>
        <item x="5987"/>
        <item x="5473"/>
        <item x="4546"/>
        <item x="6420"/>
        <item x="5554"/>
        <item x="4459"/>
        <item x="5261"/>
        <item x="4513"/>
        <item x="4525"/>
        <item x="4847"/>
        <item x="4891"/>
        <item x="5085"/>
        <item x="5166"/>
        <item x="5275"/>
        <item x="5313"/>
        <item x="4462"/>
        <item x="4653"/>
        <item x="4706"/>
        <item x="4926"/>
        <item x="5157"/>
        <item x="5439"/>
        <item x="6132"/>
        <item x="6311"/>
        <item x="6315"/>
        <item x="6314"/>
        <item x="6316"/>
        <item x="6369"/>
        <item x="4477"/>
        <item x="4495"/>
        <item x="4581"/>
        <item x="4620"/>
        <item x="4695"/>
        <item x="4803"/>
        <item x="4809"/>
        <item x="4812"/>
        <item x="4846"/>
        <item x="4942"/>
        <item x="4958"/>
        <item x="5027"/>
        <item x="5131"/>
        <item x="5318"/>
        <item x="5319"/>
        <item x="5373"/>
        <item x="5487"/>
        <item x="5804"/>
        <item x="5939"/>
        <item x="5958"/>
        <item x="5990"/>
        <item x="5992"/>
        <item x="6061"/>
        <item x="6147"/>
        <item x="6152"/>
        <item x="6296"/>
        <item x="6427"/>
        <item x="4626"/>
        <item x="4855"/>
        <item x="5269"/>
        <item x="5417"/>
        <item x="5583"/>
        <item x="5609"/>
        <item x="5876"/>
        <item x="6275"/>
        <item x="6309"/>
        <item x="6436"/>
        <item x="5912"/>
        <item x="6351"/>
        <item x="4529"/>
        <item x="4701"/>
        <item x="4488"/>
        <item x="6145"/>
        <item x="5924"/>
        <item x="5525"/>
        <item x="4827"/>
        <item x="4886"/>
        <item x="4861"/>
        <item x="4904"/>
        <item x="5024"/>
        <item x="5160"/>
        <item x="5203"/>
        <item x="5214"/>
        <item x="5232"/>
        <item x="5361"/>
        <item x="5372"/>
        <item x="5434"/>
        <item x="5561"/>
        <item x="5619"/>
        <item x="5620"/>
        <item x="5629"/>
        <item x="5636"/>
        <item x="5678"/>
        <item x="5696"/>
        <item x="5772"/>
        <item x="5794"/>
        <item x="5847"/>
        <item x="5870"/>
        <item x="5911"/>
        <item x="5957"/>
        <item x="5976"/>
        <item x="6046"/>
        <item x="6063"/>
        <item x="6131"/>
        <item x="6155"/>
        <item x="6174"/>
        <item x="6206"/>
        <item x="6214"/>
        <item x="6262"/>
        <item x="6266"/>
        <item x="6273"/>
        <item x="6392"/>
        <item x="6417"/>
        <item x="5354"/>
        <item x="5726"/>
        <item x="5741"/>
        <item x="6008"/>
        <item x="6302"/>
        <item x="2874"/>
        <item x="5070"/>
        <item x="2701"/>
        <item x="2749"/>
        <item x="3892"/>
        <item x="4853"/>
        <item x="5195"/>
        <item x="5247"/>
        <item x="5277"/>
        <item x="5308"/>
        <item x="5653"/>
        <item x="5910"/>
        <item x="6184"/>
        <item x="6332"/>
        <item x="6452"/>
        <item x="6148"/>
        <item x="4947"/>
        <item x="4738"/>
        <item x="4461"/>
        <item x="6395"/>
        <item x="5502"/>
        <item x="5739"/>
        <item x="5076"/>
        <item x="5564"/>
        <item x="6491"/>
        <item x="4833"/>
        <item x="5150"/>
        <item x="4557"/>
        <item x="6301"/>
        <item x="6086"/>
        <item x="4409"/>
        <item x="4540"/>
        <item x="4600"/>
        <item x="6000"/>
        <item x="5255"/>
        <item x="4715"/>
        <item x="4787"/>
        <item x="5615"/>
        <item x="5573"/>
        <item x="5948"/>
        <item x="5996"/>
        <item x="5667"/>
        <item x="5972"/>
        <item x="5752"/>
        <item x="4800"/>
        <item x="6170"/>
        <item x="4652"/>
        <item x="6221"/>
        <item x="5867"/>
        <item x="4697"/>
        <item x="6172"/>
        <item x="6123"/>
        <item x="6400"/>
        <item x="4985"/>
        <item x="6303"/>
        <item x="5029"/>
        <item x="4808"/>
        <item x="4421"/>
        <item x="5103"/>
        <item x="4722"/>
        <item x="4910"/>
        <item x="5006"/>
        <item x="5638"/>
        <item x="4975"/>
        <item x="5081"/>
        <item x="5519"/>
        <item x="6352"/>
        <item x="4727"/>
        <item x="5283"/>
        <item x="5713"/>
        <item x="6253"/>
        <item x="4905"/>
        <item x="5506"/>
        <item x="6104"/>
        <item x="6423"/>
        <item x="5028"/>
        <item x="6481"/>
        <item x="5311"/>
        <item x="4614"/>
        <item x="4656"/>
        <item x="4655"/>
        <item x="4659"/>
        <item x="4687"/>
        <item x="4725"/>
        <item x="5016"/>
        <item x="4881"/>
        <item x="4967"/>
        <item x="5040"/>
        <item x="5048"/>
        <item x="5057"/>
        <item x="5591"/>
        <item x="6235"/>
        <item x="4882"/>
        <item x="6236"/>
        <item x="5257"/>
        <item x="5256"/>
        <item x="6219"/>
        <item x="5259"/>
        <item x="5179"/>
        <item x="5366"/>
        <item x="5877"/>
        <item x="5883"/>
        <item x="5900"/>
        <item x="6116"/>
        <item x="6127"/>
        <item x="6299"/>
        <item x="6386"/>
        <item x="6458"/>
        <item x="4456"/>
        <item x="4512"/>
        <item x="4558"/>
        <item x="4601"/>
        <item x="4603"/>
        <item x="4654"/>
        <item x="4713"/>
        <item x="4739"/>
        <item x="4750"/>
        <item x="4751"/>
        <item x="4836"/>
        <item x="4919"/>
        <item x="4948"/>
        <item x="4961"/>
        <item x="5078"/>
        <item x="5104"/>
        <item x="5109"/>
        <item x="5208"/>
        <item x="5210"/>
        <item x="5217"/>
        <item x="5218"/>
        <item x="5219"/>
        <item x="5274"/>
        <item x="5324"/>
        <item x="5325"/>
        <item x="5380"/>
        <item x="5386"/>
        <item x="5418"/>
        <item x="5565"/>
        <item x="5575"/>
        <item x="5612"/>
        <item x="5617"/>
        <item x="5648"/>
        <item x="5662"/>
        <item x="5671"/>
        <item x="5700"/>
        <item x="5728"/>
        <item x="5832"/>
        <item x="5844"/>
        <item x="5868"/>
        <item x="5869"/>
        <item x="5931"/>
        <item x="5954"/>
        <item x="5968"/>
        <item x="5973"/>
        <item x="6067"/>
        <item x="6075"/>
        <item x="6087"/>
        <item x="6149"/>
        <item x="6193"/>
        <item x="6202"/>
        <item x="6222"/>
        <item x="6276"/>
        <item x="6317"/>
        <item x="6463"/>
        <item x="5641"/>
        <item x="5679"/>
        <item x="5634"/>
        <item x="5821"/>
        <item x="5970"/>
        <item x="4437"/>
        <item x="6331"/>
        <item x="5273"/>
        <item x="5272"/>
        <item x="4877"/>
        <item x="5005"/>
        <item x="5037"/>
        <item x="5855"/>
        <item x="4823"/>
        <item x="5389"/>
        <item x="6137"/>
        <item x="6022"/>
        <item x="6128"/>
        <item x="5669"/>
        <item x="5676"/>
        <item x="5513"/>
        <item x="5884"/>
        <item x="4867"/>
        <item x="4490"/>
        <item x="5181"/>
        <item x="6479"/>
        <item x="6478"/>
        <item x="5224"/>
        <item x="4872"/>
        <item x="2204"/>
        <item x="4413"/>
        <item x="4424"/>
        <item x="4568"/>
        <item x="4676"/>
        <item x="4911"/>
        <item x="5050"/>
        <item x="5101"/>
        <item x="5242"/>
        <item x="5348"/>
        <item x="5364"/>
        <item x="6079"/>
        <item x="6117"/>
        <item x="6187"/>
        <item x="6474"/>
        <item x="4619"/>
        <item x="5493"/>
        <item x="5762"/>
        <item x="5764"/>
        <item x="5249"/>
        <item x="5197"/>
        <item x="6208"/>
        <item x="4791"/>
        <item x="4796"/>
        <item x="4814"/>
        <item x="5047"/>
        <item x="5059"/>
        <item x="5114"/>
        <item x="5543"/>
        <item x="5623"/>
        <item x="5666"/>
        <item x="5714"/>
        <item x="5861"/>
        <item x="5955"/>
        <item x="6210"/>
        <item x="6353"/>
        <item x="6424"/>
        <item x="4590"/>
        <item x="6484"/>
        <item x="5891"/>
        <item x="5587"/>
        <item x="6012"/>
        <item x="6073"/>
        <item x="6345"/>
        <item x="5015"/>
        <item x="4597"/>
        <item x="4880"/>
        <item x="6286"/>
        <item x="5631"/>
        <item x="6142"/>
        <item x="4605"/>
        <item x="5994"/>
        <item x="4651"/>
        <item x="5097"/>
        <item x="4966"/>
        <item x="4982"/>
        <item x="6415"/>
        <item x="4405"/>
        <item x="4491"/>
        <item x="6041"/>
        <item x="6039"/>
        <item x="5182"/>
        <item x="5684"/>
        <item x="5482"/>
        <item x="6163"/>
        <item x="6343"/>
        <item x="5265"/>
        <item x="5342"/>
        <item x="5604"/>
        <item x="4898"/>
        <item x="5164"/>
        <item x="6043"/>
        <item x="4455"/>
        <item x="4520"/>
        <item x="5969"/>
        <item x="4816"/>
        <item x="5668"/>
        <item x="5276"/>
        <item x="5895"/>
        <item x="6456"/>
        <item x="5991"/>
        <item x="5094"/>
        <item x="5881"/>
        <item x="6398"/>
        <item x="5302"/>
        <item x="5909"/>
        <item x="4677"/>
        <item x="5699"/>
        <item x="4611"/>
        <item x="4612"/>
        <item x="5468"/>
        <item x="5647"/>
        <item x="5033"/>
        <item x="2265"/>
        <item x="3008"/>
        <item x="3671"/>
        <item x="4058"/>
        <item x="6017"/>
        <item x="4927"/>
        <item x="6396"/>
        <item x="6360"/>
        <item x="4892"/>
        <item x="5767"/>
        <item x="5374"/>
        <item x="5734"/>
        <item x="5649"/>
        <item x="4740"/>
        <item x="4463"/>
        <item x="5381"/>
        <item x="6150"/>
        <item x="4752"/>
        <item x="6068"/>
        <item x="6240"/>
        <item x="4962"/>
        <item x="6167"/>
        <item x="4802"/>
        <item x="5317"/>
        <item x="5134"/>
        <item x="4767"/>
        <item x="6166"/>
        <item x="4824"/>
        <item x="4747"/>
        <item x="4486"/>
        <item x="4519"/>
        <item x="4674"/>
        <item x="5051"/>
        <item x="6376"/>
        <item x="6194"/>
        <item x="6110"/>
        <item x="6459"/>
        <item x="4759"/>
        <item x="4644"/>
        <item x="5026"/>
        <item x="5594"/>
        <item x="4806"/>
        <item x="4873"/>
        <item x="5878"/>
        <item x="4781"/>
        <item x="6243"/>
        <item x="5894"/>
        <item x="4642"/>
        <item x="5703"/>
        <item x="6277"/>
        <item x="5651"/>
        <item x="4915"/>
        <item x="5517"/>
        <item x="4666"/>
        <item x="5572"/>
        <item x="5681"/>
        <item x="5792"/>
        <item x="4797"/>
        <item x="6005"/>
        <item x="4465"/>
        <item x="5369"/>
        <item x="5697"/>
        <item x="6430"/>
        <item x="4608"/>
        <item x="4723"/>
        <item x="5805"/>
        <item x="5139"/>
        <item x="4981"/>
        <item x="4667"/>
        <item x="6003"/>
        <item x="4661"/>
        <item x="2069"/>
        <item x="2823"/>
        <item x="3839"/>
        <item x="4464"/>
        <item x="4492"/>
        <item x="4537"/>
        <item x="4547"/>
        <item x="4728"/>
        <item x="4899"/>
        <item x="5052"/>
        <item x="5163"/>
        <item x="5227"/>
        <item x="5284"/>
        <item x="5474"/>
        <item x="5481"/>
        <item x="5544"/>
        <item x="5545"/>
        <item x="5567"/>
        <item x="5704"/>
        <item x="5768"/>
        <item x="5833"/>
        <item x="6080"/>
        <item x="6118"/>
        <item x="6140"/>
        <item x="6141"/>
        <item x="6244"/>
        <item x="6288"/>
        <item x="6230"/>
        <item x="4430"/>
        <item x="4906"/>
        <item x="6091"/>
        <item x="4699"/>
        <item x="4688"/>
        <item x="6045"/>
        <item x="5079"/>
        <item x="4650"/>
        <item x="5962"/>
        <item x="4773"/>
        <item x="5566"/>
        <item x="6092"/>
        <item x="4482"/>
        <item x="4714"/>
        <item x="4774"/>
        <item x="4922"/>
        <item x="5108"/>
        <item x="5171"/>
        <item x="5220"/>
        <item x="5462"/>
        <item x="5516"/>
        <item x="5694"/>
        <item x="5725"/>
        <item x="6026"/>
        <item x="6044"/>
        <item x="6169"/>
        <item x="6183"/>
        <item x="6209"/>
        <item x="5467"/>
        <item x="5904"/>
        <item x="6304"/>
        <item x="6013"/>
        <item x="4842"/>
        <item x="5729"/>
        <item x="5068"/>
        <item x="5328"/>
        <item x="4526"/>
        <item x="5507"/>
        <item x="5613"/>
        <item x="5654"/>
        <item x="6164"/>
        <item x="4466"/>
        <item x="5546"/>
        <item x="5769"/>
        <item x="4900"/>
        <item x="6435"/>
        <item x="4639"/>
        <item x="4859"/>
        <item x="5135"/>
        <item x="5387"/>
        <item x="5322"/>
        <item x="5751"/>
        <item x="6278"/>
        <item x="4894"/>
        <item x="4968"/>
        <item x="5420"/>
        <item x="5595"/>
        <item x="5820"/>
        <item x="6069"/>
        <item x="6431"/>
        <item x="6364"/>
        <item x="5892"/>
        <item x="5579"/>
        <item x="6485"/>
        <item x="5183"/>
        <item x="5834"/>
        <item x="6254"/>
        <item x="5285"/>
        <item x="5964"/>
        <item x="4497"/>
        <item x="5422"/>
        <item x="5172"/>
        <item x="4775"/>
        <item x="6354"/>
        <item x="5235"/>
        <item x="4729"/>
        <item x="4760"/>
        <item x="4907"/>
        <item x="5088"/>
        <item x="5087"/>
        <item x="5117"/>
        <item x="5441"/>
        <item x="5547"/>
        <item x="5596"/>
        <item x="5716"/>
        <item x="6093"/>
        <item x="6111"/>
        <item x="6196"/>
        <item x="6460"/>
        <item x="5349"/>
        <item x="4912"/>
        <item x="4570"/>
        <item x="6217"/>
        <item x="5901"/>
        <item x="4720"/>
        <item x="4780"/>
        <item x="4678"/>
        <item x="6182"/>
        <item x="5107"/>
        <item x="4874"/>
        <item x="4447"/>
        <item x="6475"/>
        <item x="6397"/>
        <item x="4467"/>
        <item x="5442"/>
        <item x="5780"/>
        <item x="4585"/>
        <item x="4761"/>
        <item x="4762"/>
        <item x="5690"/>
        <item x="4840"/>
        <item x="5614"/>
        <item x="6359"/>
        <item x="6157"/>
        <item x="6211"/>
        <item x="4410"/>
        <item x="4485"/>
        <item x="5998"/>
        <item x="5061"/>
        <item x="4550"/>
        <item x="5054"/>
        <item x="5234"/>
        <item x="5542"/>
        <item x="4819"/>
        <item x="5742"/>
        <item x="4790"/>
        <item x="5515"/>
        <item x="5538"/>
        <item x="6048"/>
        <item x="4586"/>
        <item x="5086"/>
        <item x="5727"/>
        <item x="5715"/>
        <item x="4432"/>
        <item x="3403"/>
        <item x="5717"/>
        <item x="4580"/>
        <item x="4964"/>
        <item x="4963"/>
        <item x="5136"/>
        <item x="5140"/>
        <item x="5198"/>
        <item x="5250"/>
        <item x="5333"/>
        <item x="5423"/>
        <item x="5494"/>
        <item x="5568"/>
        <item x="5569"/>
        <item x="5635"/>
        <item x="5814"/>
        <item x="5853"/>
        <item x="5923"/>
        <item x="5965"/>
        <item x="6279"/>
        <item x="6465"/>
        <item x="4587"/>
        <item x="4913"/>
        <item x="4724"/>
        <item x="5258"/>
        <item x="5287"/>
        <item x="4527"/>
        <item x="5520"/>
        <item x="5539"/>
        <item x="5639"/>
        <item x="5730"/>
        <item x="5743"/>
        <item x="6373"/>
        <item x="4534"/>
        <item x="5599"/>
        <item x="5989"/>
        <item x="5988"/>
        <item x="5435"/>
        <item x="4918"/>
        <item x="4643"/>
        <item x="4422"/>
        <item x="4514"/>
        <item x="6088"/>
        <item x="6346"/>
        <item x="6371"/>
        <item x="6233"/>
        <item x="6049"/>
        <item x="4549"/>
        <item x="5936"/>
        <item x="5682"/>
        <item x="5008"/>
        <item x="5475"/>
        <item x="5993"/>
        <item x="5691"/>
        <item x="6129"/>
        <item x="6105"/>
        <item x="4553"/>
        <item x="4500"/>
        <item x="4634"/>
        <item x="4931"/>
        <item x="5118"/>
        <item x="5122"/>
        <item x="5286"/>
        <item x="5905"/>
        <item x="6036"/>
        <item x="4528"/>
        <item x="6300"/>
        <item x="6355"/>
        <item x="6401"/>
        <item x="4498"/>
        <item x="6486"/>
        <item x="5251"/>
        <item x="5997"/>
        <item x="5746"/>
        <item x="4879"/>
        <item x="5510"/>
        <item x="6471"/>
        <item x="5938"/>
        <item x="4929"/>
        <item x="5719"/>
        <item x="5548"/>
        <item x="4433"/>
        <item x="6089"/>
        <item x="4977"/>
        <item x="5288"/>
        <item x="5173"/>
        <item x="5718"/>
        <item x="4923"/>
        <item x="5879"/>
        <item x="5229"/>
        <item x="5055"/>
        <item x="5112"/>
        <item x="5533"/>
        <item x="5588"/>
        <item x="5598"/>
        <item x="6050"/>
        <item x="4521"/>
        <item x="4530"/>
        <item x="4668"/>
        <item x="4700"/>
        <item x="4978"/>
        <item x="4989"/>
        <item x="4996"/>
        <item x="4997"/>
        <item x="5189"/>
        <item x="5289"/>
        <item x="5290"/>
        <item x="5495"/>
        <item x="5616"/>
        <item x="5893"/>
        <item x="5944"/>
        <item x="6365"/>
        <item x="6372"/>
        <item x="4951"/>
        <item x="5120"/>
        <item x="5443"/>
        <item x="6319"/>
        <item x="6095"/>
        <item x="6106"/>
        <item x="5375"/>
        <item x="4493"/>
        <item x="5898"/>
        <item x="5532"/>
        <item x="4660"/>
        <item x="6348"/>
        <item x="5843"/>
        <item x="6344"/>
        <item x="6103"/>
        <item x="6134"/>
        <item x="6422"/>
        <item x="6421"/>
        <item x="6284"/>
        <item x="6387"/>
        <item x="6437"/>
        <item x="5014"/>
        <item x="4822"/>
        <item x="4784"/>
        <item x="4426"/>
        <item x="5610"/>
        <item x="5555"/>
        <item x="5885"/>
        <item x="4543"/>
        <item x="4572"/>
        <item x="4707"/>
        <item x="5425"/>
        <item x="5501"/>
        <item x="5705"/>
        <item x="5736"/>
        <item x="5744"/>
        <item x="4798"/>
        <item x="5865"/>
        <item x="6248"/>
        <item x="5154"/>
        <item x="6246"/>
        <item x="5236"/>
        <item x="4864"/>
        <item x="6042"/>
        <item x="4434"/>
        <item x="4848"/>
        <item x="4448"/>
        <item x="5330"/>
        <item x="4449"/>
        <item x="5601"/>
        <item x="5165"/>
        <item x="6256"/>
        <item x="5504"/>
        <item x="4679"/>
        <item x="4602"/>
        <item x="4755"/>
        <item x="5523"/>
        <item x="5039"/>
        <item x="6368"/>
        <item x="5377"/>
        <item x="5838"/>
        <item x="5291"/>
        <item x="4849"/>
        <item x="4928"/>
        <item x="6318"/>
        <item x="5089"/>
        <item x="4777"/>
        <item x="5424"/>
        <item x="6197"/>
        <item x="5659"/>
        <item x="6130"/>
        <item x="5508"/>
        <item x="4776"/>
        <item x="6255"/>
        <item x="5735"/>
        <item x="4875"/>
        <item x="5190"/>
        <item x="5121"/>
        <item x="6258"/>
        <item x="6305"/>
        <item x="5646"/>
        <item x="4468"/>
        <item x="4469"/>
        <item x="5712"/>
        <item x="4552"/>
        <item x="6097"/>
        <item x="5123"/>
        <item x="5444"/>
        <item x="5080"/>
        <item x="4435"/>
        <item x="4518"/>
        <item x="4640"/>
        <item x="4645"/>
        <item x="4804"/>
        <item x="4952"/>
        <item x="5090"/>
        <item x="5292"/>
        <item x="5549"/>
        <item x="5721"/>
        <item x="5754"/>
        <item x="5835"/>
        <item x="6070"/>
        <item x="6098"/>
        <item x="6151"/>
        <item x="6280"/>
        <item x="6320"/>
        <item x="6361"/>
        <item x="4778"/>
        <item x="4702"/>
        <item x="4884"/>
        <item x="5252"/>
        <item x="5388"/>
        <item x="6203"/>
        <item x="6414"/>
        <item x="4953"/>
        <item x="5124"/>
        <item x="4627"/>
        <item x="5496"/>
        <item x="5155"/>
        <item x="5382"/>
        <item x="4532"/>
        <item x="4551"/>
        <item x="4480"/>
        <item x="4431"/>
        <item x="4831"/>
        <item x="5115"/>
        <item x="5440"/>
        <item x="6195"/>
        <item x="5125"/>
        <item x="4554"/>
        <item x="6099"/>
        <item x="5116"/>
        <item x="5521"/>
        <item x="4610"/>
        <item x="5929"/>
        <item x="5934"/>
        <item x="6257"/>
        <item x="6380"/>
        <item x="6379"/>
        <item x="6381"/>
        <item x="5823"/>
        <item x="6378"/>
        <item x="5980"/>
        <item x="5551"/>
        <item x="6323"/>
        <item x="6037"/>
        <item x="6412"/>
        <item x="6325"/>
        <item x="6101"/>
        <item x="4555"/>
        <item x="4933"/>
        <item x="5126"/>
        <item x="5141"/>
        <item x="5294"/>
        <item x="5343"/>
        <item x="5446"/>
        <item x="4845"/>
        <item x="6107"/>
        <item x="6153"/>
        <item x="6212"/>
        <item x="6223"/>
        <item x="6251"/>
        <item x="6259"/>
        <item x="6425"/>
        <item x="6428"/>
        <item x="4708"/>
        <item x="4914"/>
        <item x="4470"/>
        <item x="5540"/>
        <item x="4596"/>
        <item x="4841"/>
        <item x="5177"/>
        <item x="4870"/>
        <item x="4719"/>
        <item x="6375"/>
        <item x="5105"/>
        <item x="4588"/>
        <item x="5469"/>
        <item x="4793"/>
        <item x="4403"/>
        <item x="6321"/>
        <item x="4419"/>
        <item x="6281"/>
        <item x="4628"/>
        <item x="6139"/>
        <item x="5644"/>
        <item x="5722"/>
        <item x="4954"/>
        <item x="4779"/>
        <item x="5447"/>
        <item x="6076"/>
        <item x="4895"/>
        <item x="5732"/>
        <item x="5295"/>
        <item x="4629"/>
        <item x="4641"/>
        <item x="4646"/>
        <item x="4693"/>
        <item x="5091"/>
        <item x="5127"/>
        <item x="5552"/>
        <item x="5571"/>
        <item x="5597"/>
        <item x="5663"/>
        <item x="5723"/>
        <item x="5755"/>
        <item x="5770"/>
        <item x="5836"/>
        <item x="6100"/>
        <item x="6199"/>
        <item x="6324"/>
        <item x="6362"/>
        <item x="6416"/>
        <item x="6461"/>
        <item x="5777"/>
        <item x="5428"/>
        <item x="5979"/>
        <item x="4757"/>
        <item x="5144"/>
        <item x="5584"/>
        <item x="5706"/>
        <item x="6377"/>
        <item x="6330"/>
        <item x="5175"/>
        <item x="5022"/>
        <item x="5650"/>
        <item x="5429"/>
        <item x="5430"/>
        <item x="4427"/>
        <item x="6487"/>
        <item x="5431"/>
        <item x="5338"/>
        <item x="4577"/>
        <item x="5427"/>
        <item x="5244"/>
        <item x="5837"/>
        <item x="5724"/>
        <item x="5299"/>
        <item x="5465"/>
        <item x="4731"/>
        <item x="5167"/>
        <item x="5237"/>
        <item x="4939"/>
        <item x="4938"/>
        <item x="4937"/>
        <item x="5378"/>
        <item x="5740"/>
        <item x="5670"/>
        <item x="4917"/>
        <item x="6051"/>
        <item x="6159"/>
        <item x="4670"/>
        <item x="4754"/>
        <item x="4850"/>
        <item x="4856"/>
        <item x="4908"/>
        <item x="5066"/>
        <item x="5293"/>
        <item x="5463"/>
        <item x="5550"/>
        <item x="5782"/>
        <item x="5971"/>
        <item x="6115"/>
        <item x="6158"/>
        <item x="4499"/>
        <item x="5464"/>
        <item x="5570"/>
        <item x="5701"/>
        <item x="6198"/>
        <item x="4878"/>
        <item x="6035"/>
        <item x="6405"/>
        <item x="4544"/>
        <item x="6231"/>
        <item x="5698"/>
        <item x="5069"/>
        <item x="5664"/>
        <item x="5866"/>
        <item x="5353"/>
        <item x="5927"/>
        <item x="6053"/>
        <item x="4573"/>
        <item x="5306"/>
        <item x="6225"/>
        <item x="5738"/>
        <item x="5797"/>
        <item x="4478"/>
        <item x="4598"/>
        <item x="4820"/>
        <item x="6143"/>
        <item x="5305"/>
        <item x="5737"/>
        <item x="5807"/>
        <item x="6144"/>
        <item x="6399"/>
        <item x="6406"/>
        <item x="4599"/>
        <item x="6337"/>
        <item x="5607"/>
        <item x="5605"/>
        <item x="6370"/>
        <item x="5624"/>
        <item x="6306"/>
        <item x="4475"/>
        <item x="5096"/>
        <item x="6457"/>
        <item x="6560"/>
        <item x="5685"/>
        <item x="6054"/>
        <item x="5358"/>
        <item x="5784"/>
        <item x="6327"/>
        <item x="4631"/>
        <item x="5702"/>
        <item x="4472"/>
        <item x="6019"/>
        <item x="6078"/>
        <item x="4896"/>
        <item x="5297"/>
        <item x="5733"/>
        <item x="5246"/>
        <item x="6001"/>
        <item x="5470"/>
        <item x="6385"/>
        <item x="6038"/>
        <item x="5034"/>
        <item x="4675"/>
        <item x="5535"/>
        <item x="6384"/>
        <item x="4680"/>
        <item x="5999"/>
        <item x="5793"/>
        <item x="4407"/>
        <item x="4662"/>
        <item x="4909"/>
        <item x="5128"/>
        <item x="5298"/>
        <item x="5522"/>
        <item x="6108"/>
        <item x="6426"/>
        <item x="6440"/>
        <item x="5331"/>
        <item x="6407"/>
        <item x="6282"/>
        <item x="5966"/>
        <item x="5961"/>
        <item x="5959"/>
        <item x="5830"/>
        <item x="5316"/>
        <item x="5559"/>
        <item x="4758"/>
        <item x="5145"/>
        <item x="5585"/>
        <item x="5038"/>
        <item x="4799"/>
        <item x="5176"/>
        <item x="5023"/>
        <item x="6135"/>
        <item x="5943"/>
        <item x="4705"/>
        <item x="4742"/>
        <item x="4533"/>
        <item x="5817"/>
        <item x="6295"/>
        <item x="4890"/>
        <item x="4412"/>
        <item x="6438"/>
        <item x="4768"/>
        <item x="6136"/>
        <item x="6470"/>
        <item x="4476"/>
        <item x="4980"/>
        <item x="6455"/>
        <item x="4474"/>
        <item x="6402"/>
        <item x="4473"/>
        <item x="4436"/>
        <item x="4955"/>
        <item x="6454"/>
        <item x="4417"/>
        <item x="6476"/>
        <item x="4591"/>
        <item x="6018"/>
        <item x="5448"/>
        <item x="4630"/>
        <item x="4471"/>
        <item x="4741"/>
        <item x="4753"/>
        <item x="4965"/>
        <item x="5137"/>
        <item x="5296"/>
        <item x="5339"/>
        <item x="5478"/>
        <item x="5618"/>
        <item x="5640"/>
        <item x="5822"/>
        <item x="6071"/>
        <item x="6077"/>
        <item x="6215"/>
        <item x="6326"/>
        <item x="6432"/>
        <item x="6220"/>
        <item x="6181"/>
        <item x="5193"/>
        <item x="6023"/>
        <item x="6533"/>
        <item x="6434"/>
        <item x="4515"/>
        <item x="4575"/>
        <item x="4576"/>
        <item x="4821"/>
        <item x="4838"/>
        <item x="4839"/>
        <item x="4869"/>
        <item x="4972"/>
        <item x="4973"/>
        <item x="4991"/>
        <item x="4992"/>
        <item x="5004"/>
        <item x="5211"/>
        <item x="5212"/>
        <item x="5336"/>
        <item x="5337"/>
        <item x="5419"/>
        <item x="5426"/>
        <item x="5645"/>
        <item x="5776"/>
        <item x="5902"/>
        <item x="5903"/>
        <item x="5950"/>
        <item x="5951"/>
        <item x="5978"/>
        <item x="6224"/>
        <item x="2822"/>
        <item x="4305"/>
        <item x="4107"/>
        <item x="2795"/>
        <item x="4008"/>
        <item x="4636"/>
        <item x="5321"/>
        <item x="5158"/>
        <item x="6419"/>
        <item x="6237"/>
        <item x="5815"/>
        <item x="5341"/>
        <item x="5887"/>
        <item x="5310"/>
        <item x="6133"/>
        <item x="6472"/>
        <item x="39"/>
        <item x="943"/>
        <item x="1368"/>
        <item x="1587"/>
        <item x="1751"/>
        <item x="1830"/>
        <item x="1969"/>
        <item x="6508"/>
        <item x="6553"/>
        <item x="6557"/>
        <item x="5981"/>
        <item x="6493"/>
        <item x="6521"/>
        <item x="5534"/>
        <item x="6505"/>
        <item x="6546"/>
        <item x="6497"/>
        <item x="6513"/>
        <item x="6501"/>
        <item x="6504"/>
        <item x="6555"/>
        <item x="6516"/>
        <item x="4979"/>
        <item x="5658"/>
        <item x="4950"/>
        <item x="5421"/>
        <item x="5963"/>
        <item x="4976"/>
        <item x="5270"/>
        <item x="5271"/>
        <item x="5356"/>
        <item x="6518"/>
        <item x="6541"/>
        <item x="5267"/>
        <item x="6503"/>
        <item x="6529"/>
        <item x="6537"/>
        <item x="6545"/>
        <item x="6549"/>
        <item x="6498"/>
        <item x="6261"/>
        <item x="6524"/>
        <item x="6527"/>
        <item x="6540"/>
        <item x="6542"/>
        <item x="6544"/>
        <item x="6551"/>
        <item x="6260"/>
        <item x="4683"/>
        <item x="4571"/>
        <item x="4681"/>
        <item x="4682"/>
        <item x="4811"/>
        <item x="4810"/>
        <item x="4932"/>
        <item x="5030"/>
        <item x="5053"/>
        <item x="5266"/>
        <item x="5433"/>
        <item x="5445"/>
        <item x="6007"/>
        <item x="6216"/>
        <item x="6249"/>
        <item x="6287"/>
        <item x="6291"/>
        <item x="6285"/>
        <item x="6294"/>
        <item x="6293"/>
        <item x="6292"/>
        <item x="6289"/>
        <item x="6290"/>
        <item x="6322"/>
        <item x="6336"/>
        <item x="6444"/>
        <item x="6445"/>
        <item x="6442"/>
        <item x="6443"/>
        <item x="4481"/>
        <item x="4825"/>
        <item x="5329"/>
        <item x="4569"/>
        <item x="5812"/>
        <item x="4548"/>
        <item x="4446"/>
        <item x="4609"/>
        <item x="5148"/>
        <item x="4418"/>
        <item x="5886"/>
        <item x="5897"/>
        <item x="4756"/>
        <item x="4690"/>
        <item x="6473"/>
        <item x="6245"/>
        <item x="6408"/>
        <item x="6512"/>
        <item x="6554"/>
        <item x="6531"/>
        <item x="6522"/>
        <item x="6534"/>
        <item x="6499"/>
        <item x="6510"/>
        <item x="4920"/>
        <item x="5930"/>
        <item x="6439"/>
        <item x="4902"/>
        <item x="5935"/>
        <item x="6411"/>
        <item x="4732"/>
        <item x="5245"/>
        <item x="6469"/>
        <item x="6349"/>
        <item x="4689"/>
        <item x="5720"/>
        <item x="6096"/>
        <item x="6102"/>
        <item x="5472"/>
        <item x="4556"/>
        <item x="6525"/>
        <item x="5243"/>
        <item x="6081"/>
        <item x="5518"/>
        <item x="5783"/>
        <item x="6453"/>
        <item x="6494"/>
        <item x="6514"/>
        <item x="6509"/>
        <item x="5484"/>
        <item x="5926"/>
        <item x="5626"/>
        <item x="5248"/>
        <item x="6517"/>
        <item x="4559"/>
        <item x="4560"/>
        <item x="4633"/>
        <item x="5260"/>
        <item x="5357"/>
        <item x="5371"/>
        <item x="5789"/>
        <item x="6180"/>
        <item x="6356"/>
        <item x="6468"/>
        <item x="6532"/>
        <item x="6556"/>
        <item x="6536"/>
        <item x="6500"/>
        <item x="6488"/>
        <item x="1984"/>
        <item x="2053"/>
        <item x="2058"/>
        <item x="2355"/>
        <item x="2523"/>
        <item x="2676"/>
        <item x="2803"/>
        <item x="2840"/>
        <item x="2886"/>
        <item x="3088"/>
        <item x="3148"/>
        <item x="3228"/>
        <item x="3325"/>
        <item x="3567"/>
        <item x="3576"/>
        <item x="3622"/>
        <item x="3639"/>
        <item x="3895"/>
        <item x="4172"/>
        <item x="6523"/>
        <item x="6538"/>
        <item x="6550"/>
        <item x="4406"/>
        <item x="4730"/>
        <item x="6492"/>
        <item x="5745"/>
        <item x="4561"/>
        <item x="6094"/>
        <item x="4792"/>
        <item x="4949"/>
        <item x="5753"/>
        <item x="5781"/>
        <item x="5119"/>
        <item x="5657"/>
        <item x="3673"/>
        <item x="4618"/>
        <item x="4671"/>
        <item x="4698"/>
        <item x="4801"/>
        <item x="4813"/>
        <item x="4889"/>
        <item x="4916"/>
        <item x="4930"/>
        <item x="4934"/>
        <item x="4987"/>
        <item x="5065"/>
        <item x="5100"/>
        <item x="5110"/>
        <item x="5205"/>
        <item x="5309"/>
        <item x="5340"/>
        <item x="5432"/>
        <item x="5503"/>
        <item x="5586"/>
        <item x="5632"/>
        <item x="5947"/>
        <item x="6433"/>
        <item x="6495"/>
        <item x="6496"/>
        <item x="6502"/>
        <item x="6506"/>
        <item x="6507"/>
        <item x="6511"/>
        <item x="6515"/>
        <item x="6519"/>
        <item x="6520"/>
        <item x="6526"/>
        <item x="6528"/>
        <item x="6530"/>
        <item x="6535"/>
        <item x="6539"/>
        <item x="6543"/>
        <item x="6547"/>
        <item x="6548"/>
        <item x="6552"/>
        <item x="6558"/>
        <item x="6559"/>
        <item x="6561"/>
        <item x="6562"/>
        <item x="6563"/>
      </items>
    </pivotField>
    <pivotField compact="0" outline="0" showAll="0" defaultSubtotal="0">
      <items count="14">
        <item x="0"/>
        <item x="1"/>
        <item x="2"/>
        <item x="3"/>
        <item x="4"/>
        <item x="5"/>
        <item x="6"/>
        <item x="7"/>
        <item x="8"/>
        <item x="9"/>
        <item x="10"/>
        <item x="11"/>
        <item x="12"/>
        <item x="13"/>
      </items>
    </pivotField>
    <pivotField compact="0" outline="0" showAll="0" defaultSubtotal="0">
      <items count="47">
        <item x="42"/>
        <item x="43"/>
        <item x="44"/>
        <item x="45"/>
        <item x="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s>
  <rowFields count="7">
    <field x="24"/>
    <field x="25"/>
    <field x="29"/>
    <field x="8"/>
    <field x="26"/>
    <field x="27"/>
    <field x="30"/>
  </rowFields>
  <rowItems count="4">
    <i>
      <x v="2"/>
      <x v="1914"/>
      <x v="735"/>
      <x v="1094"/>
      <x/>
      <x v="740"/>
      <x v="6433"/>
    </i>
    <i>
      <x v="3"/>
      <x v="585"/>
      <x v="733"/>
      <x v="1112"/>
      <x v="3"/>
      <x v="699"/>
      <x v="6563"/>
    </i>
    <i r="1">
      <x v="1978"/>
      <x v="738"/>
      <x v="1101"/>
      <x v="3"/>
      <x v="699"/>
      <x v="6480"/>
    </i>
    <i>
      <x v="4"/>
      <x v="738"/>
      <x v="737"/>
      <x v="542"/>
      <x v="1"/>
      <x v="741"/>
      <x v="6432"/>
    </i>
  </rowItems>
  <colItems count="1">
    <i/>
  </colItems>
  <pageFields count="3">
    <pageField fld="0" hier="-1"/>
    <pageField fld="16" hier="-1"/>
    <pageField fld="23" hier="-1"/>
  </pageFields>
  <formats count="8">
    <format dxfId="16">
      <pivotArea type="all" dataOnly="0" outline="0" fieldPosition="0"/>
    </format>
    <format dxfId="15">
      <pivotArea type="all" dataOnly="0" outline="0" fieldPosition="0"/>
    </format>
    <format dxfId="14">
      <pivotArea type="all" dataOnly="0" outline="0" fieldPosition="0"/>
    </format>
    <format dxfId="13">
      <pivotArea type="all" dataOnly="0" outline="0" fieldPosition="0"/>
    </format>
    <format dxfId="12">
      <pivotArea type="all" dataOnly="0" outline="0" fieldPosition="0"/>
    </format>
    <format dxfId="11">
      <pivotArea dataOnly="0" labelOnly="1" outline="0" fieldPosition="0">
        <references count="1">
          <reference field="26" count="0"/>
        </references>
      </pivotArea>
    </format>
    <format dxfId="10">
      <pivotArea type="all" dataOnly="0" outline="0" fieldPosition="0"/>
    </format>
    <format dxfId="9">
      <pivotArea type="all" dataOnly="0" outline="0" fieldPosition="0"/>
    </format>
  </formats>
  <pivotTableStyleInfo name="ICA 01"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I43:K53" totalsRowShown="0" headerRowDxfId="1" dataDxfId="0" headerRowBorderDxfId="221" totalsRowBorderDxfId="220">
  <autoFilter ref="I43:K53" xr:uid="{00000000-0009-0000-0100-000001000000}"/>
  <sortState xmlns:xlrd2="http://schemas.microsoft.com/office/spreadsheetml/2017/richdata2" ref="I44:K52">
    <sortCondition descending="1" ref="K43:K52"/>
  </sortState>
  <tableColumns count="3">
    <tableColumn id="1" xr3:uid="{00000000-0010-0000-0000-000001000000}" name="DISTRIBUIDOR | DISTRIBUTOR" dataDxfId="4" dataCellStyle="Normal 2 2"/>
    <tableColumn id="2" xr3:uid="{00000000-0010-0000-0000-000002000000}" name="20212" dataDxfId="3" dataCellStyle="Normal 2 2"/>
    <tableColumn id="3" xr3:uid="{00000000-0010-0000-0000-000003000000}" name="2022" dataDxfId="2" dataCellStyle="Normal 2 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 displayName="TA" ref="P4:Q43" totalsRowShown="0" headerRowDxfId="36" dataDxfId="35">
  <autoFilter ref="P4:Q43" xr:uid="{00000000-0009-0000-0100-000003000000}"/>
  <sortState xmlns:xlrd2="http://schemas.microsoft.com/office/spreadsheetml/2017/richdata2" ref="P5:Q41">
    <sortCondition ref="P4:P41"/>
  </sortState>
  <tableColumns count="2">
    <tableColumn id="1" xr3:uid="{00000000-0010-0000-0100-000001000000}" name="DISTRIBUIDOR - NOME COMUM" dataDxfId="34"/>
    <tableColumn id="4" xr3:uid="{00000000-0010-0000-0100-000004000000}" name="GRAFICO" dataDxfId="33"/>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IPO" displayName="TIPO" ref="S4:T18" totalsRowShown="0" headerRowDxfId="32" dataDxfId="31">
  <autoFilter ref="S4:T18" xr:uid="{00000000-0009-0000-0100-000004000000}"/>
  <sortState xmlns:xlrd2="http://schemas.microsoft.com/office/spreadsheetml/2017/richdata2" ref="S5:T18">
    <sortCondition ref="S4:S18"/>
  </sortState>
  <tableColumns count="2">
    <tableColumn id="1" xr3:uid="{00000000-0010-0000-0200-000001000000}" name="TIPO" dataDxfId="30"/>
    <tableColumn id="2" xr3:uid="{00000000-0010-0000-0200-000002000000}" name="TYPE" dataDxfId="2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SO" displayName="ISO" ref="V4:Y250" headerRowDxfId="28" dataDxfId="27" totalsRowDxfId="25" tableBorderDxfId="26">
  <autoFilter ref="V4:Y250" xr:uid="{00000000-0009-0000-0100-000006000000}"/>
  <sortState xmlns:xlrd2="http://schemas.microsoft.com/office/spreadsheetml/2017/richdata2" ref="V5:Y250">
    <sortCondition ref="V4:V250"/>
  </sortState>
  <tableColumns count="4">
    <tableColumn id="4" xr3:uid="{00000000-0010-0000-0300-000004000000}" name="PORTUGUÊS" totalsRowFunction="count" dataDxfId="24" totalsRowDxfId="23"/>
    <tableColumn id="2" xr3:uid="{00000000-0010-0000-0300-000002000000}" name="ISO" totalsRowLabel="Total" dataDxfId="22" totalsRowDxfId="21"/>
    <tableColumn id="3" xr3:uid="{00000000-0010-0000-0300-000003000000}" name="INGLÊS" dataDxfId="20" totalsRowDxfId="19"/>
    <tableColumn id="1" xr3:uid="{00000000-0010-0000-0300-000001000000}" name="COUNTRY" dataDxfId="18" totalsRowDxfId="17">
      <calculatedColumnFormula>IF(V5=X5,V5,V5&amp;CHAR(10)&amp;X5)</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ela143" displayName="Tabela143" ref="I12:I153" totalsRowShown="0" headerRowDxfId="7" dataDxfId="6">
  <autoFilter ref="I12:I153" xr:uid="{00000000-0009-0000-0100-000002000000}"/>
  <tableColumns count="1">
    <tableColumn id="1" xr3:uid="{00000000-0010-0000-0400-000001000000}" name="C" dataDxfId="5"/>
  </tableColumns>
  <tableStyleInfo showFirstColumn="0" showLastColumn="0" showRowStripes="1" showColumnStripes="0"/>
</table>
</file>

<file path=xl/theme/theme1.xml><?xml version="1.0" encoding="utf-8"?>
<a:theme xmlns:a="http://schemas.openxmlformats.org/drawingml/2006/main" name="ICA NEW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CA NEWS">
      <a:majorFont>
        <a:latin typeface="Arquitecta Bold"/>
        <a:ea typeface=""/>
        <a:cs typeface=""/>
      </a:majorFont>
      <a:minorFont>
        <a:latin typeface="Arquitecta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image" Target="../media/image3.png"/></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ivotTable" Target="../pivotTables/pivotTable3.xml"/><Relationship Id="rId7" Type="http://schemas.openxmlformats.org/officeDocument/2006/relationships/printerSettings" Target="../printerSettings/printerSettings1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4.bin"/><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dimension ref="A1:A67"/>
  <sheetViews>
    <sheetView view="pageBreakPreview" topLeftCell="A6" zoomScale="70" zoomScaleNormal="100" zoomScaleSheetLayoutView="70" workbookViewId="0">
      <selection activeCell="E32" sqref="E32"/>
    </sheetView>
  </sheetViews>
  <sheetFormatPr defaultRowHeight="12.75" x14ac:dyDescent="0.2"/>
  <cols>
    <col min="1" max="1" width="130.7109375" style="20" customWidth="1"/>
    <col min="2" max="16384" width="9.140625" style="20"/>
  </cols>
  <sheetData>
    <row r="1" spans="1:1" ht="12.75" customHeight="1" x14ac:dyDescent="0.2">
      <c r="A1" s="5"/>
    </row>
    <row r="2" spans="1:1" ht="12.75" customHeight="1" x14ac:dyDescent="0.2">
      <c r="A2" s="5"/>
    </row>
    <row r="3" spans="1:1" ht="12.75" customHeight="1" x14ac:dyDescent="0.2">
      <c r="A3" s="5"/>
    </row>
    <row r="4" spans="1:1" ht="12.75" customHeight="1" x14ac:dyDescent="0.2">
      <c r="A4" s="5"/>
    </row>
    <row r="5" spans="1:1" ht="12.75" customHeight="1" x14ac:dyDescent="0.2">
      <c r="A5" s="5"/>
    </row>
    <row r="6" spans="1:1" ht="12.75" customHeight="1" x14ac:dyDescent="0.2">
      <c r="A6" s="5"/>
    </row>
    <row r="7" spans="1:1" ht="12.75" customHeight="1" x14ac:dyDescent="0.2">
      <c r="A7" s="5"/>
    </row>
    <row r="8" spans="1:1" ht="12.75" customHeight="1" x14ac:dyDescent="0.2">
      <c r="A8" s="5"/>
    </row>
    <row r="9" spans="1:1" ht="12.75" customHeight="1" x14ac:dyDescent="0.2">
      <c r="A9" s="5"/>
    </row>
    <row r="10" spans="1:1" ht="12.75" customHeight="1" x14ac:dyDescent="0.2">
      <c r="A10" s="5"/>
    </row>
    <row r="11" spans="1:1" ht="12.75" customHeight="1" x14ac:dyDescent="0.2">
      <c r="A11" s="5"/>
    </row>
    <row r="12" spans="1:1" ht="12.75" customHeight="1" x14ac:dyDescent="0.2">
      <c r="A12" s="5"/>
    </row>
    <row r="13" spans="1:1" ht="12.75" customHeight="1" x14ac:dyDescent="0.2">
      <c r="A13" s="5"/>
    </row>
    <row r="14" spans="1:1" ht="12.75" customHeight="1" x14ac:dyDescent="0.2">
      <c r="A14" s="5"/>
    </row>
    <row r="15" spans="1:1" ht="12.75" customHeight="1" x14ac:dyDescent="0.2">
      <c r="A15" s="5"/>
    </row>
    <row r="16" spans="1:1" ht="12.75" customHeight="1" x14ac:dyDescent="0.2">
      <c r="A16" s="5"/>
    </row>
    <row r="17" spans="1:1" ht="12.75" customHeight="1" x14ac:dyDescent="0.2">
      <c r="A17" s="5"/>
    </row>
    <row r="18" spans="1:1" ht="12.75" customHeight="1" x14ac:dyDescent="0.2">
      <c r="A18" s="5"/>
    </row>
    <row r="19" spans="1:1" ht="12.75" customHeight="1" x14ac:dyDescent="0.2">
      <c r="A19" s="5"/>
    </row>
    <row r="20" spans="1:1" ht="12.75" customHeight="1" x14ac:dyDescent="0.2">
      <c r="A20" s="5"/>
    </row>
    <row r="21" spans="1:1" ht="12.75" customHeight="1" x14ac:dyDescent="0.2">
      <c r="A21" s="5"/>
    </row>
    <row r="22" spans="1:1" ht="12.75" customHeight="1" x14ac:dyDescent="0.2">
      <c r="A22" s="5"/>
    </row>
    <row r="23" spans="1:1" ht="186.95" customHeight="1" x14ac:dyDescent="0.2">
      <c r="A23" s="18" t="s">
        <v>48</v>
      </c>
    </row>
    <row r="24" spans="1:1" ht="12.75" customHeight="1" x14ac:dyDescent="0.2">
      <c r="A24" s="5"/>
    </row>
    <row r="25" spans="1:1" ht="12.75" customHeight="1" x14ac:dyDescent="0.2">
      <c r="A25" s="5"/>
    </row>
    <row r="26" spans="1:1" ht="30" customHeight="1" x14ac:dyDescent="0.2">
      <c r="A26" s="21" t="s">
        <v>49</v>
      </c>
    </row>
    <row r="27" spans="1:1" ht="12.75" customHeight="1" x14ac:dyDescent="0.2">
      <c r="A27" s="5"/>
    </row>
    <row r="28" spans="1:1" ht="12.75" customHeight="1" x14ac:dyDescent="0.2">
      <c r="A28" s="5"/>
    </row>
    <row r="29" spans="1:1" ht="12.75" customHeight="1" x14ac:dyDescent="0.2">
      <c r="A29" s="5"/>
    </row>
    <row r="30" spans="1:1" ht="12.75" customHeight="1" x14ac:dyDescent="0.2">
      <c r="A30" s="5"/>
    </row>
    <row r="31" spans="1:1" ht="12.75" customHeight="1" x14ac:dyDescent="0.2">
      <c r="A31" s="5"/>
    </row>
    <row r="32" spans="1:1" ht="12.75" customHeight="1" x14ac:dyDescent="0.2">
      <c r="A32" s="5"/>
    </row>
    <row r="33" spans="1:1" ht="12.75" customHeight="1" x14ac:dyDescent="0.2">
      <c r="A33" s="5"/>
    </row>
    <row r="34" spans="1:1" ht="12.75" customHeight="1" x14ac:dyDescent="0.2">
      <c r="A34" s="5"/>
    </row>
    <row r="35" spans="1:1" ht="12.75" customHeight="1" x14ac:dyDescent="0.2">
      <c r="A35" s="5"/>
    </row>
    <row r="36" spans="1:1" ht="12.75" customHeight="1" x14ac:dyDescent="0.2">
      <c r="A36" s="5"/>
    </row>
    <row r="37" spans="1:1" ht="12.75" customHeight="1" x14ac:dyDescent="0.2">
      <c r="A37" s="5"/>
    </row>
    <row r="38" spans="1:1" ht="12.75" customHeight="1" x14ac:dyDescent="0.2">
      <c r="A38" s="5"/>
    </row>
    <row r="39" spans="1:1" ht="12.75" customHeight="1" x14ac:dyDescent="0.2">
      <c r="A39" s="5"/>
    </row>
    <row r="40" spans="1:1" ht="12.75" customHeight="1" x14ac:dyDescent="0.2">
      <c r="A40" s="5"/>
    </row>
    <row r="41" spans="1:1" ht="12.75" customHeight="1" x14ac:dyDescent="0.2">
      <c r="A41" s="5"/>
    </row>
    <row r="42" spans="1:1" ht="12.75" customHeight="1" x14ac:dyDescent="0.2">
      <c r="A42" s="5"/>
    </row>
    <row r="43" spans="1:1" ht="12.75" customHeight="1" x14ac:dyDescent="0.2">
      <c r="A43" s="5"/>
    </row>
    <row r="44" spans="1:1" ht="12.75" customHeight="1" x14ac:dyDescent="0.2">
      <c r="A44" s="5"/>
    </row>
    <row r="45" spans="1:1" ht="12.75" customHeight="1" x14ac:dyDescent="0.2">
      <c r="A45" s="5"/>
    </row>
    <row r="46" spans="1:1" ht="12.75" customHeight="1" x14ac:dyDescent="0.2">
      <c r="A46" s="5"/>
    </row>
    <row r="47" spans="1:1" ht="12.75" customHeight="1" x14ac:dyDescent="0.2">
      <c r="A47" s="5"/>
    </row>
    <row r="48" spans="1:1" ht="12.75" customHeight="1" x14ac:dyDescent="0.2">
      <c r="A48" s="5"/>
    </row>
    <row r="49" spans="1:1" ht="12.75" customHeight="1" x14ac:dyDescent="0.2">
      <c r="A49" s="5"/>
    </row>
    <row r="50" spans="1:1" ht="12.75" customHeight="1" x14ac:dyDescent="0.2">
      <c r="A50" s="5"/>
    </row>
    <row r="51" spans="1:1" ht="12.75" customHeight="1" x14ac:dyDescent="0.2">
      <c r="A51" s="5"/>
    </row>
    <row r="52" spans="1:1" ht="12.75" customHeight="1" x14ac:dyDescent="0.2">
      <c r="A52" s="5"/>
    </row>
    <row r="53" spans="1:1" ht="12.75" customHeight="1" x14ac:dyDescent="0.2">
      <c r="A53" s="5"/>
    </row>
    <row r="54" spans="1:1" ht="12.75" customHeight="1" x14ac:dyDescent="0.2">
      <c r="A54" s="19"/>
    </row>
    <row r="55" spans="1:1" ht="12.75" customHeight="1" x14ac:dyDescent="0.2">
      <c r="A55" s="19"/>
    </row>
    <row r="56" spans="1:1" ht="12.75" customHeight="1" x14ac:dyDescent="0.2">
      <c r="A56" s="19"/>
    </row>
    <row r="57" spans="1:1" ht="12.75" customHeight="1" x14ac:dyDescent="0.2">
      <c r="A57" s="19"/>
    </row>
    <row r="58" spans="1:1" ht="12.75" customHeight="1" x14ac:dyDescent="0.2">
      <c r="A58" s="19"/>
    </row>
    <row r="59" spans="1:1" ht="12.75" customHeight="1" x14ac:dyDescent="0.2">
      <c r="A59" s="19"/>
    </row>
    <row r="60" spans="1:1" ht="12.75" customHeight="1" x14ac:dyDescent="0.2">
      <c r="A60" s="19"/>
    </row>
    <row r="61" spans="1:1" ht="12.75" customHeight="1" x14ac:dyDescent="0.2">
      <c r="A61" s="19"/>
    </row>
    <row r="62" spans="1:1" ht="12.75" customHeight="1" x14ac:dyDescent="0.2">
      <c r="A62" s="19"/>
    </row>
    <row r="63" spans="1:1" ht="12.75" customHeight="1" x14ac:dyDescent="0.2">
      <c r="A63" s="19"/>
    </row>
    <row r="64" spans="1:1" ht="12.75" customHeight="1" x14ac:dyDescent="0.2">
      <c r="A64" s="19"/>
    </row>
    <row r="65" spans="1:1" ht="12.75" customHeight="1" x14ac:dyDescent="0.2">
      <c r="A65" s="19"/>
    </row>
    <row r="66" spans="1:1" ht="12.75" customHeight="1" x14ac:dyDescent="0.2">
      <c r="A66" s="19"/>
    </row>
    <row r="67" spans="1:1" ht="12.75" customHeight="1" x14ac:dyDescent="0.2">
      <c r="A67" s="19"/>
    </row>
  </sheetData>
  <printOptions horizont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7">
    <tabColor theme="5" tint="-0.499984740745262"/>
    <pageSetUpPr fitToPage="1"/>
  </sheetPr>
  <dimension ref="A2:XFD79"/>
  <sheetViews>
    <sheetView showGridLines="0" zoomScaleNormal="100" zoomScaleSheetLayoutView="85" workbookViewId="0">
      <selection activeCell="B3" sqref="B3:H3"/>
    </sheetView>
  </sheetViews>
  <sheetFormatPr defaultColWidth="0" defaultRowHeight="12.75" x14ac:dyDescent="0.2"/>
  <cols>
    <col min="1" max="1" width="2.7109375" style="621" customWidth="1"/>
    <col min="2" max="2" width="19.85546875" style="621" bestFit="1" customWidth="1"/>
    <col min="3" max="3" width="12.5703125" style="621" customWidth="1"/>
    <col min="4" max="4" width="11.5703125" style="621" customWidth="1"/>
    <col min="5" max="5" width="11" style="621" bestFit="1" customWidth="1"/>
    <col min="6" max="6" width="18.28515625" style="621" customWidth="1"/>
    <col min="7" max="7" width="15.42578125" style="621" bestFit="1" customWidth="1"/>
    <col min="8" max="8" width="11.5703125" style="621" customWidth="1"/>
    <col min="9" max="9" width="2.7109375" style="623" customWidth="1"/>
    <col min="10" max="16384" width="9.140625" style="621" hidden="1"/>
  </cols>
  <sheetData>
    <row r="2" spans="1:9 16384:16384" ht="15" x14ac:dyDescent="0.2">
      <c r="B2" s="622"/>
      <c r="C2" s="622"/>
      <c r="D2" s="622"/>
      <c r="E2" s="622"/>
      <c r="F2" s="622"/>
      <c r="G2" s="622"/>
      <c r="H2" s="622"/>
    </row>
    <row r="3" spans="1:9 16384:16384" ht="15.75" customHeight="1" x14ac:dyDescent="0.2">
      <c r="B3" s="624" t="s">
        <v>975</v>
      </c>
      <c r="C3" s="624"/>
      <c r="D3" s="624"/>
      <c r="E3" s="624"/>
      <c r="F3" s="624"/>
      <c r="G3" s="624"/>
      <c r="H3" s="624"/>
    </row>
    <row r="4" spans="1:9 16384:16384" ht="15.75" x14ac:dyDescent="0.2">
      <c r="B4" s="625"/>
      <c r="C4" s="626"/>
      <c r="D4" s="626"/>
      <c r="E4" s="626"/>
      <c r="F4" s="626"/>
      <c r="G4" s="626"/>
      <c r="H4" s="626"/>
    </row>
    <row r="5" spans="1:9 16384:16384" ht="15.75" x14ac:dyDescent="0.2">
      <c r="B5" s="624" t="s">
        <v>890</v>
      </c>
      <c r="C5" s="624"/>
      <c r="D5" s="624"/>
      <c r="E5" s="624"/>
      <c r="F5" s="624"/>
      <c r="G5" s="624"/>
      <c r="H5" s="624"/>
    </row>
    <row r="7" spans="1:9 16384:16384" s="630" customFormat="1" ht="24" x14ac:dyDescent="0.2">
      <c r="A7" s="627"/>
      <c r="B7" s="628" t="s">
        <v>876</v>
      </c>
      <c r="C7" s="628" t="s">
        <v>877</v>
      </c>
      <c r="D7" s="628" t="s">
        <v>878</v>
      </c>
      <c r="E7" s="629" t="s">
        <v>879</v>
      </c>
      <c r="F7" s="628" t="s">
        <v>880</v>
      </c>
      <c r="G7" s="628" t="s">
        <v>881</v>
      </c>
      <c r="H7" s="629" t="s">
        <v>882</v>
      </c>
      <c r="XFD7" s="631"/>
    </row>
    <row r="8" spans="1:9 16384:16384" x14ac:dyDescent="0.2">
      <c r="B8" s="632" t="str">
        <f>+UPPER(B48)</f>
        <v>LISBOA</v>
      </c>
      <c r="C8" s="633">
        <v>28</v>
      </c>
      <c r="D8" s="633">
        <v>167</v>
      </c>
      <c r="E8" s="634">
        <v>30377</v>
      </c>
      <c r="F8" s="635">
        <v>995321.03999999969</v>
      </c>
      <c r="G8" s="634">
        <v>171206</v>
      </c>
      <c r="H8" s="634">
        <v>13517</v>
      </c>
    </row>
    <row r="9" spans="1:9 16384:16384" x14ac:dyDescent="0.2">
      <c r="B9" s="632" t="str">
        <f t="shared" ref="B9:B14" si="0">+UPPER(B49)</f>
        <v>NORTE</v>
      </c>
      <c r="C9" s="636">
        <v>34</v>
      </c>
      <c r="D9" s="636">
        <v>148</v>
      </c>
      <c r="E9" s="637">
        <v>27029</v>
      </c>
      <c r="F9" s="638">
        <v>636453.21000000066</v>
      </c>
      <c r="G9" s="637">
        <v>115677</v>
      </c>
      <c r="H9" s="637">
        <v>10325</v>
      </c>
    </row>
    <row r="10" spans="1:9 16384:16384" x14ac:dyDescent="0.2">
      <c r="B10" s="632" t="str">
        <f t="shared" si="0"/>
        <v>CENTRO</v>
      </c>
      <c r="C10" s="636">
        <v>34</v>
      </c>
      <c r="D10" s="636">
        <v>92</v>
      </c>
      <c r="E10" s="637">
        <v>16875</v>
      </c>
      <c r="F10" s="638">
        <v>223967.74000000002</v>
      </c>
      <c r="G10" s="637">
        <v>42241</v>
      </c>
      <c r="H10" s="637">
        <v>4886</v>
      </c>
    </row>
    <row r="11" spans="1:9 16384:16384" x14ac:dyDescent="0.2">
      <c r="B11" s="632" t="str">
        <f t="shared" si="0"/>
        <v>ALGARVE</v>
      </c>
      <c r="C11" s="636">
        <v>11</v>
      </c>
      <c r="D11" s="636">
        <v>37</v>
      </c>
      <c r="E11" s="637">
        <v>6235</v>
      </c>
      <c r="F11" s="638">
        <v>93687.98000000001</v>
      </c>
      <c r="G11" s="637">
        <v>17243</v>
      </c>
      <c r="H11" s="637">
        <v>2204</v>
      </c>
    </row>
    <row r="12" spans="1:9 16384:16384" x14ac:dyDescent="0.2">
      <c r="B12" s="632" t="str">
        <f t="shared" si="0"/>
        <v>ALENTEJO</v>
      </c>
      <c r="C12" s="636">
        <v>14</v>
      </c>
      <c r="D12" s="636">
        <v>23</v>
      </c>
      <c r="E12" s="637">
        <v>4263</v>
      </c>
      <c r="F12" s="638">
        <v>40652.870000000003</v>
      </c>
      <c r="G12" s="637">
        <v>7867</v>
      </c>
      <c r="H12" s="637">
        <v>902</v>
      </c>
    </row>
    <row r="13" spans="1:9 16384:16384" x14ac:dyDescent="0.2">
      <c r="B13" s="632" t="str">
        <f t="shared" si="0"/>
        <v>MADEIRA</v>
      </c>
      <c r="C13" s="636">
        <v>2</v>
      </c>
      <c r="D13" s="636">
        <v>13</v>
      </c>
      <c r="E13" s="637">
        <v>2647</v>
      </c>
      <c r="F13" s="638">
        <v>42434.26</v>
      </c>
      <c r="G13" s="637">
        <v>7947</v>
      </c>
      <c r="H13" s="637">
        <v>1002</v>
      </c>
    </row>
    <row r="14" spans="1:9 16384:16384" x14ac:dyDescent="0.2">
      <c r="B14" s="639" t="str">
        <f t="shared" si="0"/>
        <v>AÇORES</v>
      </c>
      <c r="C14" s="640">
        <v>2</v>
      </c>
      <c r="D14" s="640">
        <v>4</v>
      </c>
      <c r="E14" s="641">
        <v>580</v>
      </c>
      <c r="F14" s="642">
        <v>4401</v>
      </c>
      <c r="G14" s="641">
        <v>1028</v>
      </c>
      <c r="H14" s="641">
        <v>149</v>
      </c>
    </row>
    <row r="15" spans="1:9 16384:16384" s="623" customFormat="1" ht="19.5" x14ac:dyDescent="0.2">
      <c r="A15" s="621"/>
      <c r="B15" s="337" t="s">
        <v>12</v>
      </c>
      <c r="C15" s="606">
        <f t="shared" ref="C15:H15" si="1">SUM(C8:C14)</f>
        <v>125</v>
      </c>
      <c r="D15" s="606">
        <f t="shared" si="1"/>
        <v>484</v>
      </c>
      <c r="E15" s="643">
        <f t="shared" si="1"/>
        <v>88006</v>
      </c>
      <c r="F15" s="644">
        <f t="shared" si="1"/>
        <v>2036918.1000000006</v>
      </c>
      <c r="G15" s="643">
        <f t="shared" si="1"/>
        <v>363209</v>
      </c>
      <c r="H15" s="643">
        <f t="shared" si="1"/>
        <v>32985</v>
      </c>
      <c r="I15" s="645"/>
      <c r="XFD15" s="646"/>
    </row>
    <row r="16" spans="1:9 16384:16384" x14ac:dyDescent="0.2">
      <c r="B16" s="623"/>
      <c r="C16" s="623"/>
      <c r="D16" s="623"/>
      <c r="E16" s="623"/>
      <c r="F16" s="623"/>
      <c r="G16" s="623"/>
      <c r="H16" s="623"/>
    </row>
    <row r="17" spans="1:8 16384:16384" ht="15.75" x14ac:dyDescent="0.2">
      <c r="B17" s="647" t="s">
        <v>891</v>
      </c>
      <c r="C17" s="647"/>
      <c r="D17" s="647"/>
      <c r="E17" s="647"/>
      <c r="F17" s="647"/>
      <c r="G17" s="647"/>
      <c r="H17" s="647"/>
    </row>
    <row r="18" spans="1:8 16384:16384" x14ac:dyDescent="0.2">
      <c r="B18" s="648"/>
      <c r="C18" s="648"/>
      <c r="D18" s="648"/>
      <c r="E18" s="648"/>
      <c r="F18" s="648"/>
      <c r="G18" s="648"/>
      <c r="H18" s="648"/>
    </row>
    <row r="19" spans="1:8 16384:16384" s="623" customFormat="1" ht="24" x14ac:dyDescent="0.2">
      <c r="A19" s="621"/>
      <c r="B19" s="628" t="s">
        <v>883</v>
      </c>
      <c r="C19" s="628" t="s">
        <v>877</v>
      </c>
      <c r="D19" s="628" t="s">
        <v>878</v>
      </c>
      <c r="E19" s="629" t="s">
        <v>879</v>
      </c>
      <c r="F19" s="628" t="s">
        <v>880</v>
      </c>
      <c r="G19" s="628" t="s">
        <v>881</v>
      </c>
      <c r="H19" s="629" t="s">
        <v>882</v>
      </c>
      <c r="XFD19" s="646"/>
    </row>
    <row r="20" spans="1:8 16384:16384" x14ac:dyDescent="0.2">
      <c r="B20" s="632" t="str">
        <f>+UPPER(B60)</f>
        <v>AVEIRO</v>
      </c>
      <c r="C20" s="633">
        <v>7</v>
      </c>
      <c r="D20" s="633">
        <v>11</v>
      </c>
      <c r="E20" s="634">
        <v>2624</v>
      </c>
      <c r="F20" s="635">
        <v>15579.199999999999</v>
      </c>
      <c r="G20" s="634">
        <v>3225</v>
      </c>
      <c r="H20" s="634">
        <v>389</v>
      </c>
    </row>
    <row r="21" spans="1:8 16384:16384" x14ac:dyDescent="0.2">
      <c r="B21" s="632" t="str">
        <f t="shared" ref="B21:B39" si="2">+UPPER(B61)</f>
        <v>BEJA</v>
      </c>
      <c r="C21" s="636">
        <v>3</v>
      </c>
      <c r="D21" s="636">
        <v>3</v>
      </c>
      <c r="E21" s="637">
        <v>942</v>
      </c>
      <c r="F21" s="638">
        <v>296</v>
      </c>
      <c r="G21" s="637">
        <v>110</v>
      </c>
      <c r="H21" s="637">
        <v>9</v>
      </c>
    </row>
    <row r="22" spans="1:8 16384:16384" x14ac:dyDescent="0.2">
      <c r="B22" s="632" t="str">
        <f t="shared" si="2"/>
        <v>BRAGA</v>
      </c>
      <c r="C22" s="636">
        <v>6</v>
      </c>
      <c r="D22" s="636">
        <v>36</v>
      </c>
      <c r="E22" s="637">
        <v>5797</v>
      </c>
      <c r="F22" s="638">
        <v>118374.79</v>
      </c>
      <c r="G22" s="637">
        <v>21887</v>
      </c>
      <c r="H22" s="637">
        <v>2311</v>
      </c>
    </row>
    <row r="23" spans="1:8 16384:16384" x14ac:dyDescent="0.2">
      <c r="B23" s="632" t="str">
        <f t="shared" si="2"/>
        <v>BRAGANÇA</v>
      </c>
      <c r="C23" s="636">
        <v>2</v>
      </c>
      <c r="D23" s="636">
        <v>2</v>
      </c>
      <c r="E23" s="637">
        <v>447</v>
      </c>
      <c r="F23" s="638">
        <v>363.5</v>
      </c>
      <c r="G23" s="637">
        <v>206</v>
      </c>
      <c r="H23" s="637">
        <v>5</v>
      </c>
    </row>
    <row r="24" spans="1:8 16384:16384" x14ac:dyDescent="0.2">
      <c r="B24" s="632" t="str">
        <f t="shared" si="2"/>
        <v>CASTELO BRANCO</v>
      </c>
      <c r="C24" s="636">
        <v>6</v>
      </c>
      <c r="D24" s="636">
        <v>11</v>
      </c>
      <c r="E24" s="637">
        <v>2178</v>
      </c>
      <c r="F24" s="638">
        <v>15969.9</v>
      </c>
      <c r="G24" s="637">
        <v>3363</v>
      </c>
      <c r="H24" s="637">
        <v>478</v>
      </c>
    </row>
    <row r="25" spans="1:8 16384:16384" x14ac:dyDescent="0.2">
      <c r="B25" s="632" t="str">
        <f t="shared" si="2"/>
        <v>COIMBRA</v>
      </c>
      <c r="C25" s="636">
        <v>8</v>
      </c>
      <c r="D25" s="636">
        <v>26</v>
      </c>
      <c r="E25" s="637">
        <v>5181</v>
      </c>
      <c r="F25" s="638">
        <v>80572.62000000001</v>
      </c>
      <c r="G25" s="637">
        <v>14978</v>
      </c>
      <c r="H25" s="637">
        <v>1569</v>
      </c>
    </row>
    <row r="26" spans="1:8 16384:16384" x14ac:dyDescent="0.2">
      <c r="B26" s="632" t="str">
        <f t="shared" si="2"/>
        <v>ÉVORA</v>
      </c>
      <c r="C26" s="636">
        <v>4</v>
      </c>
      <c r="D26" s="636">
        <v>8</v>
      </c>
      <c r="E26" s="637">
        <v>1227</v>
      </c>
      <c r="F26" s="638">
        <v>20420.97</v>
      </c>
      <c r="G26" s="637">
        <v>3773</v>
      </c>
      <c r="H26" s="637">
        <v>403</v>
      </c>
    </row>
    <row r="27" spans="1:8 16384:16384" x14ac:dyDescent="0.2">
      <c r="B27" s="632" t="str">
        <f t="shared" si="2"/>
        <v>FARO</v>
      </c>
      <c r="C27" s="636">
        <v>11</v>
      </c>
      <c r="D27" s="636">
        <v>37</v>
      </c>
      <c r="E27" s="637">
        <v>6235</v>
      </c>
      <c r="F27" s="638">
        <v>93687.98000000001</v>
      </c>
      <c r="G27" s="637">
        <v>17243</v>
      </c>
      <c r="H27" s="637">
        <v>2204</v>
      </c>
    </row>
    <row r="28" spans="1:8 16384:16384" x14ac:dyDescent="0.2">
      <c r="B28" s="632" t="str">
        <f t="shared" si="2"/>
        <v>GUARDA</v>
      </c>
      <c r="C28" s="636">
        <v>4</v>
      </c>
      <c r="D28" s="636">
        <v>7</v>
      </c>
      <c r="E28" s="637">
        <v>1032</v>
      </c>
      <c r="F28" s="638">
        <v>6743.9</v>
      </c>
      <c r="G28" s="637">
        <v>1487</v>
      </c>
      <c r="H28" s="637">
        <v>208</v>
      </c>
    </row>
    <row r="29" spans="1:8 16384:16384" x14ac:dyDescent="0.2">
      <c r="B29" s="632" t="str">
        <f t="shared" si="2"/>
        <v>LEIRIA</v>
      </c>
      <c r="C29" s="636">
        <v>5</v>
      </c>
      <c r="D29" s="636">
        <v>21</v>
      </c>
      <c r="E29" s="637">
        <v>3403</v>
      </c>
      <c r="F29" s="638">
        <v>48318.85</v>
      </c>
      <c r="G29" s="637">
        <v>8765</v>
      </c>
      <c r="H29" s="637">
        <v>1154</v>
      </c>
    </row>
    <row r="30" spans="1:8 16384:16384" x14ac:dyDescent="0.2">
      <c r="B30" s="632" t="str">
        <f t="shared" si="2"/>
        <v>LISBOA</v>
      </c>
      <c r="C30" s="636">
        <v>21</v>
      </c>
      <c r="D30" s="636">
        <v>133</v>
      </c>
      <c r="E30" s="637">
        <v>23447</v>
      </c>
      <c r="F30" s="638">
        <v>820497.18999999971</v>
      </c>
      <c r="G30" s="637">
        <v>141126</v>
      </c>
      <c r="H30" s="637">
        <v>11018</v>
      </c>
    </row>
    <row r="31" spans="1:8 16384:16384" x14ac:dyDescent="0.2">
      <c r="B31" s="632" t="str">
        <f t="shared" si="2"/>
        <v>PORTALEGRE</v>
      </c>
      <c r="C31" s="636">
        <v>2</v>
      </c>
      <c r="D31" s="636">
        <v>2</v>
      </c>
      <c r="E31" s="637">
        <v>449</v>
      </c>
      <c r="F31" s="638">
        <v>1004.25</v>
      </c>
      <c r="G31" s="637">
        <v>343</v>
      </c>
      <c r="H31" s="637">
        <v>8</v>
      </c>
    </row>
    <row r="32" spans="1:8 16384:16384" x14ac:dyDescent="0.2">
      <c r="B32" s="632" t="str">
        <f t="shared" si="2"/>
        <v>PORTO</v>
      </c>
      <c r="C32" s="636">
        <v>15</v>
      </c>
      <c r="D32" s="636">
        <v>87</v>
      </c>
      <c r="E32" s="637">
        <v>16985</v>
      </c>
      <c r="F32" s="638">
        <v>466974.67000000057</v>
      </c>
      <c r="G32" s="637">
        <v>83541</v>
      </c>
      <c r="H32" s="637">
        <v>6956</v>
      </c>
    </row>
    <row r="33" spans="1:8 16384:16384" x14ac:dyDescent="0.2">
      <c r="B33" s="632" t="str">
        <f t="shared" si="2"/>
        <v>SANTARÉM</v>
      </c>
      <c r="C33" s="636">
        <v>6</v>
      </c>
      <c r="D33" s="636">
        <v>13</v>
      </c>
      <c r="E33" s="637">
        <v>2151</v>
      </c>
      <c r="F33" s="638">
        <v>32314.850000000002</v>
      </c>
      <c r="G33" s="637">
        <v>5770</v>
      </c>
      <c r="H33" s="637">
        <v>751</v>
      </c>
    </row>
    <row r="34" spans="1:8 16384:16384" x14ac:dyDescent="0.2">
      <c r="B34" s="632" t="str">
        <f t="shared" si="2"/>
        <v>SETÚBAL</v>
      </c>
      <c r="C34" s="636">
        <v>10</v>
      </c>
      <c r="D34" s="636">
        <v>41</v>
      </c>
      <c r="E34" s="637">
        <v>8086</v>
      </c>
      <c r="F34" s="638">
        <v>197971.63999999998</v>
      </c>
      <c r="G34" s="637">
        <v>34566</v>
      </c>
      <c r="H34" s="637">
        <v>2906</v>
      </c>
    </row>
    <row r="35" spans="1:8 16384:16384" x14ac:dyDescent="0.2">
      <c r="B35" s="632" t="str">
        <f t="shared" si="2"/>
        <v>VIANA DO CASTELO</v>
      </c>
      <c r="C35" s="636">
        <v>5</v>
      </c>
      <c r="D35" s="636">
        <v>7</v>
      </c>
      <c r="E35" s="637">
        <v>1338</v>
      </c>
      <c r="F35" s="638">
        <v>12820.05</v>
      </c>
      <c r="G35" s="637">
        <v>3074</v>
      </c>
      <c r="H35" s="637">
        <v>250</v>
      </c>
    </row>
    <row r="36" spans="1:8 16384:16384" x14ac:dyDescent="0.2">
      <c r="B36" s="632" t="str">
        <f t="shared" si="2"/>
        <v>VILA REAL</v>
      </c>
      <c r="C36" s="636">
        <v>3</v>
      </c>
      <c r="D36" s="636">
        <v>9</v>
      </c>
      <c r="E36" s="637">
        <v>1251</v>
      </c>
      <c r="F36" s="638">
        <v>24597.4</v>
      </c>
      <c r="G36" s="637">
        <v>4611</v>
      </c>
      <c r="H36" s="637">
        <v>489</v>
      </c>
    </row>
    <row r="37" spans="1:8 16384:16384" x14ac:dyDescent="0.2">
      <c r="B37" s="632" t="str">
        <f t="shared" si="2"/>
        <v>VISEU</v>
      </c>
      <c r="C37" s="636">
        <v>3</v>
      </c>
      <c r="D37" s="636">
        <v>13</v>
      </c>
      <c r="E37" s="637">
        <v>2006</v>
      </c>
      <c r="F37" s="638">
        <v>33575.08</v>
      </c>
      <c r="G37" s="637">
        <v>6166</v>
      </c>
      <c r="H37" s="637">
        <v>726</v>
      </c>
    </row>
    <row r="38" spans="1:8 16384:16384" x14ac:dyDescent="0.2">
      <c r="B38" s="632" t="str">
        <f t="shared" si="2"/>
        <v>MADEIRA</v>
      </c>
      <c r="C38" s="636">
        <v>2</v>
      </c>
      <c r="D38" s="636">
        <v>13</v>
      </c>
      <c r="E38" s="637">
        <v>2647</v>
      </c>
      <c r="F38" s="638">
        <v>42434.26</v>
      </c>
      <c r="G38" s="637">
        <v>7947</v>
      </c>
      <c r="H38" s="637">
        <v>1002</v>
      </c>
    </row>
    <row r="39" spans="1:8 16384:16384" x14ac:dyDescent="0.2">
      <c r="B39" s="632" t="str">
        <f t="shared" si="2"/>
        <v>AÇORES</v>
      </c>
      <c r="C39" s="636">
        <v>2</v>
      </c>
      <c r="D39" s="636">
        <v>4</v>
      </c>
      <c r="E39" s="637">
        <v>580</v>
      </c>
      <c r="F39" s="638">
        <v>4401</v>
      </c>
      <c r="G39" s="637">
        <v>1028</v>
      </c>
      <c r="H39" s="637">
        <v>149</v>
      </c>
    </row>
    <row r="40" spans="1:8 16384:16384" ht="12.75" customHeight="1" x14ac:dyDescent="0.2">
      <c r="B40" s="337" t="s">
        <v>12</v>
      </c>
      <c r="C40" s="606">
        <f>SUM(C20:C39)</f>
        <v>125</v>
      </c>
      <c r="D40" s="606">
        <f>SUM(D20:D39)</f>
        <v>484</v>
      </c>
      <c r="E40" s="643">
        <f>SUM(E20:E39)</f>
        <v>88006</v>
      </c>
      <c r="F40" s="644">
        <f>SUM(F20:F39)</f>
        <v>2036918.1000000003</v>
      </c>
      <c r="G40" s="643">
        <f>SUM(G20:G39)</f>
        <v>363209</v>
      </c>
      <c r="H40" s="643">
        <f>SUM(H20:H39)</f>
        <v>32985</v>
      </c>
    </row>
    <row r="41" spans="1:8 16384:16384" s="623" customFormat="1" ht="19.5" x14ac:dyDescent="0.2">
      <c r="A41" s="621"/>
      <c r="B41" s="621"/>
      <c r="C41" s="621"/>
      <c r="D41" s="621"/>
      <c r="E41" s="621"/>
      <c r="F41" s="649"/>
      <c r="G41" s="621"/>
      <c r="H41" s="621"/>
      <c r="XFD41" s="646"/>
    </row>
    <row r="43" spans="1:8 16384:16384" hidden="1" x14ac:dyDescent="0.2"/>
    <row r="44" spans="1:8 16384:16384" hidden="1" x14ac:dyDescent="0.2"/>
    <row r="45" spans="1:8 16384:16384" hidden="1" x14ac:dyDescent="0.2"/>
    <row r="46" spans="1:8 16384:16384" hidden="1" x14ac:dyDescent="0.2">
      <c r="B46" s="621" t="s">
        <v>773</v>
      </c>
    </row>
    <row r="47" spans="1:8 16384:16384" ht="24" hidden="1" x14ac:dyDescent="0.2">
      <c r="B47" s="650" t="s">
        <v>855</v>
      </c>
    </row>
    <row r="48" spans="1:8 16384:16384" hidden="1" x14ac:dyDescent="0.2">
      <c r="B48" s="632" t="s">
        <v>786</v>
      </c>
    </row>
    <row r="49" spans="2:2" hidden="1" x14ac:dyDescent="0.2">
      <c r="B49" s="651" t="s">
        <v>787</v>
      </c>
    </row>
    <row r="50" spans="2:2" hidden="1" x14ac:dyDescent="0.2">
      <c r="B50" s="651" t="s">
        <v>788</v>
      </c>
    </row>
    <row r="51" spans="2:2" hidden="1" x14ac:dyDescent="0.2">
      <c r="B51" s="651" t="s">
        <v>789</v>
      </c>
    </row>
    <row r="52" spans="2:2" hidden="1" x14ac:dyDescent="0.2">
      <c r="B52" s="651" t="s">
        <v>790</v>
      </c>
    </row>
    <row r="53" spans="2:2" hidden="1" x14ac:dyDescent="0.2">
      <c r="B53" s="651" t="s">
        <v>791</v>
      </c>
    </row>
    <row r="54" spans="2:2" hidden="1" x14ac:dyDescent="0.2">
      <c r="B54" s="651" t="s">
        <v>792</v>
      </c>
    </row>
    <row r="55" spans="2:2" hidden="1" x14ac:dyDescent="0.2"/>
    <row r="56" spans="2:2" hidden="1" x14ac:dyDescent="0.2"/>
    <row r="57" spans="2:2" hidden="1" x14ac:dyDescent="0.2"/>
    <row r="58" spans="2:2" hidden="1" x14ac:dyDescent="0.2"/>
    <row r="59" spans="2:2" ht="24" hidden="1" x14ac:dyDescent="0.2">
      <c r="B59" s="650" t="s">
        <v>856</v>
      </c>
    </row>
    <row r="60" spans="2:2" hidden="1" x14ac:dyDescent="0.2">
      <c r="B60" s="632" t="s">
        <v>798</v>
      </c>
    </row>
    <row r="61" spans="2:2" hidden="1" x14ac:dyDescent="0.2">
      <c r="B61" s="651" t="s">
        <v>806</v>
      </c>
    </row>
    <row r="62" spans="2:2" hidden="1" x14ac:dyDescent="0.2">
      <c r="B62" s="651" t="s">
        <v>795</v>
      </c>
    </row>
    <row r="63" spans="2:2" hidden="1" x14ac:dyDescent="0.2">
      <c r="B63" s="651" t="s">
        <v>937</v>
      </c>
    </row>
    <row r="64" spans="2:2" hidden="1" x14ac:dyDescent="0.2">
      <c r="B64" s="651" t="s">
        <v>804</v>
      </c>
    </row>
    <row r="65" spans="2:2" hidden="1" x14ac:dyDescent="0.2">
      <c r="B65" s="651" t="s">
        <v>797</v>
      </c>
    </row>
    <row r="66" spans="2:2" hidden="1" x14ac:dyDescent="0.2">
      <c r="B66" s="651" t="s">
        <v>807</v>
      </c>
    </row>
    <row r="67" spans="2:2" hidden="1" x14ac:dyDescent="0.2">
      <c r="B67" s="651" t="s">
        <v>796</v>
      </c>
    </row>
    <row r="68" spans="2:2" hidden="1" x14ac:dyDescent="0.2">
      <c r="B68" s="651" t="s">
        <v>805</v>
      </c>
    </row>
    <row r="69" spans="2:2" hidden="1" x14ac:dyDescent="0.2">
      <c r="B69" s="651" t="s">
        <v>799</v>
      </c>
    </row>
    <row r="70" spans="2:2" hidden="1" x14ac:dyDescent="0.2">
      <c r="B70" s="651" t="s">
        <v>786</v>
      </c>
    </row>
    <row r="71" spans="2:2" hidden="1" x14ac:dyDescent="0.2">
      <c r="B71" s="651" t="s">
        <v>808</v>
      </c>
    </row>
    <row r="72" spans="2:2" hidden="1" x14ac:dyDescent="0.2">
      <c r="B72" s="651" t="s">
        <v>793</v>
      </c>
    </row>
    <row r="73" spans="2:2" hidden="1" x14ac:dyDescent="0.2">
      <c r="B73" s="651" t="s">
        <v>801</v>
      </c>
    </row>
    <row r="74" spans="2:2" hidden="1" x14ac:dyDescent="0.2">
      <c r="B74" s="651" t="s">
        <v>794</v>
      </c>
    </row>
    <row r="75" spans="2:2" hidden="1" x14ac:dyDescent="0.2">
      <c r="B75" s="651" t="s">
        <v>803</v>
      </c>
    </row>
    <row r="76" spans="2:2" hidden="1" x14ac:dyDescent="0.2">
      <c r="B76" s="651" t="s">
        <v>802</v>
      </c>
    </row>
    <row r="77" spans="2:2" hidden="1" x14ac:dyDescent="0.2">
      <c r="B77" s="651" t="s">
        <v>800</v>
      </c>
    </row>
    <row r="78" spans="2:2" hidden="1" x14ac:dyDescent="0.2">
      <c r="B78" s="651" t="s">
        <v>791</v>
      </c>
    </row>
    <row r="79" spans="2:2" hidden="1" x14ac:dyDescent="0.2">
      <c r="B79" s="651" t="s">
        <v>792</v>
      </c>
    </row>
  </sheetData>
  <sheetProtection algorithmName="SHA-512" hashValue="vtyROsvqsvTBHz1qZpq4UYVhCJ0u9oMrK5lwI872I0hhKeXyefawEZ7ya7D88QWn9ff+OSRfknh6gyxCeGngMg==" saltValue="wRPT1MEP0fcI5mh5ijutXA==" spinCount="100000" sheet="1" objects="1" scenarios="1"/>
  <mergeCells count="4">
    <mergeCell ref="B2:H2"/>
    <mergeCell ref="B5:H5"/>
    <mergeCell ref="B17:H17"/>
    <mergeCell ref="B3:H3"/>
  </mergeCells>
  <printOptions horizontalCentered="1" verticalCentered="1"/>
  <pageMargins left="0.19685039370078741" right="0.19685039370078741" top="0.78740157480314965" bottom="0.39370078740157483" header="0.19685039370078741" footer="0.19685039370078741"/>
  <pageSetup paperSize="9" scale="96" firstPageNumber="4" orientation="portrait" useFirstPageNumber="1" verticalDpi="1200" r:id="rId1"/>
  <headerFooter>
    <oddHeader>&amp;L&amp;G</oddHeader>
    <oddFooter>&amp;C&amp;"-,Normal"&amp;8DIVISÃO DE ESTUDOS E ESTATÍSTICA - 2012 - RESEARCH AND STATISTICS DIVISION&amp;R&amp;"-,Normal"&amp;8 4</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14791-56AD-4CDC-9C3F-9B5E22A01C4A}">
  <sheetPr>
    <tabColor theme="5" tint="-0.499984740745262"/>
    <pageSetUpPr fitToPage="1"/>
  </sheetPr>
  <dimension ref="A2:Q86"/>
  <sheetViews>
    <sheetView showGridLines="0" zoomScale="110" zoomScaleNormal="110" workbookViewId="0">
      <selection activeCell="B2" sqref="B2:E2"/>
    </sheetView>
  </sheetViews>
  <sheetFormatPr defaultRowHeight="15" x14ac:dyDescent="0.2"/>
  <cols>
    <col min="1" max="1" width="9.140625" style="110"/>
    <col min="2" max="2" width="48" style="110" customWidth="1"/>
    <col min="3" max="3" width="12.42578125" style="111" customWidth="1"/>
    <col min="4" max="4" width="33.28515625" style="110" customWidth="1"/>
    <col min="5" max="5" width="29" style="110" customWidth="1"/>
    <col min="6" max="6" width="9.140625" style="110"/>
    <col min="7" max="7" width="35.7109375" style="242" customWidth="1"/>
    <col min="8" max="16" width="7.7109375" style="242" customWidth="1"/>
    <col min="17" max="248" width="9.140625" style="110"/>
    <col min="249" max="249" width="2.28515625" style="110" customWidth="1"/>
    <col min="250" max="250" width="9.28515625" style="110" customWidth="1"/>
    <col min="251" max="251" width="37.140625" style="110" customWidth="1"/>
    <col min="252" max="252" width="17.140625" style="110" customWidth="1"/>
    <col min="253" max="253" width="33.28515625" style="110" customWidth="1"/>
    <col min="254" max="254" width="11.85546875" style="110" customWidth="1"/>
    <col min="255" max="504" width="9.140625" style="110"/>
    <col min="505" max="505" width="2.28515625" style="110" customWidth="1"/>
    <col min="506" max="506" width="9.28515625" style="110" customWidth="1"/>
    <col min="507" max="507" width="37.140625" style="110" customWidth="1"/>
    <col min="508" max="508" width="17.140625" style="110" customWidth="1"/>
    <col min="509" max="509" width="33.28515625" style="110" customWidth="1"/>
    <col min="510" max="510" width="11.85546875" style="110" customWidth="1"/>
    <col min="511" max="760" width="9.140625" style="110"/>
    <col min="761" max="761" width="2.28515625" style="110" customWidth="1"/>
    <col min="762" max="762" width="9.28515625" style="110" customWidth="1"/>
    <col min="763" max="763" width="37.140625" style="110" customWidth="1"/>
    <col min="764" max="764" width="17.140625" style="110" customWidth="1"/>
    <col min="765" max="765" width="33.28515625" style="110" customWidth="1"/>
    <col min="766" max="766" width="11.85546875" style="110" customWidth="1"/>
    <col min="767" max="1016" width="9.140625" style="110"/>
    <col min="1017" max="1017" width="2.28515625" style="110" customWidth="1"/>
    <col min="1018" max="1018" width="9.28515625" style="110" customWidth="1"/>
    <col min="1019" max="1019" width="37.140625" style="110" customWidth="1"/>
    <col min="1020" max="1020" width="17.140625" style="110" customWidth="1"/>
    <col min="1021" max="1021" width="33.28515625" style="110" customWidth="1"/>
    <col min="1022" max="1022" width="11.85546875" style="110" customWidth="1"/>
    <col min="1023" max="1272" width="9.140625" style="110"/>
    <col min="1273" max="1273" width="2.28515625" style="110" customWidth="1"/>
    <col min="1274" max="1274" width="9.28515625" style="110" customWidth="1"/>
    <col min="1275" max="1275" width="37.140625" style="110" customWidth="1"/>
    <col min="1276" max="1276" width="17.140625" style="110" customWidth="1"/>
    <col min="1277" max="1277" width="33.28515625" style="110" customWidth="1"/>
    <col min="1278" max="1278" width="11.85546875" style="110" customWidth="1"/>
    <col min="1279" max="1528" width="9.140625" style="110"/>
    <col min="1529" max="1529" width="2.28515625" style="110" customWidth="1"/>
    <col min="1530" max="1530" width="9.28515625" style="110" customWidth="1"/>
    <col min="1531" max="1531" width="37.140625" style="110" customWidth="1"/>
    <col min="1532" max="1532" width="17.140625" style="110" customWidth="1"/>
    <col min="1533" max="1533" width="33.28515625" style="110" customWidth="1"/>
    <col min="1534" max="1534" width="11.85546875" style="110" customWidth="1"/>
    <col min="1535" max="1784" width="9.140625" style="110"/>
    <col min="1785" max="1785" width="2.28515625" style="110" customWidth="1"/>
    <col min="1786" max="1786" width="9.28515625" style="110" customWidth="1"/>
    <col min="1787" max="1787" width="37.140625" style="110" customWidth="1"/>
    <col min="1788" max="1788" width="17.140625" style="110" customWidth="1"/>
    <col min="1789" max="1789" width="33.28515625" style="110" customWidth="1"/>
    <col min="1790" max="1790" width="11.85546875" style="110" customWidth="1"/>
    <col min="1791" max="2040" width="9.140625" style="110"/>
    <col min="2041" max="2041" width="2.28515625" style="110" customWidth="1"/>
    <col min="2042" max="2042" width="9.28515625" style="110" customWidth="1"/>
    <col min="2043" max="2043" width="37.140625" style="110" customWidth="1"/>
    <col min="2044" max="2044" width="17.140625" style="110" customWidth="1"/>
    <col min="2045" max="2045" width="33.28515625" style="110" customWidth="1"/>
    <col min="2046" max="2046" width="11.85546875" style="110" customWidth="1"/>
    <col min="2047" max="2296" width="9.140625" style="110"/>
    <col min="2297" max="2297" width="2.28515625" style="110" customWidth="1"/>
    <col min="2298" max="2298" width="9.28515625" style="110" customWidth="1"/>
    <col min="2299" max="2299" width="37.140625" style="110" customWidth="1"/>
    <col min="2300" max="2300" width="17.140625" style="110" customWidth="1"/>
    <col min="2301" max="2301" width="33.28515625" style="110" customWidth="1"/>
    <col min="2302" max="2302" width="11.85546875" style="110" customWidth="1"/>
    <col min="2303" max="2552" width="9.140625" style="110"/>
    <col min="2553" max="2553" width="2.28515625" style="110" customWidth="1"/>
    <col min="2554" max="2554" width="9.28515625" style="110" customWidth="1"/>
    <col min="2555" max="2555" width="37.140625" style="110" customWidth="1"/>
    <col min="2556" max="2556" width="17.140625" style="110" customWidth="1"/>
    <col min="2557" max="2557" width="33.28515625" style="110" customWidth="1"/>
    <col min="2558" max="2558" width="11.85546875" style="110" customWidth="1"/>
    <col min="2559" max="2808" width="9.140625" style="110"/>
    <col min="2809" max="2809" width="2.28515625" style="110" customWidth="1"/>
    <col min="2810" max="2810" width="9.28515625" style="110" customWidth="1"/>
    <col min="2811" max="2811" width="37.140625" style="110" customWidth="1"/>
    <col min="2812" max="2812" width="17.140625" style="110" customWidth="1"/>
    <col min="2813" max="2813" width="33.28515625" style="110" customWidth="1"/>
    <col min="2814" max="2814" width="11.85546875" style="110" customWidth="1"/>
    <col min="2815" max="3064" width="9.140625" style="110"/>
    <col min="3065" max="3065" width="2.28515625" style="110" customWidth="1"/>
    <col min="3066" max="3066" width="9.28515625" style="110" customWidth="1"/>
    <col min="3067" max="3067" width="37.140625" style="110" customWidth="1"/>
    <col min="3068" max="3068" width="17.140625" style="110" customWidth="1"/>
    <col min="3069" max="3069" width="33.28515625" style="110" customWidth="1"/>
    <col min="3070" max="3070" width="11.85546875" style="110" customWidth="1"/>
    <col min="3071" max="3320" width="9.140625" style="110"/>
    <col min="3321" max="3321" width="2.28515625" style="110" customWidth="1"/>
    <col min="3322" max="3322" width="9.28515625" style="110" customWidth="1"/>
    <col min="3323" max="3323" width="37.140625" style="110" customWidth="1"/>
    <col min="3324" max="3324" width="17.140625" style="110" customWidth="1"/>
    <col min="3325" max="3325" width="33.28515625" style="110" customWidth="1"/>
    <col min="3326" max="3326" width="11.85546875" style="110" customWidth="1"/>
    <col min="3327" max="3576" width="9.140625" style="110"/>
    <col min="3577" max="3577" width="2.28515625" style="110" customWidth="1"/>
    <col min="3578" max="3578" width="9.28515625" style="110" customWidth="1"/>
    <col min="3579" max="3579" width="37.140625" style="110" customWidth="1"/>
    <col min="3580" max="3580" width="17.140625" style="110" customWidth="1"/>
    <col min="3581" max="3581" width="33.28515625" style="110" customWidth="1"/>
    <col min="3582" max="3582" width="11.85546875" style="110" customWidth="1"/>
    <col min="3583" max="3832" width="9.140625" style="110"/>
    <col min="3833" max="3833" width="2.28515625" style="110" customWidth="1"/>
    <col min="3834" max="3834" width="9.28515625" style="110" customWidth="1"/>
    <col min="3835" max="3835" width="37.140625" style="110" customWidth="1"/>
    <col min="3836" max="3836" width="17.140625" style="110" customWidth="1"/>
    <col min="3837" max="3837" width="33.28515625" style="110" customWidth="1"/>
    <col min="3838" max="3838" width="11.85546875" style="110" customWidth="1"/>
    <col min="3839" max="4088" width="9.140625" style="110"/>
    <col min="4089" max="4089" width="2.28515625" style="110" customWidth="1"/>
    <col min="4090" max="4090" width="9.28515625" style="110" customWidth="1"/>
    <col min="4091" max="4091" width="37.140625" style="110" customWidth="1"/>
    <col min="4092" max="4092" width="17.140625" style="110" customWidth="1"/>
    <col min="4093" max="4093" width="33.28515625" style="110" customWidth="1"/>
    <col min="4094" max="4094" width="11.85546875" style="110" customWidth="1"/>
    <col min="4095" max="4344" width="9.140625" style="110"/>
    <col min="4345" max="4345" width="2.28515625" style="110" customWidth="1"/>
    <col min="4346" max="4346" width="9.28515625" style="110" customWidth="1"/>
    <col min="4347" max="4347" width="37.140625" style="110" customWidth="1"/>
    <col min="4348" max="4348" width="17.140625" style="110" customWidth="1"/>
    <col min="4349" max="4349" width="33.28515625" style="110" customWidth="1"/>
    <col min="4350" max="4350" width="11.85546875" style="110" customWidth="1"/>
    <col min="4351" max="4600" width="9.140625" style="110"/>
    <col min="4601" max="4601" width="2.28515625" style="110" customWidth="1"/>
    <col min="4602" max="4602" width="9.28515625" style="110" customWidth="1"/>
    <col min="4603" max="4603" width="37.140625" style="110" customWidth="1"/>
    <col min="4604" max="4604" width="17.140625" style="110" customWidth="1"/>
    <col min="4605" max="4605" width="33.28515625" style="110" customWidth="1"/>
    <col min="4606" max="4606" width="11.85546875" style="110" customWidth="1"/>
    <col min="4607" max="4856" width="9.140625" style="110"/>
    <col min="4857" max="4857" width="2.28515625" style="110" customWidth="1"/>
    <col min="4858" max="4858" width="9.28515625" style="110" customWidth="1"/>
    <col min="4859" max="4859" width="37.140625" style="110" customWidth="1"/>
    <col min="4860" max="4860" width="17.140625" style="110" customWidth="1"/>
    <col min="4861" max="4861" width="33.28515625" style="110" customWidth="1"/>
    <col min="4862" max="4862" width="11.85546875" style="110" customWidth="1"/>
    <col min="4863" max="5112" width="9.140625" style="110"/>
    <col min="5113" max="5113" width="2.28515625" style="110" customWidth="1"/>
    <col min="5114" max="5114" width="9.28515625" style="110" customWidth="1"/>
    <col min="5115" max="5115" width="37.140625" style="110" customWidth="1"/>
    <col min="5116" max="5116" width="17.140625" style="110" customWidth="1"/>
    <col min="5117" max="5117" width="33.28515625" style="110" customWidth="1"/>
    <col min="5118" max="5118" width="11.85546875" style="110" customWidth="1"/>
    <col min="5119" max="5368" width="9.140625" style="110"/>
    <col min="5369" max="5369" width="2.28515625" style="110" customWidth="1"/>
    <col min="5370" max="5370" width="9.28515625" style="110" customWidth="1"/>
    <col min="5371" max="5371" width="37.140625" style="110" customWidth="1"/>
    <col min="5372" max="5372" width="17.140625" style="110" customWidth="1"/>
    <col min="5373" max="5373" width="33.28515625" style="110" customWidth="1"/>
    <col min="5374" max="5374" width="11.85546875" style="110" customWidth="1"/>
    <col min="5375" max="5624" width="9.140625" style="110"/>
    <col min="5625" max="5625" width="2.28515625" style="110" customWidth="1"/>
    <col min="5626" max="5626" width="9.28515625" style="110" customWidth="1"/>
    <col min="5627" max="5627" width="37.140625" style="110" customWidth="1"/>
    <col min="5628" max="5628" width="17.140625" style="110" customWidth="1"/>
    <col min="5629" max="5629" width="33.28515625" style="110" customWidth="1"/>
    <col min="5630" max="5630" width="11.85546875" style="110" customWidth="1"/>
    <col min="5631" max="5880" width="9.140625" style="110"/>
    <col min="5881" max="5881" width="2.28515625" style="110" customWidth="1"/>
    <col min="5882" max="5882" width="9.28515625" style="110" customWidth="1"/>
    <col min="5883" max="5883" width="37.140625" style="110" customWidth="1"/>
    <col min="5884" max="5884" width="17.140625" style="110" customWidth="1"/>
    <col min="5885" max="5885" width="33.28515625" style="110" customWidth="1"/>
    <col min="5886" max="5886" width="11.85546875" style="110" customWidth="1"/>
    <col min="5887" max="6136" width="9.140625" style="110"/>
    <col min="6137" max="6137" width="2.28515625" style="110" customWidth="1"/>
    <col min="6138" max="6138" width="9.28515625" style="110" customWidth="1"/>
    <col min="6139" max="6139" width="37.140625" style="110" customWidth="1"/>
    <col min="6140" max="6140" width="17.140625" style="110" customWidth="1"/>
    <col min="6141" max="6141" width="33.28515625" style="110" customWidth="1"/>
    <col min="6142" max="6142" width="11.85546875" style="110" customWidth="1"/>
    <col min="6143" max="6392" width="9.140625" style="110"/>
    <col min="6393" max="6393" width="2.28515625" style="110" customWidth="1"/>
    <col min="6394" max="6394" width="9.28515625" style="110" customWidth="1"/>
    <col min="6395" max="6395" width="37.140625" style="110" customWidth="1"/>
    <col min="6396" max="6396" width="17.140625" style="110" customWidth="1"/>
    <col min="6397" max="6397" width="33.28515625" style="110" customWidth="1"/>
    <col min="6398" max="6398" width="11.85546875" style="110" customWidth="1"/>
    <col min="6399" max="6648" width="9.140625" style="110"/>
    <col min="6649" max="6649" width="2.28515625" style="110" customWidth="1"/>
    <col min="6650" max="6650" width="9.28515625" style="110" customWidth="1"/>
    <col min="6651" max="6651" width="37.140625" style="110" customWidth="1"/>
    <col min="6652" max="6652" width="17.140625" style="110" customWidth="1"/>
    <col min="6653" max="6653" width="33.28515625" style="110" customWidth="1"/>
    <col min="6654" max="6654" width="11.85546875" style="110" customWidth="1"/>
    <col min="6655" max="6904" width="9.140625" style="110"/>
    <col min="6905" max="6905" width="2.28515625" style="110" customWidth="1"/>
    <col min="6906" max="6906" width="9.28515625" style="110" customWidth="1"/>
    <col min="6907" max="6907" width="37.140625" style="110" customWidth="1"/>
    <col min="6908" max="6908" width="17.140625" style="110" customWidth="1"/>
    <col min="6909" max="6909" width="33.28515625" style="110" customWidth="1"/>
    <col min="6910" max="6910" width="11.85546875" style="110" customWidth="1"/>
    <col min="6911" max="7160" width="9.140625" style="110"/>
    <col min="7161" max="7161" width="2.28515625" style="110" customWidth="1"/>
    <col min="7162" max="7162" width="9.28515625" style="110" customWidth="1"/>
    <col min="7163" max="7163" width="37.140625" style="110" customWidth="1"/>
    <col min="7164" max="7164" width="17.140625" style="110" customWidth="1"/>
    <col min="7165" max="7165" width="33.28515625" style="110" customWidth="1"/>
    <col min="7166" max="7166" width="11.85546875" style="110" customWidth="1"/>
    <col min="7167" max="7416" width="9.140625" style="110"/>
    <col min="7417" max="7417" width="2.28515625" style="110" customWidth="1"/>
    <col min="7418" max="7418" width="9.28515625" style="110" customWidth="1"/>
    <col min="7419" max="7419" width="37.140625" style="110" customWidth="1"/>
    <col min="7420" max="7420" width="17.140625" style="110" customWidth="1"/>
    <col min="7421" max="7421" width="33.28515625" style="110" customWidth="1"/>
    <col min="7422" max="7422" width="11.85546875" style="110" customWidth="1"/>
    <col min="7423" max="7672" width="9.140625" style="110"/>
    <col min="7673" max="7673" width="2.28515625" style="110" customWidth="1"/>
    <col min="7674" max="7674" width="9.28515625" style="110" customWidth="1"/>
    <col min="7675" max="7675" width="37.140625" style="110" customWidth="1"/>
    <col min="7676" max="7676" width="17.140625" style="110" customWidth="1"/>
    <col min="7677" max="7677" width="33.28515625" style="110" customWidth="1"/>
    <col min="7678" max="7678" width="11.85546875" style="110" customWidth="1"/>
    <col min="7679" max="7928" width="9.140625" style="110"/>
    <col min="7929" max="7929" width="2.28515625" style="110" customWidth="1"/>
    <col min="7930" max="7930" width="9.28515625" style="110" customWidth="1"/>
    <col min="7931" max="7931" width="37.140625" style="110" customWidth="1"/>
    <col min="7932" max="7932" width="17.140625" style="110" customWidth="1"/>
    <col min="7933" max="7933" width="33.28515625" style="110" customWidth="1"/>
    <col min="7934" max="7934" width="11.85546875" style="110" customWidth="1"/>
    <col min="7935" max="8184" width="9.140625" style="110"/>
    <col min="8185" max="8185" width="2.28515625" style="110" customWidth="1"/>
    <col min="8186" max="8186" width="9.28515625" style="110" customWidth="1"/>
    <col min="8187" max="8187" width="37.140625" style="110" customWidth="1"/>
    <col min="8188" max="8188" width="17.140625" style="110" customWidth="1"/>
    <col min="8189" max="8189" width="33.28515625" style="110" customWidth="1"/>
    <col min="8190" max="8190" width="11.85546875" style="110" customWidth="1"/>
    <col min="8191" max="8440" width="9.140625" style="110"/>
    <col min="8441" max="8441" width="2.28515625" style="110" customWidth="1"/>
    <col min="8442" max="8442" width="9.28515625" style="110" customWidth="1"/>
    <col min="8443" max="8443" width="37.140625" style="110" customWidth="1"/>
    <col min="8444" max="8444" width="17.140625" style="110" customWidth="1"/>
    <col min="8445" max="8445" width="33.28515625" style="110" customWidth="1"/>
    <col min="8446" max="8446" width="11.85546875" style="110" customWidth="1"/>
    <col min="8447" max="8696" width="9.140625" style="110"/>
    <col min="8697" max="8697" width="2.28515625" style="110" customWidth="1"/>
    <col min="8698" max="8698" width="9.28515625" style="110" customWidth="1"/>
    <col min="8699" max="8699" width="37.140625" style="110" customWidth="1"/>
    <col min="8700" max="8700" width="17.140625" style="110" customWidth="1"/>
    <col min="8701" max="8701" width="33.28515625" style="110" customWidth="1"/>
    <col min="8702" max="8702" width="11.85546875" style="110" customWidth="1"/>
    <col min="8703" max="8952" width="9.140625" style="110"/>
    <col min="8953" max="8953" width="2.28515625" style="110" customWidth="1"/>
    <col min="8954" max="8954" width="9.28515625" style="110" customWidth="1"/>
    <col min="8955" max="8955" width="37.140625" style="110" customWidth="1"/>
    <col min="8956" max="8956" width="17.140625" style="110" customWidth="1"/>
    <col min="8957" max="8957" width="33.28515625" style="110" customWidth="1"/>
    <col min="8958" max="8958" width="11.85546875" style="110" customWidth="1"/>
    <col min="8959" max="9208" width="9.140625" style="110"/>
    <col min="9209" max="9209" width="2.28515625" style="110" customWidth="1"/>
    <col min="9210" max="9210" width="9.28515625" style="110" customWidth="1"/>
    <col min="9211" max="9211" width="37.140625" style="110" customWidth="1"/>
    <col min="9212" max="9212" width="17.140625" style="110" customWidth="1"/>
    <col min="9213" max="9213" width="33.28515625" style="110" customWidth="1"/>
    <col min="9214" max="9214" width="11.85546875" style="110" customWidth="1"/>
    <col min="9215" max="9464" width="9.140625" style="110"/>
    <col min="9465" max="9465" width="2.28515625" style="110" customWidth="1"/>
    <col min="9466" max="9466" width="9.28515625" style="110" customWidth="1"/>
    <col min="9467" max="9467" width="37.140625" style="110" customWidth="1"/>
    <col min="9468" max="9468" width="17.140625" style="110" customWidth="1"/>
    <col min="9469" max="9469" width="33.28515625" style="110" customWidth="1"/>
    <col min="9470" max="9470" width="11.85546875" style="110" customWidth="1"/>
    <col min="9471" max="9720" width="9.140625" style="110"/>
    <col min="9721" max="9721" width="2.28515625" style="110" customWidth="1"/>
    <col min="9722" max="9722" width="9.28515625" style="110" customWidth="1"/>
    <col min="9723" max="9723" width="37.140625" style="110" customWidth="1"/>
    <col min="9724" max="9724" width="17.140625" style="110" customWidth="1"/>
    <col min="9725" max="9725" width="33.28515625" style="110" customWidth="1"/>
    <col min="9726" max="9726" width="11.85546875" style="110" customWidth="1"/>
    <col min="9727" max="9976" width="9.140625" style="110"/>
    <col min="9977" max="9977" width="2.28515625" style="110" customWidth="1"/>
    <col min="9978" max="9978" width="9.28515625" style="110" customWidth="1"/>
    <col min="9979" max="9979" width="37.140625" style="110" customWidth="1"/>
    <col min="9980" max="9980" width="17.140625" style="110" customWidth="1"/>
    <col min="9981" max="9981" width="33.28515625" style="110" customWidth="1"/>
    <col min="9982" max="9982" width="11.85546875" style="110" customWidth="1"/>
    <col min="9983" max="10232" width="9.140625" style="110"/>
    <col min="10233" max="10233" width="2.28515625" style="110" customWidth="1"/>
    <col min="10234" max="10234" width="9.28515625" style="110" customWidth="1"/>
    <col min="10235" max="10235" width="37.140625" style="110" customWidth="1"/>
    <col min="10236" max="10236" width="17.140625" style="110" customWidth="1"/>
    <col min="10237" max="10237" width="33.28515625" style="110" customWidth="1"/>
    <col min="10238" max="10238" width="11.85546875" style="110" customWidth="1"/>
    <col min="10239" max="10488" width="9.140625" style="110"/>
    <col min="10489" max="10489" width="2.28515625" style="110" customWidth="1"/>
    <col min="10490" max="10490" width="9.28515625" style="110" customWidth="1"/>
    <col min="10491" max="10491" width="37.140625" style="110" customWidth="1"/>
    <col min="10492" max="10492" width="17.140625" style="110" customWidth="1"/>
    <col min="10493" max="10493" width="33.28515625" style="110" customWidth="1"/>
    <col min="10494" max="10494" width="11.85546875" style="110" customWidth="1"/>
    <col min="10495" max="10744" width="9.140625" style="110"/>
    <col min="10745" max="10745" width="2.28515625" style="110" customWidth="1"/>
    <col min="10746" max="10746" width="9.28515625" style="110" customWidth="1"/>
    <col min="10747" max="10747" width="37.140625" style="110" customWidth="1"/>
    <col min="10748" max="10748" width="17.140625" style="110" customWidth="1"/>
    <col min="10749" max="10749" width="33.28515625" style="110" customWidth="1"/>
    <col min="10750" max="10750" width="11.85546875" style="110" customWidth="1"/>
    <col min="10751" max="11000" width="9.140625" style="110"/>
    <col min="11001" max="11001" width="2.28515625" style="110" customWidth="1"/>
    <col min="11002" max="11002" width="9.28515625" style="110" customWidth="1"/>
    <col min="11003" max="11003" width="37.140625" style="110" customWidth="1"/>
    <col min="11004" max="11004" width="17.140625" style="110" customWidth="1"/>
    <col min="11005" max="11005" width="33.28515625" style="110" customWidth="1"/>
    <col min="11006" max="11006" width="11.85546875" style="110" customWidth="1"/>
    <col min="11007" max="11256" width="9.140625" style="110"/>
    <col min="11257" max="11257" width="2.28515625" style="110" customWidth="1"/>
    <col min="11258" max="11258" width="9.28515625" style="110" customWidth="1"/>
    <col min="11259" max="11259" width="37.140625" style="110" customWidth="1"/>
    <col min="11260" max="11260" width="17.140625" style="110" customWidth="1"/>
    <col min="11261" max="11261" width="33.28515625" style="110" customWidth="1"/>
    <col min="11262" max="11262" width="11.85546875" style="110" customWidth="1"/>
    <col min="11263" max="11512" width="9.140625" style="110"/>
    <col min="11513" max="11513" width="2.28515625" style="110" customWidth="1"/>
    <col min="11514" max="11514" width="9.28515625" style="110" customWidth="1"/>
    <col min="11515" max="11515" width="37.140625" style="110" customWidth="1"/>
    <col min="11516" max="11516" width="17.140625" style="110" customWidth="1"/>
    <col min="11517" max="11517" width="33.28515625" style="110" customWidth="1"/>
    <col min="11518" max="11518" width="11.85546875" style="110" customWidth="1"/>
    <col min="11519" max="11768" width="9.140625" style="110"/>
    <col min="11769" max="11769" width="2.28515625" style="110" customWidth="1"/>
    <col min="11770" max="11770" width="9.28515625" style="110" customWidth="1"/>
    <col min="11771" max="11771" width="37.140625" style="110" customWidth="1"/>
    <col min="11772" max="11772" width="17.140625" style="110" customWidth="1"/>
    <col min="11773" max="11773" width="33.28515625" style="110" customWidth="1"/>
    <col min="11774" max="11774" width="11.85546875" style="110" customWidth="1"/>
    <col min="11775" max="12024" width="9.140625" style="110"/>
    <col min="12025" max="12025" width="2.28515625" style="110" customWidth="1"/>
    <col min="12026" max="12026" width="9.28515625" style="110" customWidth="1"/>
    <col min="12027" max="12027" width="37.140625" style="110" customWidth="1"/>
    <col min="12028" max="12028" width="17.140625" style="110" customWidth="1"/>
    <col min="12029" max="12029" width="33.28515625" style="110" customWidth="1"/>
    <col min="12030" max="12030" width="11.85546875" style="110" customWidth="1"/>
    <col min="12031" max="12280" width="9.140625" style="110"/>
    <col min="12281" max="12281" width="2.28515625" style="110" customWidth="1"/>
    <col min="12282" max="12282" width="9.28515625" style="110" customWidth="1"/>
    <col min="12283" max="12283" width="37.140625" style="110" customWidth="1"/>
    <col min="12284" max="12284" width="17.140625" style="110" customWidth="1"/>
    <col min="12285" max="12285" width="33.28515625" style="110" customWidth="1"/>
    <col min="12286" max="12286" width="11.85546875" style="110" customWidth="1"/>
    <col min="12287" max="12536" width="9.140625" style="110"/>
    <col min="12537" max="12537" width="2.28515625" style="110" customWidth="1"/>
    <col min="12538" max="12538" width="9.28515625" style="110" customWidth="1"/>
    <col min="12539" max="12539" width="37.140625" style="110" customWidth="1"/>
    <col min="12540" max="12540" width="17.140625" style="110" customWidth="1"/>
    <col min="12541" max="12541" width="33.28515625" style="110" customWidth="1"/>
    <col min="12542" max="12542" width="11.85546875" style="110" customWidth="1"/>
    <col min="12543" max="12792" width="9.140625" style="110"/>
    <col min="12793" max="12793" width="2.28515625" style="110" customWidth="1"/>
    <col min="12794" max="12794" width="9.28515625" style="110" customWidth="1"/>
    <col min="12795" max="12795" width="37.140625" style="110" customWidth="1"/>
    <col min="12796" max="12796" width="17.140625" style="110" customWidth="1"/>
    <col min="12797" max="12797" width="33.28515625" style="110" customWidth="1"/>
    <col min="12798" max="12798" width="11.85546875" style="110" customWidth="1"/>
    <col min="12799" max="13048" width="9.140625" style="110"/>
    <col min="13049" max="13049" width="2.28515625" style="110" customWidth="1"/>
    <col min="13050" max="13050" width="9.28515625" style="110" customWidth="1"/>
    <col min="13051" max="13051" width="37.140625" style="110" customWidth="1"/>
    <col min="13052" max="13052" width="17.140625" style="110" customWidth="1"/>
    <col min="13053" max="13053" width="33.28515625" style="110" customWidth="1"/>
    <col min="13054" max="13054" width="11.85546875" style="110" customWidth="1"/>
    <col min="13055" max="13304" width="9.140625" style="110"/>
    <col min="13305" max="13305" width="2.28515625" style="110" customWidth="1"/>
    <col min="13306" max="13306" width="9.28515625" style="110" customWidth="1"/>
    <col min="13307" max="13307" width="37.140625" style="110" customWidth="1"/>
    <col min="13308" max="13308" width="17.140625" style="110" customWidth="1"/>
    <col min="13309" max="13309" width="33.28515625" style="110" customWidth="1"/>
    <col min="13310" max="13310" width="11.85546875" style="110" customWidth="1"/>
    <col min="13311" max="13560" width="9.140625" style="110"/>
    <col min="13561" max="13561" width="2.28515625" style="110" customWidth="1"/>
    <col min="13562" max="13562" width="9.28515625" style="110" customWidth="1"/>
    <col min="13563" max="13563" width="37.140625" style="110" customWidth="1"/>
    <col min="13564" max="13564" width="17.140625" style="110" customWidth="1"/>
    <col min="13565" max="13565" width="33.28515625" style="110" customWidth="1"/>
    <col min="13566" max="13566" width="11.85546875" style="110" customWidth="1"/>
    <col min="13567" max="13816" width="9.140625" style="110"/>
    <col min="13817" max="13817" width="2.28515625" style="110" customWidth="1"/>
    <col min="13818" max="13818" width="9.28515625" style="110" customWidth="1"/>
    <col min="13819" max="13819" width="37.140625" style="110" customWidth="1"/>
    <col min="13820" max="13820" width="17.140625" style="110" customWidth="1"/>
    <col min="13821" max="13821" width="33.28515625" style="110" customWidth="1"/>
    <col min="13822" max="13822" width="11.85546875" style="110" customWidth="1"/>
    <col min="13823" max="14072" width="9.140625" style="110"/>
    <col min="14073" max="14073" width="2.28515625" style="110" customWidth="1"/>
    <col min="14074" max="14074" width="9.28515625" style="110" customWidth="1"/>
    <col min="14075" max="14075" width="37.140625" style="110" customWidth="1"/>
    <col min="14076" max="14076" width="17.140625" style="110" customWidth="1"/>
    <col min="14077" max="14077" width="33.28515625" style="110" customWidth="1"/>
    <col min="14078" max="14078" width="11.85546875" style="110" customWidth="1"/>
    <col min="14079" max="14328" width="9.140625" style="110"/>
    <col min="14329" max="14329" width="2.28515625" style="110" customWidth="1"/>
    <col min="14330" max="14330" width="9.28515625" style="110" customWidth="1"/>
    <col min="14331" max="14331" width="37.140625" style="110" customWidth="1"/>
    <col min="14332" max="14332" width="17.140625" style="110" customWidth="1"/>
    <col min="14333" max="14333" width="33.28515625" style="110" customWidth="1"/>
    <col min="14334" max="14334" width="11.85546875" style="110" customWidth="1"/>
    <col min="14335" max="14584" width="9.140625" style="110"/>
    <col min="14585" max="14585" width="2.28515625" style="110" customWidth="1"/>
    <col min="14586" max="14586" width="9.28515625" style="110" customWidth="1"/>
    <col min="14587" max="14587" width="37.140625" style="110" customWidth="1"/>
    <col min="14588" max="14588" width="17.140625" style="110" customWidth="1"/>
    <col min="14589" max="14589" width="33.28515625" style="110" customWidth="1"/>
    <col min="14590" max="14590" width="11.85546875" style="110" customWidth="1"/>
    <col min="14591" max="14840" width="9.140625" style="110"/>
    <col min="14841" max="14841" width="2.28515625" style="110" customWidth="1"/>
    <col min="14842" max="14842" width="9.28515625" style="110" customWidth="1"/>
    <col min="14843" max="14843" width="37.140625" style="110" customWidth="1"/>
    <col min="14844" max="14844" width="17.140625" style="110" customWidth="1"/>
    <col min="14845" max="14845" width="33.28515625" style="110" customWidth="1"/>
    <col min="14846" max="14846" width="11.85546875" style="110" customWidth="1"/>
    <col min="14847" max="15096" width="9.140625" style="110"/>
    <col min="15097" max="15097" width="2.28515625" style="110" customWidth="1"/>
    <col min="15098" max="15098" width="9.28515625" style="110" customWidth="1"/>
    <col min="15099" max="15099" width="37.140625" style="110" customWidth="1"/>
    <col min="15100" max="15100" width="17.140625" style="110" customWidth="1"/>
    <col min="15101" max="15101" width="33.28515625" style="110" customWidth="1"/>
    <col min="15102" max="15102" width="11.85546875" style="110" customWidth="1"/>
    <col min="15103" max="15352" width="9.140625" style="110"/>
    <col min="15353" max="15353" width="2.28515625" style="110" customWidth="1"/>
    <col min="15354" max="15354" width="9.28515625" style="110" customWidth="1"/>
    <col min="15355" max="15355" width="37.140625" style="110" customWidth="1"/>
    <col min="15356" max="15356" width="17.140625" style="110" customWidth="1"/>
    <col min="15357" max="15357" width="33.28515625" style="110" customWidth="1"/>
    <col min="15358" max="15358" width="11.85546875" style="110" customWidth="1"/>
    <col min="15359" max="15608" width="9.140625" style="110"/>
    <col min="15609" max="15609" width="2.28515625" style="110" customWidth="1"/>
    <col min="15610" max="15610" width="9.28515625" style="110" customWidth="1"/>
    <col min="15611" max="15611" width="37.140625" style="110" customWidth="1"/>
    <col min="15612" max="15612" width="17.140625" style="110" customWidth="1"/>
    <col min="15613" max="15613" width="33.28515625" style="110" customWidth="1"/>
    <col min="15614" max="15614" width="11.85546875" style="110" customWidth="1"/>
    <col min="15615" max="15864" width="9.140625" style="110"/>
    <col min="15865" max="15865" width="2.28515625" style="110" customWidth="1"/>
    <col min="15866" max="15866" width="9.28515625" style="110" customWidth="1"/>
    <col min="15867" max="15867" width="37.140625" style="110" customWidth="1"/>
    <col min="15868" max="15868" width="17.140625" style="110" customWidth="1"/>
    <col min="15869" max="15869" width="33.28515625" style="110" customWidth="1"/>
    <col min="15870" max="15870" width="11.85546875" style="110" customWidth="1"/>
    <col min="15871" max="16120" width="9.140625" style="110"/>
    <col min="16121" max="16121" width="2.28515625" style="110" customWidth="1"/>
    <col min="16122" max="16122" width="9.28515625" style="110" customWidth="1"/>
    <col min="16123" max="16123" width="37.140625" style="110" customWidth="1"/>
    <col min="16124" max="16124" width="17.140625" style="110" customWidth="1"/>
    <col min="16125" max="16125" width="33.28515625" style="110" customWidth="1"/>
    <col min="16126" max="16126" width="11.85546875" style="110" customWidth="1"/>
    <col min="16127" max="16384" width="9.140625" style="110"/>
  </cols>
  <sheetData>
    <row r="2" spans="1:17" ht="31.5" customHeight="1" x14ac:dyDescent="0.2">
      <c r="A2" s="192"/>
      <c r="B2" s="267" t="s">
        <v>1020</v>
      </c>
      <c r="C2" s="268"/>
      <c r="D2" s="268"/>
      <c r="E2" s="268"/>
      <c r="G2" s="269" t="s">
        <v>976</v>
      </c>
      <c r="H2" s="270"/>
      <c r="I2" s="270"/>
      <c r="J2" s="270"/>
      <c r="K2" s="270"/>
      <c r="L2" s="270"/>
      <c r="M2" s="270"/>
      <c r="N2" s="270"/>
      <c r="O2" s="270"/>
      <c r="P2" s="270"/>
      <c r="Q2" s="270"/>
    </row>
    <row r="3" spans="1:17" ht="14.25" customHeight="1" x14ac:dyDescent="0.2"/>
    <row r="4" spans="1:17" ht="24" x14ac:dyDescent="0.2">
      <c r="B4" s="196" t="s">
        <v>859</v>
      </c>
      <c r="C4" s="257" t="s">
        <v>866</v>
      </c>
      <c r="D4" s="197" t="s">
        <v>860</v>
      </c>
      <c r="E4" s="197" t="s">
        <v>893</v>
      </c>
      <c r="G4" s="243"/>
      <c r="H4" s="244">
        <v>2013</v>
      </c>
      <c r="I4" s="244">
        <v>2014</v>
      </c>
      <c r="J4" s="244">
        <v>2015</v>
      </c>
      <c r="K4" s="244">
        <v>2016</v>
      </c>
      <c r="L4" s="244">
        <v>2017</v>
      </c>
      <c r="M4" s="244">
        <v>2018</v>
      </c>
      <c r="N4" s="244">
        <v>2019</v>
      </c>
      <c r="O4" s="244">
        <v>2020</v>
      </c>
      <c r="P4" s="244">
        <v>2021</v>
      </c>
      <c r="Q4" s="244">
        <v>2022</v>
      </c>
    </row>
    <row r="5" spans="1:17" ht="12" x14ac:dyDescent="0.2">
      <c r="B5" s="198"/>
      <c r="C5" s="256"/>
      <c r="D5" s="198"/>
      <c r="E5" s="198"/>
      <c r="G5" s="245" t="s">
        <v>885</v>
      </c>
      <c r="H5" s="246"/>
      <c r="I5" s="246"/>
      <c r="J5" s="246"/>
      <c r="K5" s="246"/>
      <c r="L5" s="246"/>
      <c r="M5" s="246"/>
      <c r="N5" s="246"/>
      <c r="O5" s="246"/>
      <c r="P5" s="246"/>
      <c r="Q5" s="246"/>
    </row>
    <row r="6" spans="1:17" ht="12" customHeight="1" x14ac:dyDescent="0.2">
      <c r="B6" s="200" t="s">
        <v>920</v>
      </c>
      <c r="C6" s="110"/>
      <c r="D6" s="198"/>
      <c r="E6" s="198"/>
      <c r="G6" s="247" t="s">
        <v>924</v>
      </c>
      <c r="H6" s="193" t="s">
        <v>24</v>
      </c>
      <c r="I6" s="193" t="s">
        <v>24</v>
      </c>
      <c r="J6" s="230" t="s">
        <v>24</v>
      </c>
      <c r="K6" s="230" t="s">
        <v>24</v>
      </c>
      <c r="L6" s="230">
        <v>2</v>
      </c>
      <c r="M6" s="230">
        <v>3</v>
      </c>
      <c r="N6" s="261">
        <v>2</v>
      </c>
      <c r="O6" s="261">
        <v>1</v>
      </c>
      <c r="P6" s="258">
        <v>8</v>
      </c>
      <c r="Q6" s="258">
        <v>2</v>
      </c>
    </row>
    <row r="7" spans="1:17" ht="12" customHeight="1" x14ac:dyDescent="0.2">
      <c r="B7" s="108" t="s">
        <v>1016</v>
      </c>
      <c r="C7" s="109" t="s">
        <v>82</v>
      </c>
      <c r="D7" s="108" t="s">
        <v>1018</v>
      </c>
      <c r="E7" s="108" t="s">
        <v>778</v>
      </c>
      <c r="G7" s="247" t="s">
        <v>925</v>
      </c>
      <c r="H7" s="193" t="s">
        <v>24</v>
      </c>
      <c r="I7" s="230" t="s">
        <v>24</v>
      </c>
      <c r="J7" s="193">
        <v>1</v>
      </c>
      <c r="K7" s="230" t="s">
        <v>24</v>
      </c>
      <c r="L7" s="230" t="s">
        <v>24</v>
      </c>
      <c r="M7" s="193" t="s">
        <v>24</v>
      </c>
      <c r="N7" s="261">
        <v>3</v>
      </c>
      <c r="O7" s="261" t="s">
        <v>24</v>
      </c>
      <c r="P7" s="260" t="s">
        <v>24</v>
      </c>
      <c r="Q7" s="260" t="s">
        <v>24</v>
      </c>
    </row>
    <row r="8" spans="1:17" ht="12" customHeight="1" x14ac:dyDescent="0.2">
      <c r="B8" s="108" t="s">
        <v>1017</v>
      </c>
      <c r="C8" s="109" t="s">
        <v>82</v>
      </c>
      <c r="D8" s="108" t="s">
        <v>1019</v>
      </c>
      <c r="E8" s="108" t="s">
        <v>962</v>
      </c>
      <c r="G8" s="248" t="s">
        <v>887</v>
      </c>
      <c r="H8" s="193"/>
      <c r="I8" s="193"/>
      <c r="J8" s="193"/>
      <c r="K8" s="193"/>
      <c r="L8" s="193"/>
      <c r="M8" s="193"/>
      <c r="N8" s="262"/>
      <c r="O8" s="262"/>
      <c r="P8" s="259"/>
      <c r="Q8" s="259"/>
    </row>
    <row r="9" spans="1:17" ht="12" customHeight="1" x14ac:dyDescent="0.2">
      <c r="B9" s="108" t="s">
        <v>1014</v>
      </c>
      <c r="C9" s="109" t="s">
        <v>83</v>
      </c>
      <c r="D9" s="108" t="s">
        <v>1015</v>
      </c>
      <c r="E9" s="108" t="s">
        <v>934</v>
      </c>
      <c r="G9" s="247" t="s">
        <v>924</v>
      </c>
      <c r="H9" s="230" t="s">
        <v>24</v>
      </c>
      <c r="I9" s="230" t="s">
        <v>24</v>
      </c>
      <c r="J9" s="193" t="s">
        <v>24</v>
      </c>
      <c r="K9" s="230">
        <v>2</v>
      </c>
      <c r="L9" s="230" t="s">
        <v>24</v>
      </c>
      <c r="M9" s="230">
        <v>1</v>
      </c>
      <c r="N9" s="193" t="s">
        <v>24</v>
      </c>
      <c r="O9" s="230">
        <v>1</v>
      </c>
      <c r="P9" s="230">
        <v>4</v>
      </c>
      <c r="Q9" s="230">
        <v>1</v>
      </c>
    </row>
    <row r="10" spans="1:17" ht="12" customHeight="1" x14ac:dyDescent="0.2">
      <c r="G10" s="247" t="s">
        <v>925</v>
      </c>
      <c r="H10" s="230" t="s">
        <v>24</v>
      </c>
      <c r="I10" s="230" t="s">
        <v>24</v>
      </c>
      <c r="J10" s="230" t="s">
        <v>24</v>
      </c>
      <c r="K10" s="230" t="s">
        <v>24</v>
      </c>
      <c r="L10" s="230" t="s">
        <v>24</v>
      </c>
      <c r="M10" s="230" t="s">
        <v>24</v>
      </c>
      <c r="N10" s="261" t="s">
        <v>24</v>
      </c>
      <c r="O10" s="230">
        <v>1</v>
      </c>
      <c r="P10" s="230">
        <v>1</v>
      </c>
      <c r="Q10" s="260" t="s">
        <v>24</v>
      </c>
    </row>
    <row r="11" spans="1:17" ht="12" customHeight="1" x14ac:dyDescent="0.2">
      <c r="B11" s="238" t="s">
        <v>926</v>
      </c>
      <c r="C11" s="191"/>
      <c r="D11" s="194"/>
      <c r="E11" s="194"/>
      <c r="G11" s="248" t="s">
        <v>886</v>
      </c>
      <c r="H11" s="193"/>
      <c r="I11" s="193"/>
      <c r="J11" s="193"/>
      <c r="K11" s="193"/>
      <c r="L11" s="193"/>
      <c r="M11" s="193"/>
      <c r="N11" s="262"/>
      <c r="O11" s="262"/>
      <c r="P11" s="259"/>
      <c r="Q11" s="259"/>
    </row>
    <row r="12" spans="1:17" ht="12" customHeight="1" x14ac:dyDescent="0.2">
      <c r="B12" s="231" t="s">
        <v>1011</v>
      </c>
      <c r="C12" s="109" t="s">
        <v>88</v>
      </c>
      <c r="D12" s="108" t="s">
        <v>1012</v>
      </c>
      <c r="E12" s="108" t="s">
        <v>1013</v>
      </c>
      <c r="G12" s="247" t="s">
        <v>924</v>
      </c>
      <c r="H12" s="263" t="s">
        <v>24</v>
      </c>
      <c r="I12" s="263" t="s">
        <v>24</v>
      </c>
      <c r="J12" s="263" t="s">
        <v>24</v>
      </c>
      <c r="K12" s="263" t="s">
        <v>24</v>
      </c>
      <c r="L12" s="263" t="s">
        <v>24</v>
      </c>
      <c r="M12" s="263" t="s">
        <v>24</v>
      </c>
      <c r="N12" s="261" t="s">
        <v>24</v>
      </c>
      <c r="O12" s="261" t="s">
        <v>24</v>
      </c>
      <c r="P12" s="258" t="s">
        <v>24</v>
      </c>
      <c r="Q12" s="260" t="s">
        <v>24</v>
      </c>
    </row>
    <row r="13" spans="1:17" ht="12" customHeight="1" x14ac:dyDescent="0.2">
      <c r="B13" s="231"/>
      <c r="C13" s="232"/>
      <c r="D13" s="231"/>
      <c r="E13" s="231"/>
      <c r="G13" s="247" t="s">
        <v>925</v>
      </c>
      <c r="H13" s="263" t="s">
        <v>24</v>
      </c>
      <c r="I13" s="263" t="s">
        <v>24</v>
      </c>
      <c r="J13" s="263">
        <v>1</v>
      </c>
      <c r="K13" s="263" t="s">
        <v>24</v>
      </c>
      <c r="L13" s="263" t="s">
        <v>24</v>
      </c>
      <c r="M13" s="263">
        <v>1</v>
      </c>
      <c r="N13" s="193" t="s">
        <v>24</v>
      </c>
      <c r="O13" s="230">
        <v>1</v>
      </c>
      <c r="P13" s="230">
        <v>2</v>
      </c>
      <c r="Q13" s="230">
        <v>1</v>
      </c>
    </row>
    <row r="14" spans="1:17" ht="12" customHeight="1" x14ac:dyDescent="0.2">
      <c r="B14" s="272" t="s">
        <v>884</v>
      </c>
      <c r="C14" s="272"/>
      <c r="D14" s="272"/>
      <c r="E14" s="272"/>
      <c r="G14" s="249" t="s">
        <v>12</v>
      </c>
      <c r="H14" s="249">
        <f t="shared" ref="H14:Q14" si="0">+SUM(H6:H13)</f>
        <v>0</v>
      </c>
      <c r="I14" s="249">
        <f t="shared" si="0"/>
        <v>0</v>
      </c>
      <c r="J14" s="249">
        <f t="shared" si="0"/>
        <v>2</v>
      </c>
      <c r="K14" s="249">
        <f t="shared" si="0"/>
        <v>2</v>
      </c>
      <c r="L14" s="249">
        <f t="shared" si="0"/>
        <v>2</v>
      </c>
      <c r="M14" s="249">
        <f t="shared" si="0"/>
        <v>5</v>
      </c>
      <c r="N14" s="249">
        <f t="shared" si="0"/>
        <v>5</v>
      </c>
      <c r="O14" s="249">
        <f t="shared" si="0"/>
        <v>4</v>
      </c>
      <c r="P14" s="249">
        <f t="shared" si="0"/>
        <v>15</v>
      </c>
      <c r="Q14" s="249">
        <f t="shared" si="0"/>
        <v>4</v>
      </c>
    </row>
    <row r="15" spans="1:17" ht="12" customHeight="1" x14ac:dyDescent="0.2">
      <c r="B15" s="254"/>
      <c r="C15" s="255"/>
      <c r="D15" s="254"/>
      <c r="E15" s="254"/>
    </row>
    <row r="16" spans="1:17" ht="12" customHeight="1" x14ac:dyDescent="0.2"/>
    <row r="17" spans="2:17" ht="12" customHeight="1" x14ac:dyDescent="0.2">
      <c r="D17" s="239"/>
    </row>
    <row r="18" spans="2:17" ht="12" customHeight="1" x14ac:dyDescent="0.25">
      <c r="D18" s="240"/>
    </row>
    <row r="19" spans="2:17" ht="12" customHeight="1" x14ac:dyDescent="0.2">
      <c r="G19" s="110"/>
      <c r="H19" s="110"/>
      <c r="I19" s="110"/>
      <c r="J19" s="110"/>
      <c r="K19" s="110"/>
      <c r="L19" s="110"/>
      <c r="M19" s="110"/>
      <c r="N19" s="110"/>
      <c r="O19" s="110"/>
      <c r="P19" s="110"/>
    </row>
    <row r="20" spans="2:17" ht="12" customHeight="1" x14ac:dyDescent="0.2">
      <c r="G20" s="110"/>
      <c r="H20" s="110"/>
      <c r="I20" s="110"/>
      <c r="J20" s="110"/>
      <c r="K20" s="110"/>
      <c r="L20" s="110"/>
      <c r="M20" s="110"/>
      <c r="N20" s="110"/>
      <c r="O20" s="110"/>
      <c r="P20" s="110"/>
    </row>
    <row r="21" spans="2:17" ht="12" customHeight="1" x14ac:dyDescent="0.2">
      <c r="G21" s="110"/>
      <c r="H21" s="110"/>
      <c r="I21" s="110"/>
      <c r="J21" s="110"/>
      <c r="K21" s="110"/>
      <c r="L21" s="110"/>
      <c r="M21" s="110"/>
      <c r="N21" s="110"/>
      <c r="O21" s="110"/>
      <c r="P21" s="110"/>
    </row>
    <row r="22" spans="2:17" ht="12" customHeight="1" x14ac:dyDescent="0.2">
      <c r="G22" s="110"/>
      <c r="H22" s="110"/>
      <c r="I22" s="110"/>
      <c r="J22" s="110"/>
      <c r="K22" s="110"/>
      <c r="L22" s="110"/>
      <c r="M22" s="110"/>
      <c r="N22" s="110"/>
      <c r="O22" s="110"/>
      <c r="P22" s="250">
        <f>+Q22/P14</f>
        <v>-0.73333333333333328</v>
      </c>
      <c r="Q22" s="110">
        <f>+Q14-P14</f>
        <v>-11</v>
      </c>
    </row>
    <row r="23" spans="2:17" ht="12" customHeight="1" x14ac:dyDescent="0.2">
      <c r="G23" s="110"/>
      <c r="H23" s="110"/>
      <c r="I23" s="110"/>
      <c r="J23" s="110"/>
      <c r="K23" s="110"/>
      <c r="L23" s="110"/>
      <c r="M23" s="110"/>
      <c r="N23" s="110"/>
      <c r="O23" s="110"/>
      <c r="P23" s="250"/>
    </row>
    <row r="24" spans="2:17" ht="12" customHeight="1" x14ac:dyDescent="0.2">
      <c r="G24" s="110"/>
      <c r="H24" s="110"/>
      <c r="I24" s="110"/>
      <c r="J24" s="110"/>
      <c r="K24" s="110"/>
      <c r="L24" s="110"/>
      <c r="M24" s="110"/>
      <c r="N24" s="110"/>
      <c r="O24" s="110"/>
      <c r="P24" s="250"/>
    </row>
    <row r="25" spans="2:17" ht="12" customHeight="1" x14ac:dyDescent="0.2">
      <c r="D25" s="198"/>
      <c r="G25" s="110"/>
      <c r="H25" s="110"/>
      <c r="I25" s="110"/>
      <c r="J25" s="110"/>
      <c r="K25" s="110"/>
      <c r="L25" s="110"/>
      <c r="M25" s="110"/>
      <c r="N25" s="110"/>
      <c r="O25" s="110"/>
      <c r="P25" s="250"/>
    </row>
    <row r="26" spans="2:17" ht="12" customHeight="1" x14ac:dyDescent="0.2">
      <c r="G26" s="110"/>
      <c r="H26" s="110"/>
      <c r="I26" s="110"/>
      <c r="J26" s="110"/>
      <c r="K26" s="110"/>
      <c r="L26" s="110"/>
      <c r="M26" s="110"/>
      <c r="N26" s="110"/>
      <c r="O26" s="110"/>
      <c r="P26" s="250"/>
    </row>
    <row r="27" spans="2:17" ht="12" customHeight="1" x14ac:dyDescent="0.2">
      <c r="G27" s="110"/>
      <c r="H27" s="110"/>
      <c r="I27" s="110"/>
      <c r="J27" s="110"/>
      <c r="K27" s="110"/>
      <c r="L27" s="110"/>
      <c r="M27" s="110"/>
      <c r="N27" s="110"/>
      <c r="O27" s="110"/>
      <c r="P27" s="250"/>
    </row>
    <row r="28" spans="2:17" ht="12" customHeight="1" x14ac:dyDescent="0.2">
      <c r="G28" s="110"/>
      <c r="H28" s="110"/>
      <c r="I28" s="110"/>
      <c r="J28" s="110"/>
      <c r="K28" s="110"/>
      <c r="L28" s="110"/>
      <c r="M28" s="110"/>
      <c r="N28" s="110"/>
      <c r="O28" s="110"/>
      <c r="P28" s="110"/>
    </row>
    <row r="29" spans="2:17" ht="12" customHeight="1" x14ac:dyDescent="0.2">
      <c r="B29" s="195"/>
      <c r="C29" s="191"/>
      <c r="D29" s="194"/>
      <c r="E29" s="194"/>
      <c r="G29" s="110"/>
      <c r="H29" s="110"/>
      <c r="I29" s="110"/>
      <c r="J29" s="110"/>
      <c r="K29" s="110"/>
      <c r="L29" s="110"/>
      <c r="M29" s="110"/>
      <c r="N29" s="110"/>
      <c r="O29" s="110"/>
      <c r="P29" s="110"/>
    </row>
    <row r="30" spans="2:17" ht="12" customHeight="1" x14ac:dyDescent="0.2">
      <c r="B30" s="195"/>
      <c r="C30" s="191"/>
      <c r="D30" s="194"/>
      <c r="E30" s="194"/>
      <c r="G30" s="110"/>
      <c r="H30" s="110"/>
      <c r="I30" s="110"/>
      <c r="J30" s="110"/>
      <c r="K30" s="110"/>
      <c r="L30" s="110"/>
      <c r="M30" s="110"/>
      <c r="N30" s="110"/>
      <c r="O30" s="110"/>
      <c r="P30" s="110"/>
    </row>
    <row r="31" spans="2:17" ht="12" customHeight="1" x14ac:dyDescent="0.2">
      <c r="B31" s="195"/>
      <c r="C31" s="191"/>
      <c r="D31" s="194"/>
      <c r="E31" s="194"/>
      <c r="G31" s="199"/>
      <c r="H31" s="199"/>
      <c r="I31" s="199"/>
      <c r="J31" s="199"/>
      <c r="K31" s="199"/>
      <c r="L31" s="199"/>
      <c r="M31" s="199"/>
      <c r="N31" s="199"/>
      <c r="O31" s="199"/>
      <c r="P31" s="199"/>
    </row>
    <row r="32" spans="2:17" ht="12" customHeight="1" x14ac:dyDescent="0.2">
      <c r="B32" s="195"/>
      <c r="C32" s="191"/>
      <c r="D32" s="194"/>
      <c r="E32" s="194"/>
      <c r="G32" s="199"/>
      <c r="H32" s="199"/>
      <c r="I32" s="199"/>
      <c r="J32" s="199"/>
      <c r="K32" s="199"/>
      <c r="L32" s="199"/>
      <c r="M32" s="199"/>
      <c r="N32" s="199"/>
      <c r="O32" s="199"/>
      <c r="P32" s="199"/>
    </row>
    <row r="33" spans="2:16" ht="12" customHeight="1" x14ac:dyDescent="0.2">
      <c r="B33" s="195"/>
      <c r="C33" s="191"/>
      <c r="D33" s="194"/>
      <c r="E33" s="194"/>
      <c r="G33" s="199"/>
      <c r="H33" s="199"/>
      <c r="I33" s="199"/>
      <c r="J33" s="199"/>
      <c r="K33" s="199"/>
      <c r="L33" s="199"/>
      <c r="M33" s="199"/>
      <c r="N33" s="199"/>
      <c r="O33" s="199"/>
      <c r="P33" s="199"/>
    </row>
    <row r="34" spans="2:16" ht="11.25" customHeight="1" x14ac:dyDescent="0.2">
      <c r="B34" s="195"/>
      <c r="C34" s="191"/>
      <c r="D34" s="194"/>
      <c r="E34" s="194"/>
      <c r="G34" s="199"/>
      <c r="H34" s="199"/>
      <c r="I34" s="199"/>
      <c r="J34" s="199"/>
      <c r="K34" s="199"/>
      <c r="L34" s="199"/>
      <c r="M34" s="199"/>
      <c r="N34" s="199"/>
      <c r="O34" s="199"/>
      <c r="P34" s="199"/>
    </row>
    <row r="35" spans="2:16" ht="12" customHeight="1" x14ac:dyDescent="0.2">
      <c r="G35" s="199"/>
      <c r="H35" s="199"/>
      <c r="I35" s="199"/>
      <c r="J35" s="199"/>
      <c r="K35" s="199"/>
      <c r="L35" s="199"/>
      <c r="M35" s="199"/>
      <c r="N35" s="199"/>
      <c r="O35" s="199"/>
      <c r="P35" s="199"/>
    </row>
    <row r="36" spans="2:16" ht="12" customHeight="1" x14ac:dyDescent="0.2">
      <c r="G36" s="199"/>
      <c r="H36" s="199"/>
      <c r="I36" s="199"/>
      <c r="J36" s="199"/>
      <c r="K36" s="199"/>
      <c r="L36" s="199"/>
      <c r="M36" s="199"/>
      <c r="N36" s="199"/>
      <c r="O36" s="199"/>
      <c r="P36" s="199"/>
    </row>
    <row r="37" spans="2:16" ht="12" customHeight="1" x14ac:dyDescent="0.2">
      <c r="G37" s="199"/>
      <c r="H37" s="199"/>
      <c r="I37" s="199"/>
      <c r="J37" s="199"/>
      <c r="K37" s="199"/>
      <c r="L37" s="199"/>
      <c r="M37" s="199"/>
      <c r="N37" s="199"/>
      <c r="O37" s="199"/>
      <c r="P37" s="199"/>
    </row>
    <row r="38" spans="2:16" ht="12" customHeight="1" x14ac:dyDescent="0.2">
      <c r="G38" s="251"/>
      <c r="H38" s="251"/>
      <c r="I38" s="251"/>
      <c r="J38" s="251"/>
      <c r="K38" s="251"/>
      <c r="L38" s="251"/>
      <c r="M38" s="251"/>
      <c r="N38" s="251"/>
      <c r="O38" s="251"/>
      <c r="P38" s="251"/>
    </row>
    <row r="39" spans="2:16" ht="12" customHeight="1" x14ac:dyDescent="0.2">
      <c r="G39" s="271"/>
      <c r="H39" s="271"/>
      <c r="I39" s="271"/>
      <c r="J39" s="271"/>
      <c r="K39" s="271"/>
      <c r="L39" s="271"/>
      <c r="M39" s="271"/>
      <c r="N39" s="271"/>
      <c r="O39" s="271"/>
      <c r="P39" s="271"/>
    </row>
    <row r="40" spans="2:16" ht="12" customHeight="1" x14ac:dyDescent="0.2">
      <c r="G40" s="271"/>
      <c r="H40" s="271"/>
      <c r="I40" s="271"/>
      <c r="J40" s="271"/>
      <c r="K40" s="271"/>
      <c r="L40" s="271"/>
      <c r="M40" s="271"/>
      <c r="N40" s="271"/>
      <c r="O40" s="271"/>
      <c r="P40" s="271"/>
    </row>
    <row r="41" spans="2:16" ht="12" customHeight="1" x14ac:dyDescent="0.2">
      <c r="C41" s="110"/>
      <c r="G41" s="271"/>
      <c r="H41" s="271"/>
      <c r="I41" s="271"/>
      <c r="J41" s="271"/>
      <c r="K41" s="271"/>
      <c r="L41" s="271"/>
      <c r="M41" s="271"/>
      <c r="N41" s="271"/>
      <c r="O41" s="271"/>
      <c r="P41" s="271"/>
    </row>
    <row r="42" spans="2:16" ht="12" customHeight="1" x14ac:dyDescent="0.2">
      <c r="C42" s="110"/>
      <c r="G42" s="271"/>
      <c r="H42" s="271"/>
      <c r="I42" s="271"/>
      <c r="J42" s="271"/>
      <c r="K42" s="271"/>
      <c r="L42" s="271"/>
      <c r="M42" s="271"/>
      <c r="N42" s="271"/>
      <c r="O42" s="271"/>
      <c r="P42" s="271"/>
    </row>
    <row r="43" spans="2:16" ht="12" customHeight="1" x14ac:dyDescent="0.2">
      <c r="C43" s="110"/>
      <c r="G43" s="241"/>
      <c r="H43" s="241"/>
      <c r="I43" s="241"/>
      <c r="J43" s="241"/>
      <c r="K43" s="241"/>
      <c r="L43" s="241"/>
      <c r="M43" s="241"/>
      <c r="N43" s="241"/>
      <c r="O43" s="241"/>
      <c r="P43" s="241"/>
    </row>
    <row r="44" spans="2:16" ht="12" customHeight="1" x14ac:dyDescent="0.2">
      <c r="C44" s="110"/>
      <c r="G44" s="241"/>
      <c r="H44" s="241"/>
      <c r="I44" s="241"/>
      <c r="J44" s="241"/>
      <c r="K44" s="241"/>
      <c r="L44" s="241"/>
      <c r="M44" s="241"/>
      <c r="N44" s="241"/>
      <c r="O44" s="241"/>
      <c r="P44" s="241"/>
    </row>
    <row r="45" spans="2:16" ht="12" customHeight="1" x14ac:dyDescent="0.2">
      <c r="C45" s="110"/>
      <c r="G45" s="241"/>
      <c r="H45" s="241"/>
      <c r="I45" s="241"/>
      <c r="J45" s="241"/>
      <c r="K45" s="241"/>
      <c r="L45" s="241"/>
      <c r="M45" s="241"/>
      <c r="N45" s="241"/>
      <c r="O45" s="241"/>
      <c r="P45" s="241"/>
    </row>
    <row r="46" spans="2:16" ht="12" customHeight="1" x14ac:dyDescent="0.2">
      <c r="C46" s="110"/>
      <c r="G46" s="241"/>
      <c r="H46" s="241"/>
      <c r="I46" s="241"/>
      <c r="J46" s="241"/>
      <c r="K46" s="241"/>
      <c r="L46" s="241"/>
      <c r="M46" s="241"/>
      <c r="N46" s="241"/>
      <c r="O46" s="241"/>
      <c r="P46" s="241"/>
    </row>
    <row r="47" spans="2:16" ht="12" customHeight="1" x14ac:dyDescent="0.2">
      <c r="G47" s="241"/>
      <c r="H47" s="241"/>
      <c r="I47" s="241"/>
      <c r="J47" s="241"/>
      <c r="K47" s="241"/>
      <c r="L47" s="241"/>
      <c r="M47" s="241"/>
      <c r="N47" s="241"/>
      <c r="O47" s="241"/>
      <c r="P47" s="241"/>
    </row>
    <row r="48" spans="2:16" ht="12" x14ac:dyDescent="0.2">
      <c r="C48" s="110"/>
      <c r="G48" s="241"/>
      <c r="H48" s="241"/>
      <c r="I48" s="241"/>
      <c r="J48" s="241"/>
      <c r="K48" s="241"/>
      <c r="L48" s="241"/>
      <c r="M48" s="241"/>
      <c r="N48" s="241"/>
      <c r="O48" s="241"/>
      <c r="P48" s="241"/>
    </row>
    <row r="49" spans="3:16" ht="12" customHeight="1" x14ac:dyDescent="0.2">
      <c r="C49" s="110"/>
      <c r="G49" s="251"/>
      <c r="H49" s="251"/>
      <c r="I49" s="251"/>
      <c r="J49" s="251"/>
      <c r="K49" s="251"/>
      <c r="L49" s="251"/>
      <c r="M49" s="251"/>
      <c r="N49" s="251"/>
      <c r="O49" s="251"/>
      <c r="P49" s="251"/>
    </row>
    <row r="50" spans="3:16" ht="12" customHeight="1" x14ac:dyDescent="0.2">
      <c r="C50" s="110"/>
      <c r="G50" s="251"/>
      <c r="H50" s="251"/>
      <c r="I50" s="251"/>
      <c r="J50" s="251"/>
      <c r="K50" s="251"/>
      <c r="L50" s="251"/>
      <c r="M50" s="251"/>
      <c r="N50" s="251"/>
      <c r="O50" s="251"/>
      <c r="P50" s="251"/>
    </row>
    <row r="51" spans="3:16" ht="12" customHeight="1" x14ac:dyDescent="0.2">
      <c r="C51" s="110"/>
      <c r="G51" s="251"/>
      <c r="H51" s="251"/>
      <c r="I51" s="251"/>
      <c r="J51" s="251"/>
      <c r="K51" s="251"/>
      <c r="L51" s="251"/>
      <c r="M51" s="251"/>
      <c r="N51" s="251"/>
      <c r="O51" s="251"/>
      <c r="P51" s="251"/>
    </row>
    <row r="52" spans="3:16" ht="12" customHeight="1" x14ac:dyDescent="0.2">
      <c r="C52" s="110"/>
      <c r="G52" s="251"/>
      <c r="H52" s="252"/>
      <c r="I52" s="252"/>
      <c r="J52" s="252"/>
      <c r="K52" s="252"/>
      <c r="L52" s="252"/>
      <c r="M52" s="252"/>
      <c r="N52" s="252"/>
      <c r="O52" s="252"/>
      <c r="P52" s="252"/>
    </row>
    <row r="53" spans="3:16" ht="12" customHeight="1" x14ac:dyDescent="0.2">
      <c r="C53" s="110"/>
      <c r="G53" s="251"/>
      <c r="H53" s="253"/>
      <c r="I53" s="253"/>
      <c r="J53" s="253"/>
      <c r="K53" s="253"/>
      <c r="L53" s="253"/>
      <c r="M53" s="253"/>
      <c r="N53" s="253"/>
      <c r="O53" s="253"/>
      <c r="P53" s="253"/>
    </row>
    <row r="54" spans="3:16" ht="12" customHeight="1" x14ac:dyDescent="0.2">
      <c r="C54" s="110"/>
      <c r="G54" s="251"/>
      <c r="H54" s="251"/>
      <c r="I54" s="251"/>
      <c r="J54" s="251"/>
      <c r="K54" s="251"/>
      <c r="L54" s="251"/>
      <c r="M54" s="251"/>
      <c r="N54" s="251"/>
      <c r="O54" s="251"/>
      <c r="P54" s="251"/>
    </row>
    <row r="55" spans="3:16" ht="12" customHeight="1" x14ac:dyDescent="0.2">
      <c r="C55" s="110"/>
      <c r="G55" s="251"/>
      <c r="H55" s="251"/>
      <c r="I55" s="251"/>
      <c r="J55" s="251"/>
      <c r="K55" s="251"/>
      <c r="L55" s="251"/>
      <c r="M55" s="251"/>
      <c r="N55" s="251"/>
      <c r="O55" s="251"/>
      <c r="P55" s="251"/>
    </row>
    <row r="56" spans="3:16" ht="12" customHeight="1" x14ac:dyDescent="0.2">
      <c r="C56" s="110"/>
      <c r="G56" s="251"/>
      <c r="H56" s="251"/>
      <c r="I56" s="251"/>
      <c r="J56" s="251"/>
      <c r="K56" s="251"/>
      <c r="L56" s="251"/>
      <c r="M56" s="251"/>
      <c r="N56" s="251"/>
      <c r="O56" s="251"/>
      <c r="P56" s="251"/>
    </row>
    <row r="57" spans="3:16" ht="12" customHeight="1" x14ac:dyDescent="0.2">
      <c r="C57" s="110"/>
      <c r="G57" s="251"/>
      <c r="H57" s="251"/>
      <c r="I57" s="251"/>
      <c r="J57" s="251"/>
      <c r="K57" s="251"/>
      <c r="L57" s="251"/>
      <c r="M57" s="251"/>
      <c r="N57" s="251"/>
      <c r="O57" s="251"/>
      <c r="P57" s="251"/>
    </row>
    <row r="58" spans="3:16" ht="12" customHeight="1" x14ac:dyDescent="0.2">
      <c r="C58" s="110"/>
      <c r="G58" s="251"/>
      <c r="H58" s="251"/>
      <c r="I58" s="251"/>
      <c r="J58" s="251"/>
      <c r="K58" s="251"/>
      <c r="L58" s="251"/>
      <c r="M58" s="251"/>
      <c r="N58" s="251"/>
      <c r="O58" s="251"/>
      <c r="P58" s="251"/>
    </row>
    <row r="59" spans="3:16" ht="12" customHeight="1" x14ac:dyDescent="0.2">
      <c r="C59" s="110"/>
      <c r="G59" s="251"/>
      <c r="H59" s="251"/>
      <c r="I59" s="251"/>
      <c r="J59" s="251"/>
      <c r="K59" s="251"/>
      <c r="L59" s="251"/>
      <c r="M59" s="251"/>
      <c r="N59" s="251"/>
      <c r="O59" s="251"/>
      <c r="P59" s="251"/>
    </row>
    <row r="60" spans="3:16" ht="12" customHeight="1" x14ac:dyDescent="0.2">
      <c r="C60" s="110"/>
      <c r="G60" s="251"/>
      <c r="H60" s="251"/>
      <c r="I60" s="251"/>
      <c r="J60" s="251"/>
      <c r="K60" s="251"/>
      <c r="L60" s="251"/>
      <c r="M60" s="251"/>
      <c r="N60" s="251"/>
      <c r="O60" s="251"/>
      <c r="P60" s="251"/>
    </row>
    <row r="61" spans="3:16" ht="12" customHeight="1" x14ac:dyDescent="0.2">
      <c r="C61" s="110"/>
      <c r="G61" s="251"/>
      <c r="H61" s="251"/>
      <c r="I61" s="251"/>
      <c r="J61" s="251"/>
      <c r="K61" s="251"/>
      <c r="L61" s="251"/>
      <c r="M61" s="251"/>
      <c r="N61" s="251"/>
      <c r="O61" s="251"/>
      <c r="P61" s="251"/>
    </row>
    <row r="62" spans="3:16" ht="12" customHeight="1" x14ac:dyDescent="0.2">
      <c r="C62" s="110"/>
      <c r="G62" s="251"/>
      <c r="H62" s="251"/>
      <c r="I62" s="251"/>
      <c r="J62" s="251"/>
      <c r="K62" s="251"/>
      <c r="L62" s="251"/>
      <c r="M62" s="251"/>
      <c r="N62" s="251"/>
      <c r="O62" s="251"/>
      <c r="P62" s="251"/>
    </row>
    <row r="63" spans="3:16" ht="12" customHeight="1" x14ac:dyDescent="0.2">
      <c r="C63" s="110"/>
      <c r="G63" s="251"/>
      <c r="H63" s="251"/>
      <c r="I63" s="251"/>
      <c r="J63" s="251"/>
      <c r="K63" s="251"/>
      <c r="L63" s="251"/>
      <c r="M63" s="251"/>
      <c r="N63" s="251"/>
      <c r="O63" s="251"/>
      <c r="P63" s="251"/>
    </row>
    <row r="64" spans="3:16" ht="12" customHeight="1" x14ac:dyDescent="0.2">
      <c r="G64" s="251"/>
      <c r="H64" s="251"/>
      <c r="I64" s="251"/>
      <c r="J64" s="251"/>
      <c r="K64" s="251"/>
      <c r="L64" s="251"/>
      <c r="M64" s="251"/>
      <c r="N64" s="251"/>
      <c r="O64" s="251"/>
      <c r="P64" s="251"/>
    </row>
    <row r="65" spans="1:17" ht="12" customHeight="1" x14ac:dyDescent="0.2">
      <c r="G65" s="251"/>
      <c r="H65" s="251"/>
      <c r="I65" s="251"/>
      <c r="J65" s="251"/>
      <c r="K65" s="251"/>
      <c r="L65" s="251"/>
      <c r="M65" s="251"/>
      <c r="N65" s="251"/>
      <c r="O65" s="251"/>
      <c r="P65" s="251"/>
    </row>
    <row r="66" spans="1:17" ht="12" customHeight="1" x14ac:dyDescent="0.2">
      <c r="G66" s="251"/>
      <c r="H66" s="251"/>
      <c r="I66" s="251"/>
      <c r="J66" s="251"/>
      <c r="K66" s="251"/>
      <c r="L66" s="251"/>
      <c r="M66" s="251"/>
      <c r="N66" s="251"/>
      <c r="O66" s="251"/>
      <c r="P66" s="251"/>
    </row>
    <row r="67" spans="1:17" ht="12" customHeight="1" x14ac:dyDescent="0.2">
      <c r="G67" s="251"/>
      <c r="H67" s="251"/>
      <c r="I67" s="251"/>
      <c r="J67" s="251"/>
      <c r="K67" s="251"/>
      <c r="L67" s="251"/>
      <c r="M67" s="251"/>
      <c r="N67" s="251"/>
      <c r="O67" s="251"/>
      <c r="P67" s="251"/>
    </row>
    <row r="68" spans="1:17" ht="12" customHeight="1" x14ac:dyDescent="0.2">
      <c r="G68" s="251"/>
      <c r="H68" s="251"/>
      <c r="I68" s="251"/>
      <c r="J68" s="251"/>
      <c r="K68" s="251"/>
      <c r="L68" s="251"/>
      <c r="M68" s="251"/>
      <c r="N68" s="251"/>
      <c r="O68" s="251"/>
      <c r="P68" s="251"/>
    </row>
    <row r="69" spans="1:17" ht="12" customHeight="1" x14ac:dyDescent="0.2">
      <c r="G69" s="251"/>
      <c r="H69" s="251"/>
      <c r="I69" s="251"/>
      <c r="J69" s="251"/>
      <c r="K69" s="251"/>
      <c r="L69" s="251"/>
      <c r="M69" s="251"/>
      <c r="N69" s="251"/>
      <c r="O69" s="251"/>
      <c r="P69" s="251"/>
    </row>
    <row r="70" spans="1:17" ht="12" customHeight="1" x14ac:dyDescent="0.2">
      <c r="G70" s="251"/>
      <c r="H70" s="251"/>
      <c r="I70" s="251"/>
      <c r="J70" s="251"/>
      <c r="K70" s="251"/>
      <c r="L70" s="251"/>
      <c r="M70" s="251"/>
      <c r="N70" s="251"/>
      <c r="O70" s="251"/>
      <c r="P70" s="251"/>
    </row>
    <row r="71" spans="1:17" ht="12" customHeight="1" x14ac:dyDescent="0.2">
      <c r="G71" s="251"/>
      <c r="H71" s="251"/>
      <c r="I71" s="251"/>
      <c r="J71" s="251"/>
      <c r="K71" s="251"/>
      <c r="L71" s="251"/>
      <c r="M71" s="251"/>
      <c r="N71" s="251"/>
      <c r="O71" s="251"/>
      <c r="P71" s="251"/>
    </row>
    <row r="72" spans="1:17" ht="12" customHeight="1" x14ac:dyDescent="0.2">
      <c r="G72" s="251"/>
      <c r="H72" s="251"/>
      <c r="I72" s="251"/>
      <c r="J72" s="251"/>
      <c r="K72" s="251"/>
      <c r="L72" s="251"/>
      <c r="M72" s="251"/>
      <c r="N72" s="251"/>
      <c r="O72" s="251"/>
      <c r="P72" s="251"/>
    </row>
    <row r="73" spans="1:17" ht="12" customHeight="1" x14ac:dyDescent="0.2">
      <c r="G73" s="251"/>
      <c r="H73" s="251"/>
      <c r="I73" s="251"/>
      <c r="J73" s="251"/>
      <c r="K73" s="251"/>
      <c r="L73" s="251"/>
      <c r="M73" s="251"/>
      <c r="N73" s="251"/>
      <c r="O73" s="251"/>
      <c r="P73" s="251"/>
    </row>
    <row r="74" spans="1:17" ht="12" customHeight="1" x14ac:dyDescent="0.2">
      <c r="F74" s="229"/>
      <c r="G74" s="251"/>
      <c r="H74" s="251"/>
      <c r="I74" s="251"/>
      <c r="J74" s="251"/>
      <c r="K74" s="251"/>
      <c r="L74" s="251"/>
      <c r="M74" s="251"/>
      <c r="N74" s="251"/>
      <c r="O74" s="251"/>
      <c r="P74" s="251"/>
    </row>
    <row r="75" spans="1:17" ht="12" customHeight="1" x14ac:dyDescent="0.2">
      <c r="G75" s="251"/>
      <c r="H75" s="251"/>
      <c r="I75" s="251"/>
      <c r="J75" s="251"/>
      <c r="K75" s="251"/>
      <c r="L75" s="251"/>
      <c r="M75" s="251"/>
      <c r="N75" s="251"/>
      <c r="O75" s="251"/>
      <c r="P75" s="251"/>
    </row>
    <row r="76" spans="1:17" ht="12" customHeight="1" x14ac:dyDescent="0.2">
      <c r="G76" s="251"/>
      <c r="H76" s="251"/>
      <c r="I76" s="251"/>
      <c r="J76" s="251"/>
      <c r="K76" s="251"/>
      <c r="L76" s="251"/>
      <c r="M76" s="251"/>
      <c r="N76" s="251"/>
      <c r="O76" s="251"/>
      <c r="P76" s="251"/>
    </row>
    <row r="77" spans="1:17" ht="12" customHeight="1" x14ac:dyDescent="0.2">
      <c r="G77" s="251"/>
      <c r="H77" s="251"/>
      <c r="I77" s="251"/>
      <c r="J77" s="251"/>
      <c r="K77" s="251"/>
      <c r="L77" s="251"/>
      <c r="M77" s="251"/>
      <c r="N77" s="251"/>
      <c r="O77" s="251"/>
      <c r="P77" s="251"/>
    </row>
    <row r="78" spans="1:17" ht="12" customHeight="1" x14ac:dyDescent="0.2">
      <c r="G78" s="271"/>
      <c r="H78" s="271"/>
      <c r="I78" s="271"/>
      <c r="J78" s="271"/>
      <c r="K78" s="271"/>
      <c r="L78" s="271"/>
      <c r="M78" s="271"/>
      <c r="N78" s="271"/>
      <c r="O78" s="271"/>
      <c r="P78" s="271"/>
    </row>
    <row r="79" spans="1:17" ht="12" customHeight="1" x14ac:dyDescent="0.2">
      <c r="G79" s="271"/>
      <c r="H79" s="271"/>
      <c r="I79" s="271"/>
      <c r="J79" s="271"/>
      <c r="K79" s="271"/>
      <c r="L79" s="271"/>
      <c r="M79" s="271"/>
      <c r="N79" s="271"/>
      <c r="O79" s="271"/>
      <c r="P79" s="271"/>
      <c r="Q79" s="111"/>
    </row>
    <row r="80" spans="1:17" s="111" customFormat="1" ht="12" customHeight="1" x14ac:dyDescent="0.2">
      <c r="A80" s="110"/>
      <c r="B80" s="110"/>
      <c r="D80" s="110"/>
      <c r="E80" s="110"/>
      <c r="G80" s="251"/>
      <c r="H80" s="251"/>
      <c r="I80" s="251"/>
      <c r="J80" s="251"/>
      <c r="K80" s="251"/>
      <c r="L80" s="251"/>
      <c r="M80" s="251"/>
      <c r="N80" s="251"/>
      <c r="O80" s="251"/>
      <c r="P80" s="251"/>
      <c r="Q80" s="110"/>
    </row>
    <row r="81" spans="7:16" ht="12" customHeight="1" x14ac:dyDescent="0.2">
      <c r="G81" s="251"/>
      <c r="H81" s="251"/>
      <c r="I81" s="251"/>
      <c r="J81" s="251"/>
      <c r="K81" s="251"/>
      <c r="L81" s="251"/>
      <c r="M81" s="251"/>
      <c r="N81" s="251"/>
      <c r="O81" s="251"/>
      <c r="P81" s="251"/>
    </row>
    <row r="82" spans="7:16" ht="12" customHeight="1" x14ac:dyDescent="0.2">
      <c r="G82" s="251"/>
      <c r="H82" s="251"/>
      <c r="I82" s="251"/>
      <c r="J82" s="251"/>
      <c r="K82" s="251"/>
      <c r="L82" s="251"/>
      <c r="M82" s="251"/>
      <c r="N82" s="251"/>
      <c r="O82" s="251"/>
      <c r="P82" s="251"/>
    </row>
    <row r="83" spans="7:16" ht="12" customHeight="1" x14ac:dyDescent="0.2">
      <c r="G83" s="251"/>
      <c r="H83" s="251"/>
      <c r="I83" s="251"/>
      <c r="J83" s="251"/>
      <c r="K83" s="251"/>
      <c r="L83" s="251"/>
      <c r="M83" s="251"/>
      <c r="N83" s="251"/>
      <c r="O83" s="251"/>
      <c r="P83" s="251"/>
    </row>
    <row r="84" spans="7:16" ht="12" customHeight="1" x14ac:dyDescent="0.2">
      <c r="G84" s="251"/>
      <c r="H84" s="251"/>
      <c r="I84" s="251"/>
      <c r="J84" s="251"/>
      <c r="K84" s="251"/>
      <c r="L84" s="251"/>
      <c r="M84" s="251"/>
      <c r="N84" s="251"/>
      <c r="O84" s="251"/>
      <c r="P84" s="251"/>
    </row>
    <row r="85" spans="7:16" ht="12" customHeight="1" x14ac:dyDescent="0.2">
      <c r="G85" s="251"/>
      <c r="H85" s="251"/>
      <c r="I85" s="251"/>
      <c r="J85" s="251"/>
      <c r="K85" s="251"/>
      <c r="L85" s="251"/>
      <c r="M85" s="251"/>
      <c r="N85" s="251"/>
      <c r="O85" s="251"/>
      <c r="P85" s="251"/>
    </row>
    <row r="86" spans="7:16" ht="12" customHeight="1" x14ac:dyDescent="0.2"/>
  </sheetData>
  <sheetProtection algorithmName="SHA-512" hashValue="677YV63WGE+qWEMzQwutPhAzoyd+UjCCE3ZkZJtYXNu4Wcf5YEtUbjQuINuAseZwCpnX2Ghq3X2pBz1x0vKVow==" saltValue="DHcGqmCrkD/FclGe6SgcmA==" spinCount="100000" sheet="1" objects="1" scenarios="1"/>
  <mergeCells count="5">
    <mergeCell ref="B2:E2"/>
    <mergeCell ref="G2:Q2"/>
    <mergeCell ref="G39:P42"/>
    <mergeCell ref="G78:P79"/>
    <mergeCell ref="B14:E14"/>
  </mergeCells>
  <printOptions horizontalCentered="1" verticalCentered="1"/>
  <pageMargins left="0.23622047244094491" right="0.23622047244094491" top="0.74803149606299213" bottom="0.74803149606299213" header="0.31496062992125984" footer="0.31496062992125984"/>
  <pageSetup paperSize="9" scale="72" orientation="portrait" r:id="rId1"/>
  <headerFooter>
    <oddHeader>&amp;L&amp;G</oddHeader>
    <oddFooter>&amp;C&amp;"-,Normal"&amp;8DIVISÃO DE ESTUDOS E ESTATÍSTICA - 2012 - RESEARCH AND STATISTICS DIVISION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T87"/>
  <sheetViews>
    <sheetView showGridLines="0" zoomScale="55" zoomScaleNormal="55" workbookViewId="0">
      <selection activeCell="D16" sqref="D16"/>
    </sheetView>
  </sheetViews>
  <sheetFormatPr defaultRowHeight="27.75" x14ac:dyDescent="0.2"/>
  <cols>
    <col min="1" max="1" width="9.140625" style="61"/>
    <col min="2" max="2" width="35.7109375" style="65" customWidth="1"/>
    <col min="3" max="3" width="25.7109375" style="65" customWidth="1"/>
    <col min="4" max="4" width="21.28515625" style="65" bestFit="1" customWidth="1"/>
    <col min="5" max="5" width="20.85546875" style="65" bestFit="1" customWidth="1"/>
    <col min="6" max="6" width="10" style="63" customWidth="1"/>
    <col min="7" max="7" width="45.85546875" style="63" customWidth="1"/>
    <col min="8" max="8" width="47.140625" style="63" bestFit="1" customWidth="1"/>
    <col min="9" max="9" width="21.28515625" style="63" bestFit="1" customWidth="1"/>
    <col min="10" max="10" width="20.85546875" style="63" bestFit="1" customWidth="1"/>
    <col min="11" max="11" width="17.85546875" style="63" customWidth="1"/>
    <col min="12" max="19" width="9.140625" style="30"/>
    <col min="20" max="20" width="42.85546875" style="30" customWidth="1"/>
    <col min="21" max="26" width="9.140625" style="30"/>
    <col min="27" max="27" width="39.28515625" style="30" customWidth="1"/>
    <col min="28" max="249" width="9.140625" style="30"/>
    <col min="250" max="250" width="2.28515625" style="30" customWidth="1"/>
    <col min="251" max="251" width="9.28515625" style="30" customWidth="1"/>
    <col min="252" max="252" width="37.140625" style="30" customWidth="1"/>
    <col min="253" max="253" width="17.140625" style="30" customWidth="1"/>
    <col min="254" max="254" width="33.28515625" style="30" customWidth="1"/>
    <col min="255" max="255" width="11.85546875" style="30" customWidth="1"/>
    <col min="256" max="505" width="9.140625" style="30"/>
    <col min="506" max="506" width="2.28515625" style="30" customWidth="1"/>
    <col min="507" max="507" width="9.28515625" style="30" customWidth="1"/>
    <col min="508" max="508" width="37.140625" style="30" customWidth="1"/>
    <col min="509" max="509" width="17.140625" style="30" customWidth="1"/>
    <col min="510" max="510" width="33.28515625" style="30" customWidth="1"/>
    <col min="511" max="511" width="11.85546875" style="30" customWidth="1"/>
    <col min="512" max="761" width="9.140625" style="30"/>
    <col min="762" max="762" width="2.28515625" style="30" customWidth="1"/>
    <col min="763" max="763" width="9.28515625" style="30" customWidth="1"/>
    <col min="764" max="764" width="37.140625" style="30" customWidth="1"/>
    <col min="765" max="765" width="17.140625" style="30" customWidth="1"/>
    <col min="766" max="766" width="33.28515625" style="30" customWidth="1"/>
    <col min="767" max="767" width="11.85546875" style="30" customWidth="1"/>
    <col min="768" max="1017" width="9.140625" style="30"/>
    <col min="1018" max="1018" width="2.28515625" style="30" customWidth="1"/>
    <col min="1019" max="1019" width="9.28515625" style="30" customWidth="1"/>
    <col min="1020" max="1020" width="37.140625" style="30" customWidth="1"/>
    <col min="1021" max="1021" width="17.140625" style="30" customWidth="1"/>
    <col min="1022" max="1022" width="33.28515625" style="30" customWidth="1"/>
    <col min="1023" max="1023" width="11.85546875" style="30" customWidth="1"/>
    <col min="1024" max="1273" width="9.140625" style="30"/>
    <col min="1274" max="1274" width="2.28515625" style="30" customWidth="1"/>
    <col min="1275" max="1275" width="9.28515625" style="30" customWidth="1"/>
    <col min="1276" max="1276" width="37.140625" style="30" customWidth="1"/>
    <col min="1277" max="1277" width="17.140625" style="30" customWidth="1"/>
    <col min="1278" max="1278" width="33.28515625" style="30" customWidth="1"/>
    <col min="1279" max="1279" width="11.85546875" style="30" customWidth="1"/>
    <col min="1280" max="1529" width="9.140625" style="30"/>
    <col min="1530" max="1530" width="2.28515625" style="30" customWidth="1"/>
    <col min="1531" max="1531" width="9.28515625" style="30" customWidth="1"/>
    <col min="1532" max="1532" width="37.140625" style="30" customWidth="1"/>
    <col min="1533" max="1533" width="17.140625" style="30" customWidth="1"/>
    <col min="1534" max="1534" width="33.28515625" style="30" customWidth="1"/>
    <col min="1535" max="1535" width="11.85546875" style="30" customWidth="1"/>
    <col min="1536" max="1785" width="9.140625" style="30"/>
    <col min="1786" max="1786" width="2.28515625" style="30" customWidth="1"/>
    <col min="1787" max="1787" width="9.28515625" style="30" customWidth="1"/>
    <col min="1788" max="1788" width="37.140625" style="30" customWidth="1"/>
    <col min="1789" max="1789" width="17.140625" style="30" customWidth="1"/>
    <col min="1790" max="1790" width="33.28515625" style="30" customWidth="1"/>
    <col min="1791" max="1791" width="11.85546875" style="30" customWidth="1"/>
    <col min="1792" max="2041" width="9.140625" style="30"/>
    <col min="2042" max="2042" width="2.28515625" style="30" customWidth="1"/>
    <col min="2043" max="2043" width="9.28515625" style="30" customWidth="1"/>
    <col min="2044" max="2044" width="37.140625" style="30" customWidth="1"/>
    <col min="2045" max="2045" width="17.140625" style="30" customWidth="1"/>
    <col min="2046" max="2046" width="33.28515625" style="30" customWidth="1"/>
    <col min="2047" max="2047" width="11.85546875" style="30" customWidth="1"/>
    <col min="2048" max="2297" width="9.140625" style="30"/>
    <col min="2298" max="2298" width="2.28515625" style="30" customWidth="1"/>
    <col min="2299" max="2299" width="9.28515625" style="30" customWidth="1"/>
    <col min="2300" max="2300" width="37.140625" style="30" customWidth="1"/>
    <col min="2301" max="2301" width="17.140625" style="30" customWidth="1"/>
    <col min="2302" max="2302" width="33.28515625" style="30" customWidth="1"/>
    <col min="2303" max="2303" width="11.85546875" style="30" customWidth="1"/>
    <col min="2304" max="2553" width="9.140625" style="30"/>
    <col min="2554" max="2554" width="2.28515625" style="30" customWidth="1"/>
    <col min="2555" max="2555" width="9.28515625" style="30" customWidth="1"/>
    <col min="2556" max="2556" width="37.140625" style="30" customWidth="1"/>
    <col min="2557" max="2557" width="17.140625" style="30" customWidth="1"/>
    <col min="2558" max="2558" width="33.28515625" style="30" customWidth="1"/>
    <col min="2559" max="2559" width="11.85546875" style="30" customWidth="1"/>
    <col min="2560" max="2809" width="9.140625" style="30"/>
    <col min="2810" max="2810" width="2.28515625" style="30" customWidth="1"/>
    <col min="2811" max="2811" width="9.28515625" style="30" customWidth="1"/>
    <col min="2812" max="2812" width="37.140625" style="30" customWidth="1"/>
    <col min="2813" max="2813" width="17.140625" style="30" customWidth="1"/>
    <col min="2814" max="2814" width="33.28515625" style="30" customWidth="1"/>
    <col min="2815" max="2815" width="11.85546875" style="30" customWidth="1"/>
    <col min="2816" max="3065" width="9.140625" style="30"/>
    <col min="3066" max="3066" width="2.28515625" style="30" customWidth="1"/>
    <col min="3067" max="3067" width="9.28515625" style="30" customWidth="1"/>
    <col min="3068" max="3068" width="37.140625" style="30" customWidth="1"/>
    <col min="3069" max="3069" width="17.140625" style="30" customWidth="1"/>
    <col min="3070" max="3070" width="33.28515625" style="30" customWidth="1"/>
    <col min="3071" max="3071" width="11.85546875" style="30" customWidth="1"/>
    <col min="3072" max="3321" width="9.140625" style="30"/>
    <col min="3322" max="3322" width="2.28515625" style="30" customWidth="1"/>
    <col min="3323" max="3323" width="9.28515625" style="30" customWidth="1"/>
    <col min="3324" max="3324" width="37.140625" style="30" customWidth="1"/>
    <col min="3325" max="3325" width="17.140625" style="30" customWidth="1"/>
    <col min="3326" max="3326" width="33.28515625" style="30" customWidth="1"/>
    <col min="3327" max="3327" width="11.85546875" style="30" customWidth="1"/>
    <col min="3328" max="3577" width="9.140625" style="30"/>
    <col min="3578" max="3578" width="2.28515625" style="30" customWidth="1"/>
    <col min="3579" max="3579" width="9.28515625" style="30" customWidth="1"/>
    <col min="3580" max="3580" width="37.140625" style="30" customWidth="1"/>
    <col min="3581" max="3581" width="17.140625" style="30" customWidth="1"/>
    <col min="3582" max="3582" width="33.28515625" style="30" customWidth="1"/>
    <col min="3583" max="3583" width="11.85546875" style="30" customWidth="1"/>
    <col min="3584" max="3833" width="9.140625" style="30"/>
    <col min="3834" max="3834" width="2.28515625" style="30" customWidth="1"/>
    <col min="3835" max="3835" width="9.28515625" style="30" customWidth="1"/>
    <col min="3836" max="3836" width="37.140625" style="30" customWidth="1"/>
    <col min="3837" max="3837" width="17.140625" style="30" customWidth="1"/>
    <col min="3838" max="3838" width="33.28515625" style="30" customWidth="1"/>
    <col min="3839" max="3839" width="11.85546875" style="30" customWidth="1"/>
    <col min="3840" max="4089" width="9.140625" style="30"/>
    <col min="4090" max="4090" width="2.28515625" style="30" customWidth="1"/>
    <col min="4091" max="4091" width="9.28515625" style="30" customWidth="1"/>
    <col min="4092" max="4092" width="37.140625" style="30" customWidth="1"/>
    <col min="4093" max="4093" width="17.140625" style="30" customWidth="1"/>
    <col min="4094" max="4094" width="33.28515625" style="30" customWidth="1"/>
    <col min="4095" max="4095" width="11.85546875" style="30" customWidth="1"/>
    <col min="4096" max="4345" width="9.140625" style="30"/>
    <col min="4346" max="4346" width="2.28515625" style="30" customWidth="1"/>
    <col min="4347" max="4347" width="9.28515625" style="30" customWidth="1"/>
    <col min="4348" max="4348" width="37.140625" style="30" customWidth="1"/>
    <col min="4349" max="4349" width="17.140625" style="30" customWidth="1"/>
    <col min="4350" max="4350" width="33.28515625" style="30" customWidth="1"/>
    <col min="4351" max="4351" width="11.85546875" style="30" customWidth="1"/>
    <col min="4352" max="4601" width="9.140625" style="30"/>
    <col min="4602" max="4602" width="2.28515625" style="30" customWidth="1"/>
    <col min="4603" max="4603" width="9.28515625" style="30" customWidth="1"/>
    <col min="4604" max="4604" width="37.140625" style="30" customWidth="1"/>
    <col min="4605" max="4605" width="17.140625" style="30" customWidth="1"/>
    <col min="4606" max="4606" width="33.28515625" style="30" customWidth="1"/>
    <col min="4607" max="4607" width="11.85546875" style="30" customWidth="1"/>
    <col min="4608" max="4857" width="9.140625" style="30"/>
    <col min="4858" max="4858" width="2.28515625" style="30" customWidth="1"/>
    <col min="4859" max="4859" width="9.28515625" style="30" customWidth="1"/>
    <col min="4860" max="4860" width="37.140625" style="30" customWidth="1"/>
    <col min="4861" max="4861" width="17.140625" style="30" customWidth="1"/>
    <col min="4862" max="4862" width="33.28515625" style="30" customWidth="1"/>
    <col min="4863" max="4863" width="11.85546875" style="30" customWidth="1"/>
    <col min="4864" max="5113" width="9.140625" style="30"/>
    <col min="5114" max="5114" width="2.28515625" style="30" customWidth="1"/>
    <col min="5115" max="5115" width="9.28515625" style="30" customWidth="1"/>
    <col min="5116" max="5116" width="37.140625" style="30" customWidth="1"/>
    <col min="5117" max="5117" width="17.140625" style="30" customWidth="1"/>
    <col min="5118" max="5118" width="33.28515625" style="30" customWidth="1"/>
    <col min="5119" max="5119" width="11.85546875" style="30" customWidth="1"/>
    <col min="5120" max="5369" width="9.140625" style="30"/>
    <col min="5370" max="5370" width="2.28515625" style="30" customWidth="1"/>
    <col min="5371" max="5371" width="9.28515625" style="30" customWidth="1"/>
    <col min="5372" max="5372" width="37.140625" style="30" customWidth="1"/>
    <col min="5373" max="5373" width="17.140625" style="30" customWidth="1"/>
    <col min="5374" max="5374" width="33.28515625" style="30" customWidth="1"/>
    <col min="5375" max="5375" width="11.85546875" style="30" customWidth="1"/>
    <col min="5376" max="5625" width="9.140625" style="30"/>
    <col min="5626" max="5626" width="2.28515625" style="30" customWidth="1"/>
    <col min="5627" max="5627" width="9.28515625" style="30" customWidth="1"/>
    <col min="5628" max="5628" width="37.140625" style="30" customWidth="1"/>
    <col min="5629" max="5629" width="17.140625" style="30" customWidth="1"/>
    <col min="5630" max="5630" width="33.28515625" style="30" customWidth="1"/>
    <col min="5631" max="5631" width="11.85546875" style="30" customWidth="1"/>
    <col min="5632" max="5881" width="9.140625" style="30"/>
    <col min="5882" max="5882" width="2.28515625" style="30" customWidth="1"/>
    <col min="5883" max="5883" width="9.28515625" style="30" customWidth="1"/>
    <col min="5884" max="5884" width="37.140625" style="30" customWidth="1"/>
    <col min="5885" max="5885" width="17.140625" style="30" customWidth="1"/>
    <col min="5886" max="5886" width="33.28515625" style="30" customWidth="1"/>
    <col min="5887" max="5887" width="11.85546875" style="30" customWidth="1"/>
    <col min="5888" max="6137" width="9.140625" style="30"/>
    <col min="6138" max="6138" width="2.28515625" style="30" customWidth="1"/>
    <col min="6139" max="6139" width="9.28515625" style="30" customWidth="1"/>
    <col min="6140" max="6140" width="37.140625" style="30" customWidth="1"/>
    <col min="6141" max="6141" width="17.140625" style="30" customWidth="1"/>
    <col min="6142" max="6142" width="33.28515625" style="30" customWidth="1"/>
    <col min="6143" max="6143" width="11.85546875" style="30" customWidth="1"/>
    <col min="6144" max="6393" width="9.140625" style="30"/>
    <col min="6394" max="6394" width="2.28515625" style="30" customWidth="1"/>
    <col min="6395" max="6395" width="9.28515625" style="30" customWidth="1"/>
    <col min="6396" max="6396" width="37.140625" style="30" customWidth="1"/>
    <col min="6397" max="6397" width="17.140625" style="30" customWidth="1"/>
    <col min="6398" max="6398" width="33.28515625" style="30" customWidth="1"/>
    <col min="6399" max="6399" width="11.85546875" style="30" customWidth="1"/>
    <col min="6400" max="6649" width="9.140625" style="30"/>
    <col min="6650" max="6650" width="2.28515625" style="30" customWidth="1"/>
    <col min="6651" max="6651" width="9.28515625" style="30" customWidth="1"/>
    <col min="6652" max="6652" width="37.140625" style="30" customWidth="1"/>
    <col min="6653" max="6653" width="17.140625" style="30" customWidth="1"/>
    <col min="6654" max="6654" width="33.28515625" style="30" customWidth="1"/>
    <col min="6655" max="6655" width="11.85546875" style="30" customWidth="1"/>
    <col min="6656" max="6905" width="9.140625" style="30"/>
    <col min="6906" max="6906" width="2.28515625" style="30" customWidth="1"/>
    <col min="6907" max="6907" width="9.28515625" style="30" customWidth="1"/>
    <col min="6908" max="6908" width="37.140625" style="30" customWidth="1"/>
    <col min="6909" max="6909" width="17.140625" style="30" customWidth="1"/>
    <col min="6910" max="6910" width="33.28515625" style="30" customWidth="1"/>
    <col min="6911" max="6911" width="11.85546875" style="30" customWidth="1"/>
    <col min="6912" max="7161" width="9.140625" style="30"/>
    <col min="7162" max="7162" width="2.28515625" style="30" customWidth="1"/>
    <col min="7163" max="7163" width="9.28515625" style="30" customWidth="1"/>
    <col min="7164" max="7164" width="37.140625" style="30" customWidth="1"/>
    <col min="7165" max="7165" width="17.140625" style="30" customWidth="1"/>
    <col min="7166" max="7166" width="33.28515625" style="30" customWidth="1"/>
    <col min="7167" max="7167" width="11.85546875" style="30" customWidth="1"/>
    <col min="7168" max="7417" width="9.140625" style="30"/>
    <col min="7418" max="7418" width="2.28515625" style="30" customWidth="1"/>
    <col min="7419" max="7419" width="9.28515625" style="30" customWidth="1"/>
    <col min="7420" max="7420" width="37.140625" style="30" customWidth="1"/>
    <col min="7421" max="7421" width="17.140625" style="30" customWidth="1"/>
    <col min="7422" max="7422" width="33.28515625" style="30" customWidth="1"/>
    <col min="7423" max="7423" width="11.85546875" style="30" customWidth="1"/>
    <col min="7424" max="7673" width="9.140625" style="30"/>
    <col min="7674" max="7674" width="2.28515625" style="30" customWidth="1"/>
    <col min="7675" max="7675" width="9.28515625" style="30" customWidth="1"/>
    <col min="7676" max="7676" width="37.140625" style="30" customWidth="1"/>
    <col min="7677" max="7677" width="17.140625" style="30" customWidth="1"/>
    <col min="7678" max="7678" width="33.28515625" style="30" customWidth="1"/>
    <col min="7679" max="7679" width="11.85546875" style="30" customWidth="1"/>
    <col min="7680" max="7929" width="9.140625" style="30"/>
    <col min="7930" max="7930" width="2.28515625" style="30" customWidth="1"/>
    <col min="7931" max="7931" width="9.28515625" style="30" customWidth="1"/>
    <col min="7932" max="7932" width="37.140625" style="30" customWidth="1"/>
    <col min="7933" max="7933" width="17.140625" style="30" customWidth="1"/>
    <col min="7934" max="7934" width="33.28515625" style="30" customWidth="1"/>
    <col min="7935" max="7935" width="11.85546875" style="30" customWidth="1"/>
    <col min="7936" max="8185" width="9.140625" style="30"/>
    <col min="8186" max="8186" width="2.28515625" style="30" customWidth="1"/>
    <col min="8187" max="8187" width="9.28515625" style="30" customWidth="1"/>
    <col min="8188" max="8188" width="37.140625" style="30" customWidth="1"/>
    <col min="8189" max="8189" width="17.140625" style="30" customWidth="1"/>
    <col min="8190" max="8190" width="33.28515625" style="30" customWidth="1"/>
    <col min="8191" max="8191" width="11.85546875" style="30" customWidth="1"/>
    <col min="8192" max="8441" width="9.140625" style="30"/>
    <col min="8442" max="8442" width="2.28515625" style="30" customWidth="1"/>
    <col min="8443" max="8443" width="9.28515625" style="30" customWidth="1"/>
    <col min="8444" max="8444" width="37.140625" style="30" customWidth="1"/>
    <col min="8445" max="8445" width="17.140625" style="30" customWidth="1"/>
    <col min="8446" max="8446" width="33.28515625" style="30" customWidth="1"/>
    <col min="8447" max="8447" width="11.85546875" style="30" customWidth="1"/>
    <col min="8448" max="8697" width="9.140625" style="30"/>
    <col min="8698" max="8698" width="2.28515625" style="30" customWidth="1"/>
    <col min="8699" max="8699" width="9.28515625" style="30" customWidth="1"/>
    <col min="8700" max="8700" width="37.140625" style="30" customWidth="1"/>
    <col min="8701" max="8701" width="17.140625" style="30" customWidth="1"/>
    <col min="8702" max="8702" width="33.28515625" style="30" customWidth="1"/>
    <col min="8703" max="8703" width="11.85546875" style="30" customWidth="1"/>
    <col min="8704" max="8953" width="9.140625" style="30"/>
    <col min="8954" max="8954" width="2.28515625" style="30" customWidth="1"/>
    <col min="8955" max="8955" width="9.28515625" style="30" customWidth="1"/>
    <col min="8956" max="8956" width="37.140625" style="30" customWidth="1"/>
    <col min="8957" max="8957" width="17.140625" style="30" customWidth="1"/>
    <col min="8958" max="8958" width="33.28515625" style="30" customWidth="1"/>
    <col min="8959" max="8959" width="11.85546875" style="30" customWidth="1"/>
    <col min="8960" max="9209" width="9.140625" style="30"/>
    <col min="9210" max="9210" width="2.28515625" style="30" customWidth="1"/>
    <col min="9211" max="9211" width="9.28515625" style="30" customWidth="1"/>
    <col min="9212" max="9212" width="37.140625" style="30" customWidth="1"/>
    <col min="9213" max="9213" width="17.140625" style="30" customWidth="1"/>
    <col min="9214" max="9214" width="33.28515625" style="30" customWidth="1"/>
    <col min="9215" max="9215" width="11.85546875" style="30" customWidth="1"/>
    <col min="9216" max="9465" width="9.140625" style="30"/>
    <col min="9466" max="9466" width="2.28515625" style="30" customWidth="1"/>
    <col min="9467" max="9467" width="9.28515625" style="30" customWidth="1"/>
    <col min="9468" max="9468" width="37.140625" style="30" customWidth="1"/>
    <col min="9469" max="9469" width="17.140625" style="30" customWidth="1"/>
    <col min="9470" max="9470" width="33.28515625" style="30" customWidth="1"/>
    <col min="9471" max="9471" width="11.85546875" style="30" customWidth="1"/>
    <col min="9472" max="9721" width="9.140625" style="30"/>
    <col min="9722" max="9722" width="2.28515625" style="30" customWidth="1"/>
    <col min="9723" max="9723" width="9.28515625" style="30" customWidth="1"/>
    <col min="9724" max="9724" width="37.140625" style="30" customWidth="1"/>
    <col min="9725" max="9725" width="17.140625" style="30" customWidth="1"/>
    <col min="9726" max="9726" width="33.28515625" style="30" customWidth="1"/>
    <col min="9727" max="9727" width="11.85546875" style="30" customWidth="1"/>
    <col min="9728" max="9977" width="9.140625" style="30"/>
    <col min="9978" max="9978" width="2.28515625" style="30" customWidth="1"/>
    <col min="9979" max="9979" width="9.28515625" style="30" customWidth="1"/>
    <col min="9980" max="9980" width="37.140625" style="30" customWidth="1"/>
    <col min="9981" max="9981" width="17.140625" style="30" customWidth="1"/>
    <col min="9982" max="9982" width="33.28515625" style="30" customWidth="1"/>
    <col min="9983" max="9983" width="11.85546875" style="30" customWidth="1"/>
    <col min="9984" max="10233" width="9.140625" style="30"/>
    <col min="10234" max="10234" width="2.28515625" style="30" customWidth="1"/>
    <col min="10235" max="10235" width="9.28515625" style="30" customWidth="1"/>
    <col min="10236" max="10236" width="37.140625" style="30" customWidth="1"/>
    <col min="10237" max="10237" width="17.140625" style="30" customWidth="1"/>
    <col min="10238" max="10238" width="33.28515625" style="30" customWidth="1"/>
    <col min="10239" max="10239" width="11.85546875" style="30" customWidth="1"/>
    <col min="10240" max="10489" width="9.140625" style="30"/>
    <col min="10490" max="10490" width="2.28515625" style="30" customWidth="1"/>
    <col min="10491" max="10491" width="9.28515625" style="30" customWidth="1"/>
    <col min="10492" max="10492" width="37.140625" style="30" customWidth="1"/>
    <col min="10493" max="10493" width="17.140625" style="30" customWidth="1"/>
    <col min="10494" max="10494" width="33.28515625" style="30" customWidth="1"/>
    <col min="10495" max="10495" width="11.85546875" style="30" customWidth="1"/>
    <col min="10496" max="10745" width="9.140625" style="30"/>
    <col min="10746" max="10746" width="2.28515625" style="30" customWidth="1"/>
    <col min="10747" max="10747" width="9.28515625" style="30" customWidth="1"/>
    <col min="10748" max="10748" width="37.140625" style="30" customWidth="1"/>
    <col min="10749" max="10749" width="17.140625" style="30" customWidth="1"/>
    <col min="10750" max="10750" width="33.28515625" style="30" customWidth="1"/>
    <col min="10751" max="10751" width="11.85546875" style="30" customWidth="1"/>
    <col min="10752" max="11001" width="9.140625" style="30"/>
    <col min="11002" max="11002" width="2.28515625" style="30" customWidth="1"/>
    <col min="11003" max="11003" width="9.28515625" style="30" customWidth="1"/>
    <col min="11004" max="11004" width="37.140625" style="30" customWidth="1"/>
    <col min="11005" max="11005" width="17.140625" style="30" customWidth="1"/>
    <col min="11006" max="11006" width="33.28515625" style="30" customWidth="1"/>
    <col min="11007" max="11007" width="11.85546875" style="30" customWidth="1"/>
    <col min="11008" max="11257" width="9.140625" style="30"/>
    <col min="11258" max="11258" width="2.28515625" style="30" customWidth="1"/>
    <col min="11259" max="11259" width="9.28515625" style="30" customWidth="1"/>
    <col min="11260" max="11260" width="37.140625" style="30" customWidth="1"/>
    <col min="11261" max="11261" width="17.140625" style="30" customWidth="1"/>
    <col min="11262" max="11262" width="33.28515625" style="30" customWidth="1"/>
    <col min="11263" max="11263" width="11.85546875" style="30" customWidth="1"/>
    <col min="11264" max="11513" width="9.140625" style="30"/>
    <col min="11514" max="11514" width="2.28515625" style="30" customWidth="1"/>
    <col min="11515" max="11515" width="9.28515625" style="30" customWidth="1"/>
    <col min="11516" max="11516" width="37.140625" style="30" customWidth="1"/>
    <col min="11517" max="11517" width="17.140625" style="30" customWidth="1"/>
    <col min="11518" max="11518" width="33.28515625" style="30" customWidth="1"/>
    <col min="11519" max="11519" width="11.85546875" style="30" customWidth="1"/>
    <col min="11520" max="11769" width="9.140625" style="30"/>
    <col min="11770" max="11770" width="2.28515625" style="30" customWidth="1"/>
    <col min="11771" max="11771" width="9.28515625" style="30" customWidth="1"/>
    <col min="11772" max="11772" width="37.140625" style="30" customWidth="1"/>
    <col min="11773" max="11773" width="17.140625" style="30" customWidth="1"/>
    <col min="11774" max="11774" width="33.28515625" style="30" customWidth="1"/>
    <col min="11775" max="11775" width="11.85546875" style="30" customWidth="1"/>
    <col min="11776" max="12025" width="9.140625" style="30"/>
    <col min="12026" max="12026" width="2.28515625" style="30" customWidth="1"/>
    <col min="12027" max="12027" width="9.28515625" style="30" customWidth="1"/>
    <col min="12028" max="12028" width="37.140625" style="30" customWidth="1"/>
    <col min="12029" max="12029" width="17.140625" style="30" customWidth="1"/>
    <col min="12030" max="12030" width="33.28515625" style="30" customWidth="1"/>
    <col min="12031" max="12031" width="11.85546875" style="30" customWidth="1"/>
    <col min="12032" max="12281" width="9.140625" style="30"/>
    <col min="12282" max="12282" width="2.28515625" style="30" customWidth="1"/>
    <col min="12283" max="12283" width="9.28515625" style="30" customWidth="1"/>
    <col min="12284" max="12284" width="37.140625" style="30" customWidth="1"/>
    <col min="12285" max="12285" width="17.140625" style="30" customWidth="1"/>
    <col min="12286" max="12286" width="33.28515625" style="30" customWidth="1"/>
    <col min="12287" max="12287" width="11.85546875" style="30" customWidth="1"/>
    <col min="12288" max="12537" width="9.140625" style="30"/>
    <col min="12538" max="12538" width="2.28515625" style="30" customWidth="1"/>
    <col min="12539" max="12539" width="9.28515625" style="30" customWidth="1"/>
    <col min="12540" max="12540" width="37.140625" style="30" customWidth="1"/>
    <col min="12541" max="12541" width="17.140625" style="30" customWidth="1"/>
    <col min="12542" max="12542" width="33.28515625" style="30" customWidth="1"/>
    <col min="12543" max="12543" width="11.85546875" style="30" customWidth="1"/>
    <col min="12544" max="12793" width="9.140625" style="30"/>
    <col min="12794" max="12794" width="2.28515625" style="30" customWidth="1"/>
    <col min="12795" max="12795" width="9.28515625" style="30" customWidth="1"/>
    <col min="12796" max="12796" width="37.140625" style="30" customWidth="1"/>
    <col min="12797" max="12797" width="17.140625" style="30" customWidth="1"/>
    <col min="12798" max="12798" width="33.28515625" style="30" customWidth="1"/>
    <col min="12799" max="12799" width="11.85546875" style="30" customWidth="1"/>
    <col min="12800" max="13049" width="9.140625" style="30"/>
    <col min="13050" max="13050" width="2.28515625" style="30" customWidth="1"/>
    <col min="13051" max="13051" width="9.28515625" style="30" customWidth="1"/>
    <col min="13052" max="13052" width="37.140625" style="30" customWidth="1"/>
    <col min="13053" max="13053" width="17.140625" style="30" customWidth="1"/>
    <col min="13054" max="13054" width="33.28515625" style="30" customWidth="1"/>
    <col min="13055" max="13055" width="11.85546875" style="30" customWidth="1"/>
    <col min="13056" max="13305" width="9.140625" style="30"/>
    <col min="13306" max="13306" width="2.28515625" style="30" customWidth="1"/>
    <col min="13307" max="13307" width="9.28515625" style="30" customWidth="1"/>
    <col min="13308" max="13308" width="37.140625" style="30" customWidth="1"/>
    <col min="13309" max="13309" width="17.140625" style="30" customWidth="1"/>
    <col min="13310" max="13310" width="33.28515625" style="30" customWidth="1"/>
    <col min="13311" max="13311" width="11.85546875" style="30" customWidth="1"/>
    <col min="13312" max="13561" width="9.140625" style="30"/>
    <col min="13562" max="13562" width="2.28515625" style="30" customWidth="1"/>
    <col min="13563" max="13563" width="9.28515625" style="30" customWidth="1"/>
    <col min="13564" max="13564" width="37.140625" style="30" customWidth="1"/>
    <col min="13565" max="13565" width="17.140625" style="30" customWidth="1"/>
    <col min="13566" max="13566" width="33.28515625" style="30" customWidth="1"/>
    <col min="13567" max="13567" width="11.85546875" style="30" customWidth="1"/>
    <col min="13568" max="13817" width="9.140625" style="30"/>
    <col min="13818" max="13818" width="2.28515625" style="30" customWidth="1"/>
    <col min="13819" max="13819" width="9.28515625" style="30" customWidth="1"/>
    <col min="13820" max="13820" width="37.140625" style="30" customWidth="1"/>
    <col min="13821" max="13821" width="17.140625" style="30" customWidth="1"/>
    <col min="13822" max="13822" width="33.28515625" style="30" customWidth="1"/>
    <col min="13823" max="13823" width="11.85546875" style="30" customWidth="1"/>
    <col min="13824" max="14073" width="9.140625" style="30"/>
    <col min="14074" max="14074" width="2.28515625" style="30" customWidth="1"/>
    <col min="14075" max="14075" width="9.28515625" style="30" customWidth="1"/>
    <col min="14076" max="14076" width="37.140625" style="30" customWidth="1"/>
    <col min="14077" max="14077" width="17.140625" style="30" customWidth="1"/>
    <col min="14078" max="14078" width="33.28515625" style="30" customWidth="1"/>
    <col min="14079" max="14079" width="11.85546875" style="30" customWidth="1"/>
    <col min="14080" max="14329" width="9.140625" style="30"/>
    <col min="14330" max="14330" width="2.28515625" style="30" customWidth="1"/>
    <col min="14331" max="14331" width="9.28515625" style="30" customWidth="1"/>
    <col min="14332" max="14332" width="37.140625" style="30" customWidth="1"/>
    <col min="14333" max="14333" width="17.140625" style="30" customWidth="1"/>
    <col min="14334" max="14334" width="33.28515625" style="30" customWidth="1"/>
    <col min="14335" max="14335" width="11.85546875" style="30" customWidth="1"/>
    <col min="14336" max="14585" width="9.140625" style="30"/>
    <col min="14586" max="14586" width="2.28515625" style="30" customWidth="1"/>
    <col min="14587" max="14587" width="9.28515625" style="30" customWidth="1"/>
    <col min="14588" max="14588" width="37.140625" style="30" customWidth="1"/>
    <col min="14589" max="14589" width="17.140625" style="30" customWidth="1"/>
    <col min="14590" max="14590" width="33.28515625" style="30" customWidth="1"/>
    <col min="14591" max="14591" width="11.85546875" style="30" customWidth="1"/>
    <col min="14592" max="14841" width="9.140625" style="30"/>
    <col min="14842" max="14842" width="2.28515625" style="30" customWidth="1"/>
    <col min="14843" max="14843" width="9.28515625" style="30" customWidth="1"/>
    <col min="14844" max="14844" width="37.140625" style="30" customWidth="1"/>
    <col min="14845" max="14845" width="17.140625" style="30" customWidth="1"/>
    <col min="14846" max="14846" width="33.28515625" style="30" customWidth="1"/>
    <col min="14847" max="14847" width="11.85546875" style="30" customWidth="1"/>
    <col min="14848" max="15097" width="9.140625" style="30"/>
    <col min="15098" max="15098" width="2.28515625" style="30" customWidth="1"/>
    <col min="15099" max="15099" width="9.28515625" style="30" customWidth="1"/>
    <col min="15100" max="15100" width="37.140625" style="30" customWidth="1"/>
    <col min="15101" max="15101" width="17.140625" style="30" customWidth="1"/>
    <col min="15102" max="15102" width="33.28515625" style="30" customWidth="1"/>
    <col min="15103" max="15103" width="11.85546875" style="30" customWidth="1"/>
    <col min="15104" max="15353" width="9.140625" style="30"/>
    <col min="15354" max="15354" width="2.28515625" style="30" customWidth="1"/>
    <col min="15355" max="15355" width="9.28515625" style="30" customWidth="1"/>
    <col min="15356" max="15356" width="37.140625" style="30" customWidth="1"/>
    <col min="15357" max="15357" width="17.140625" style="30" customWidth="1"/>
    <col min="15358" max="15358" width="33.28515625" style="30" customWidth="1"/>
    <col min="15359" max="15359" width="11.85546875" style="30" customWidth="1"/>
    <col min="15360" max="15609" width="9.140625" style="30"/>
    <col min="15610" max="15610" width="2.28515625" style="30" customWidth="1"/>
    <col min="15611" max="15611" width="9.28515625" style="30" customWidth="1"/>
    <col min="15612" max="15612" width="37.140625" style="30" customWidth="1"/>
    <col min="15613" max="15613" width="17.140625" style="30" customWidth="1"/>
    <col min="15614" max="15614" width="33.28515625" style="30" customWidth="1"/>
    <col min="15615" max="15615" width="11.85546875" style="30" customWidth="1"/>
    <col min="15616" max="15865" width="9.140625" style="30"/>
    <col min="15866" max="15866" width="2.28515625" style="30" customWidth="1"/>
    <col min="15867" max="15867" width="9.28515625" style="30" customWidth="1"/>
    <col min="15868" max="15868" width="37.140625" style="30" customWidth="1"/>
    <col min="15869" max="15869" width="17.140625" style="30" customWidth="1"/>
    <col min="15870" max="15870" width="33.28515625" style="30" customWidth="1"/>
    <col min="15871" max="15871" width="11.85546875" style="30" customWidth="1"/>
    <col min="15872" max="16121" width="9.140625" style="30"/>
    <col min="16122" max="16122" width="2.28515625" style="30" customWidth="1"/>
    <col min="16123" max="16123" width="9.28515625" style="30" customWidth="1"/>
    <col min="16124" max="16124" width="37.140625" style="30" customWidth="1"/>
    <col min="16125" max="16125" width="17.140625" style="30" customWidth="1"/>
    <col min="16126" max="16126" width="33.28515625" style="30" customWidth="1"/>
    <col min="16127" max="16127" width="11.85546875" style="30" customWidth="1"/>
    <col min="16128" max="16384" width="9.140625" style="30"/>
  </cols>
  <sheetData>
    <row r="1" spans="2:20" x14ac:dyDescent="0.2">
      <c r="B1" s="63"/>
      <c r="C1" s="63"/>
      <c r="D1" s="63"/>
      <c r="E1" s="63"/>
    </row>
    <row r="2" spans="2:20" ht="28.5" customHeight="1" x14ac:dyDescent="0.2">
      <c r="B2" s="275" t="s">
        <v>581</v>
      </c>
      <c r="C2" s="275"/>
      <c r="D2" s="275"/>
      <c r="E2" s="275"/>
      <c r="F2" s="72"/>
      <c r="G2" s="275" t="s">
        <v>580</v>
      </c>
      <c r="H2" s="275"/>
      <c r="I2" s="275"/>
      <c r="J2" s="275"/>
      <c r="K2" s="70"/>
    </row>
    <row r="3" spans="2:20" x14ac:dyDescent="0.2">
      <c r="B3" s="76"/>
      <c r="C3" s="76"/>
      <c r="D3" s="76"/>
      <c r="E3" s="76"/>
      <c r="F3" s="72"/>
      <c r="G3" s="76"/>
      <c r="H3" s="76"/>
      <c r="I3" s="76"/>
      <c r="J3" s="76"/>
      <c r="K3" s="64"/>
    </row>
    <row r="4" spans="2:20" x14ac:dyDescent="0.2">
      <c r="B4" s="273" t="s">
        <v>552</v>
      </c>
      <c r="C4" s="273"/>
      <c r="D4" s="273"/>
      <c r="E4" s="273"/>
      <c r="G4" s="274" t="s">
        <v>542</v>
      </c>
      <c r="H4" s="274"/>
      <c r="I4" s="274"/>
      <c r="J4" s="274"/>
    </row>
    <row r="9" spans="2:20" x14ac:dyDescent="0.2">
      <c r="T9" s="85" t="s">
        <v>561</v>
      </c>
    </row>
    <row r="10" spans="2:20" x14ac:dyDescent="0.2">
      <c r="T10" s="86" t="s">
        <v>562</v>
      </c>
    </row>
    <row r="11" spans="2:20" x14ac:dyDescent="0.2">
      <c r="G11" s="73"/>
      <c r="H11" s="73"/>
      <c r="I11" s="74" t="s">
        <v>550</v>
      </c>
      <c r="J11" s="74" t="s">
        <v>551</v>
      </c>
      <c r="T11" s="85" t="s">
        <v>560</v>
      </c>
    </row>
    <row r="12" spans="2:20" x14ac:dyDescent="0.25">
      <c r="B12" s="66"/>
      <c r="C12" s="66"/>
      <c r="G12" s="78" t="s">
        <v>556</v>
      </c>
      <c r="H12" s="78" t="s">
        <v>568</v>
      </c>
      <c r="I12" s="79">
        <v>2</v>
      </c>
      <c r="J12" s="100">
        <v>1200000</v>
      </c>
    </row>
    <row r="13" spans="2:20" x14ac:dyDescent="0.2">
      <c r="B13" s="63"/>
      <c r="C13" s="63"/>
      <c r="D13" s="64"/>
      <c r="E13" s="64"/>
      <c r="G13" s="73"/>
      <c r="H13" s="73" t="s">
        <v>569</v>
      </c>
      <c r="I13" s="74">
        <v>5</v>
      </c>
      <c r="J13" s="94">
        <v>1764731.53</v>
      </c>
    </row>
    <row r="14" spans="2:20" x14ac:dyDescent="0.2">
      <c r="B14" s="73"/>
      <c r="C14" s="73"/>
      <c r="D14" s="74" t="s">
        <v>550</v>
      </c>
      <c r="E14" s="74" t="s">
        <v>551</v>
      </c>
      <c r="G14" s="73"/>
      <c r="H14" s="73" t="s">
        <v>570</v>
      </c>
      <c r="I14" s="74">
        <v>9</v>
      </c>
      <c r="J14" s="94">
        <v>5023584.5299999993</v>
      </c>
    </row>
    <row r="15" spans="2:20" x14ac:dyDescent="0.25">
      <c r="B15" s="98" t="s">
        <v>548</v>
      </c>
      <c r="C15" s="73" t="s">
        <v>549</v>
      </c>
      <c r="D15" s="74">
        <v>6</v>
      </c>
      <c r="E15" s="95">
        <v>50000</v>
      </c>
      <c r="F15" s="66"/>
      <c r="G15" s="73"/>
      <c r="H15" s="73" t="s">
        <v>572</v>
      </c>
      <c r="I15" s="74">
        <v>1</v>
      </c>
      <c r="J15" s="94">
        <v>200000</v>
      </c>
    </row>
    <row r="16" spans="2:20" x14ac:dyDescent="0.25">
      <c r="B16" s="98" t="s">
        <v>547</v>
      </c>
      <c r="C16" s="73" t="s">
        <v>567</v>
      </c>
      <c r="D16" s="74">
        <v>6</v>
      </c>
      <c r="E16" s="95">
        <v>50000</v>
      </c>
      <c r="F16" s="66"/>
      <c r="G16" s="73"/>
      <c r="H16" s="73" t="s">
        <v>571</v>
      </c>
      <c r="I16" s="74">
        <v>6</v>
      </c>
      <c r="J16" s="94">
        <v>649938.52</v>
      </c>
    </row>
    <row r="17" spans="1:11" x14ac:dyDescent="0.25">
      <c r="B17" s="99" t="s">
        <v>566</v>
      </c>
      <c r="C17" s="63" t="s">
        <v>567</v>
      </c>
      <c r="D17" s="67">
        <v>5</v>
      </c>
      <c r="E17" s="96">
        <v>50000</v>
      </c>
      <c r="F17" s="66"/>
      <c r="G17" s="73"/>
      <c r="H17" s="73" t="s">
        <v>578</v>
      </c>
      <c r="I17" s="74"/>
      <c r="J17" s="94">
        <v>1047312.13</v>
      </c>
    </row>
    <row r="18" spans="1:11" x14ac:dyDescent="0.25">
      <c r="B18" s="77" t="s">
        <v>12</v>
      </c>
      <c r="C18" s="93"/>
      <c r="D18" s="77">
        <v>17</v>
      </c>
      <c r="E18" s="97">
        <v>150000</v>
      </c>
      <c r="F18" s="66"/>
      <c r="G18" s="75" t="s">
        <v>543</v>
      </c>
      <c r="H18" s="75"/>
      <c r="I18" s="82">
        <f>SUM(I12:I17)</f>
        <v>23</v>
      </c>
      <c r="J18" s="101">
        <f>SUM(J12:J17)</f>
        <v>9885566.7100000009</v>
      </c>
    </row>
    <row r="19" spans="1:11" x14ac:dyDescent="0.25">
      <c r="B19" s="63"/>
      <c r="D19" s="67"/>
      <c r="E19" s="68"/>
      <c r="F19" s="66"/>
      <c r="G19" s="73" t="s">
        <v>559</v>
      </c>
      <c r="H19" s="73" t="s">
        <v>568</v>
      </c>
      <c r="I19" s="74">
        <v>12</v>
      </c>
      <c r="J19" s="94">
        <v>500000</v>
      </c>
    </row>
    <row r="20" spans="1:11" x14ac:dyDescent="0.25">
      <c r="B20"/>
      <c r="D20"/>
      <c r="E20"/>
      <c r="F20" s="66"/>
      <c r="G20" s="73"/>
      <c r="H20" s="73" t="s">
        <v>570</v>
      </c>
      <c r="I20" s="74">
        <v>3</v>
      </c>
      <c r="J20" s="94">
        <v>162000</v>
      </c>
    </row>
    <row r="21" spans="1:11" s="31" customFormat="1" x14ac:dyDescent="0.2">
      <c r="A21" s="62"/>
      <c r="C21" s="63"/>
      <c r="F21" s="63"/>
      <c r="G21" s="73"/>
      <c r="H21" s="73" t="s">
        <v>572</v>
      </c>
      <c r="I21" s="74">
        <v>1</v>
      </c>
      <c r="J21" s="94">
        <v>24000</v>
      </c>
      <c r="K21" s="63"/>
    </row>
    <row r="22" spans="1:11" x14ac:dyDescent="0.2">
      <c r="B22" s="30"/>
      <c r="D22" s="30"/>
      <c r="E22" s="30"/>
      <c r="G22" s="73"/>
      <c r="H22" s="73" t="s">
        <v>571</v>
      </c>
      <c r="I22" s="74">
        <v>3</v>
      </c>
      <c r="J22" s="94">
        <v>57750</v>
      </c>
    </row>
    <row r="23" spans="1:11" x14ac:dyDescent="0.2">
      <c r="B23" s="30"/>
      <c r="C23" s="30"/>
      <c r="D23" s="30"/>
      <c r="E23" s="30"/>
      <c r="G23" s="73"/>
      <c r="H23" s="73" t="s">
        <v>578</v>
      </c>
      <c r="I23" s="74"/>
      <c r="J23" s="94">
        <v>115275</v>
      </c>
    </row>
    <row r="24" spans="1:11" x14ac:dyDescent="0.2">
      <c r="B24" s="30"/>
      <c r="C24" s="30"/>
      <c r="D24" s="30"/>
      <c r="E24" s="30"/>
      <c r="G24" s="75" t="s">
        <v>544</v>
      </c>
      <c r="H24" s="75"/>
      <c r="I24" s="82">
        <f>SUM(I19:I23)</f>
        <v>19</v>
      </c>
      <c r="J24" s="101">
        <f>SUM(J19:J23)</f>
        <v>859025</v>
      </c>
    </row>
    <row r="25" spans="1:11" x14ac:dyDescent="0.2">
      <c r="B25" s="30"/>
      <c r="C25" s="30"/>
      <c r="D25" s="30"/>
      <c r="E25" s="30"/>
      <c r="G25" s="73" t="s">
        <v>558</v>
      </c>
      <c r="H25" s="73" t="s">
        <v>568</v>
      </c>
      <c r="I25" s="74">
        <v>13</v>
      </c>
      <c r="J25" s="94">
        <v>600000</v>
      </c>
    </row>
    <row r="26" spans="1:11" x14ac:dyDescent="0.2">
      <c r="G26" s="73"/>
      <c r="H26" s="73" t="s">
        <v>569</v>
      </c>
      <c r="I26" s="74">
        <v>2</v>
      </c>
      <c r="J26" s="94">
        <v>40000</v>
      </c>
    </row>
    <row r="27" spans="1:11" x14ac:dyDescent="0.2">
      <c r="G27" s="73"/>
      <c r="H27" s="73" t="s">
        <v>570</v>
      </c>
      <c r="I27" s="74">
        <v>1</v>
      </c>
      <c r="J27" s="94">
        <v>79200</v>
      </c>
    </row>
    <row r="28" spans="1:11" x14ac:dyDescent="0.2">
      <c r="G28" s="73"/>
      <c r="H28" s="73" t="s">
        <v>572</v>
      </c>
      <c r="I28" s="74">
        <v>3</v>
      </c>
      <c r="J28" s="94">
        <v>97250</v>
      </c>
    </row>
    <row r="29" spans="1:11" x14ac:dyDescent="0.2">
      <c r="G29" s="73"/>
      <c r="H29" s="73" t="s">
        <v>571</v>
      </c>
      <c r="I29" s="74">
        <v>9</v>
      </c>
      <c r="J29" s="94">
        <v>178000</v>
      </c>
    </row>
    <row r="30" spans="1:11" x14ac:dyDescent="0.2">
      <c r="G30" s="73"/>
      <c r="H30" s="73" t="s">
        <v>578</v>
      </c>
      <c r="I30" s="74"/>
      <c r="J30" s="94">
        <v>43750</v>
      </c>
    </row>
    <row r="31" spans="1:11" x14ac:dyDescent="0.2">
      <c r="G31" s="75" t="s">
        <v>545</v>
      </c>
      <c r="H31" s="75"/>
      <c r="I31" s="82">
        <f>SUM(I25:I30)</f>
        <v>28</v>
      </c>
      <c r="J31" s="101">
        <f>SUM(J25:J30)</f>
        <v>1038200</v>
      </c>
    </row>
    <row r="32" spans="1:11" x14ac:dyDescent="0.2">
      <c r="G32" s="73" t="s">
        <v>557</v>
      </c>
      <c r="H32" s="73" t="s">
        <v>569</v>
      </c>
      <c r="I32" s="74">
        <v>6</v>
      </c>
      <c r="J32" s="94">
        <v>500000</v>
      </c>
    </row>
    <row r="33" spans="2:10" x14ac:dyDescent="0.2">
      <c r="G33" s="73"/>
      <c r="H33" s="73" t="s">
        <v>571</v>
      </c>
      <c r="I33" s="74">
        <v>6</v>
      </c>
      <c r="J33" s="94">
        <v>157829.00999999998</v>
      </c>
    </row>
    <row r="34" spans="2:10" x14ac:dyDescent="0.2">
      <c r="G34" s="73"/>
      <c r="H34" s="73" t="s">
        <v>579</v>
      </c>
      <c r="I34" s="74">
        <v>2</v>
      </c>
      <c r="J34" s="94">
        <v>46676.74</v>
      </c>
    </row>
    <row r="35" spans="2:10" x14ac:dyDescent="0.2">
      <c r="G35" s="73"/>
      <c r="H35" s="73" t="s">
        <v>578</v>
      </c>
      <c r="I35" s="74"/>
      <c r="J35" s="94">
        <v>50037.770000000004</v>
      </c>
    </row>
    <row r="36" spans="2:10" x14ac:dyDescent="0.2">
      <c r="G36" s="83" t="s">
        <v>546</v>
      </c>
      <c r="H36" s="83"/>
      <c r="I36" s="84">
        <f>SUM(I32:I35)</f>
        <v>14</v>
      </c>
      <c r="J36" s="102">
        <f>SUM(J32:J35)</f>
        <v>754543.52</v>
      </c>
    </row>
    <row r="37" spans="2:10" x14ac:dyDescent="0.2">
      <c r="G37" s="80" t="s">
        <v>12</v>
      </c>
      <c r="H37" s="80"/>
      <c r="I37" s="81">
        <f>SUM(I36,I31,I24,I18)</f>
        <v>84</v>
      </c>
      <c r="J37" s="103">
        <f>SUM(J36,J31,J24,J18)</f>
        <v>12537335.23</v>
      </c>
    </row>
    <row r="38" spans="2:10" x14ac:dyDescent="0.2">
      <c r="G38" s="30"/>
      <c r="H38" s="30"/>
      <c r="I38" s="30"/>
      <c r="J38" s="30"/>
    </row>
    <row r="39" spans="2:10" x14ac:dyDescent="0.2">
      <c r="G39" s="30"/>
      <c r="H39" s="30"/>
      <c r="I39" s="30"/>
      <c r="J39" s="30"/>
    </row>
    <row r="40" spans="2:10" x14ac:dyDescent="0.2">
      <c r="B40" s="69"/>
      <c r="G40" s="30"/>
      <c r="H40" s="30"/>
      <c r="I40" s="30"/>
      <c r="J40" s="30"/>
    </row>
    <row r="41" spans="2:10" x14ac:dyDescent="0.2">
      <c r="I41" s="67"/>
      <c r="J41" s="68"/>
    </row>
    <row r="42" spans="2:10" x14ac:dyDescent="0.2">
      <c r="G42" s="30"/>
      <c r="H42" s="30"/>
      <c r="I42" s="30"/>
      <c r="J42" s="30"/>
    </row>
    <row r="43" spans="2:10" x14ac:dyDescent="0.2">
      <c r="G43" s="30"/>
      <c r="H43" s="30"/>
      <c r="I43" s="30"/>
      <c r="J43" s="30"/>
    </row>
    <row r="44" spans="2:10" x14ac:dyDescent="0.2">
      <c r="G44" s="30"/>
      <c r="H44" s="30"/>
      <c r="I44" s="30"/>
      <c r="J44" s="30"/>
    </row>
    <row r="45" spans="2:10" x14ac:dyDescent="0.2">
      <c r="G45" s="30"/>
      <c r="H45" s="30"/>
      <c r="I45" s="30"/>
      <c r="J45" s="30"/>
    </row>
    <row r="46" spans="2:10" x14ac:dyDescent="0.2">
      <c r="G46" s="30"/>
      <c r="H46" s="30"/>
      <c r="I46" s="30"/>
      <c r="J46" s="30"/>
    </row>
    <row r="47" spans="2:10" x14ac:dyDescent="0.2">
      <c r="G47" s="30"/>
      <c r="H47" s="30"/>
      <c r="I47" s="30"/>
      <c r="J47" s="30"/>
    </row>
    <row r="48" spans="2:10" x14ac:dyDescent="0.2">
      <c r="G48" s="30"/>
      <c r="H48" s="30"/>
      <c r="I48" s="30"/>
      <c r="J48" s="30"/>
    </row>
    <row r="49" spans="7:10" x14ac:dyDescent="0.2">
      <c r="G49" s="30"/>
      <c r="H49" s="30"/>
      <c r="I49" s="30"/>
      <c r="J49" s="30"/>
    </row>
    <row r="50" spans="7:10" x14ac:dyDescent="0.2">
      <c r="G50" s="30"/>
      <c r="H50" s="30"/>
      <c r="I50" s="30"/>
      <c r="J50" s="30"/>
    </row>
    <row r="51" spans="7:10" x14ac:dyDescent="0.2">
      <c r="G51" s="30"/>
      <c r="H51" s="30"/>
      <c r="I51" s="30"/>
      <c r="J51" s="30"/>
    </row>
    <row r="52" spans="7:10" x14ac:dyDescent="0.2">
      <c r="G52" s="30"/>
      <c r="H52" s="30"/>
      <c r="I52" s="30"/>
      <c r="J52" s="30"/>
    </row>
    <row r="53" spans="7:10" x14ac:dyDescent="0.2">
      <c r="G53" s="30"/>
      <c r="H53" s="30"/>
      <c r="I53" s="30"/>
      <c r="J53" s="30"/>
    </row>
    <row r="54" spans="7:10" x14ac:dyDescent="0.2">
      <c r="G54" s="30"/>
      <c r="H54" s="30"/>
      <c r="I54" s="30"/>
      <c r="J54" s="30"/>
    </row>
    <row r="55" spans="7:10" x14ac:dyDescent="0.2">
      <c r="G55" s="30"/>
      <c r="H55" s="30"/>
      <c r="I55" s="30"/>
      <c r="J55" s="30"/>
    </row>
    <row r="56" spans="7:10" x14ac:dyDescent="0.2">
      <c r="G56" s="30"/>
      <c r="H56" s="30"/>
      <c r="I56" s="30"/>
      <c r="J56" s="30"/>
    </row>
    <row r="57" spans="7:10" x14ac:dyDescent="0.2">
      <c r="G57" s="30"/>
      <c r="H57" s="30"/>
      <c r="I57" s="30"/>
      <c r="J57" s="30"/>
    </row>
    <row r="58" spans="7:10" x14ac:dyDescent="0.2">
      <c r="G58" s="30"/>
      <c r="H58" s="30"/>
      <c r="I58" s="30"/>
      <c r="J58" s="30"/>
    </row>
    <row r="59" spans="7:10" x14ac:dyDescent="0.2">
      <c r="G59" s="30"/>
      <c r="H59" s="30"/>
      <c r="I59" s="30"/>
      <c r="J59" s="30"/>
    </row>
    <row r="60" spans="7:10" x14ac:dyDescent="0.2">
      <c r="G60" s="30"/>
      <c r="H60" s="30"/>
      <c r="I60" s="30"/>
      <c r="J60" s="30"/>
    </row>
    <row r="61" spans="7:10" x14ac:dyDescent="0.2">
      <c r="G61" s="30"/>
      <c r="H61" s="30"/>
      <c r="I61" s="30"/>
      <c r="J61" s="30"/>
    </row>
    <row r="62" spans="7:10" x14ac:dyDescent="0.2">
      <c r="G62" s="30"/>
      <c r="H62" s="30"/>
      <c r="I62" s="30"/>
      <c r="J62" s="30"/>
    </row>
    <row r="63" spans="7:10" x14ac:dyDescent="0.2">
      <c r="G63" s="30"/>
      <c r="H63" s="30"/>
      <c r="I63" s="30"/>
      <c r="J63" s="30"/>
    </row>
    <row r="64" spans="7:10" x14ac:dyDescent="0.2">
      <c r="G64" s="30"/>
      <c r="H64" s="30"/>
      <c r="I64" s="30"/>
      <c r="J64" s="30"/>
    </row>
    <row r="65" spans="7:10" x14ac:dyDescent="0.2">
      <c r="G65" s="30"/>
      <c r="H65" s="30"/>
      <c r="I65" s="30"/>
      <c r="J65" s="30"/>
    </row>
    <row r="66" spans="7:10" x14ac:dyDescent="0.2">
      <c r="G66" s="30"/>
      <c r="H66" s="30"/>
      <c r="I66" s="30"/>
      <c r="J66" s="30"/>
    </row>
    <row r="67" spans="7:10" x14ac:dyDescent="0.2">
      <c r="G67" s="30"/>
      <c r="H67" s="30"/>
      <c r="I67" s="30"/>
      <c r="J67" s="30"/>
    </row>
    <row r="71" spans="7:10" x14ac:dyDescent="0.25">
      <c r="G71" s="71"/>
      <c r="H71" s="71"/>
      <c r="I71" s="71"/>
      <c r="J71" s="71"/>
    </row>
    <row r="72" spans="7:10" x14ac:dyDescent="0.2">
      <c r="G72" s="65"/>
      <c r="H72" s="65"/>
      <c r="I72" s="65"/>
    </row>
    <row r="73" spans="7:10" x14ac:dyDescent="0.2">
      <c r="G73" s="65"/>
      <c r="H73" s="65"/>
      <c r="I73" s="65"/>
    </row>
    <row r="74" spans="7:10" x14ac:dyDescent="0.2">
      <c r="G74" s="65"/>
      <c r="H74" s="65"/>
      <c r="I74" s="65"/>
    </row>
    <row r="75" spans="7:10" x14ac:dyDescent="0.2">
      <c r="G75" s="65"/>
      <c r="H75" s="65"/>
      <c r="I75" s="65"/>
    </row>
    <row r="76" spans="7:10" x14ac:dyDescent="0.2">
      <c r="G76" s="65"/>
      <c r="H76" s="65"/>
      <c r="I76" s="65"/>
    </row>
    <row r="77" spans="7:10" x14ac:dyDescent="0.2">
      <c r="G77" s="65"/>
      <c r="H77" s="65"/>
      <c r="I77" s="65"/>
    </row>
    <row r="78" spans="7:10" x14ac:dyDescent="0.2">
      <c r="G78" s="65"/>
      <c r="H78" s="65"/>
      <c r="I78" s="65"/>
    </row>
    <row r="79" spans="7:10" x14ac:dyDescent="0.2">
      <c r="G79" s="65"/>
      <c r="H79" s="65"/>
      <c r="I79" s="65"/>
    </row>
    <row r="80" spans="7:10" x14ac:dyDescent="0.2">
      <c r="G80" s="65"/>
      <c r="H80" s="65"/>
      <c r="I80" s="65"/>
    </row>
    <row r="81" spans="7:9" x14ac:dyDescent="0.2">
      <c r="G81" s="65"/>
      <c r="H81" s="65"/>
      <c r="I81" s="65"/>
    </row>
    <row r="82" spans="7:9" x14ac:dyDescent="0.2">
      <c r="G82" s="65"/>
      <c r="H82" s="65"/>
      <c r="I82" s="65"/>
    </row>
    <row r="83" spans="7:9" x14ac:dyDescent="0.2">
      <c r="G83" s="65"/>
      <c r="H83" s="65"/>
      <c r="I83" s="65"/>
    </row>
    <row r="84" spans="7:9" x14ac:dyDescent="0.2">
      <c r="G84" s="65"/>
      <c r="H84" s="65"/>
      <c r="I84" s="65"/>
    </row>
    <row r="85" spans="7:9" x14ac:dyDescent="0.2">
      <c r="G85" s="65"/>
      <c r="H85" s="65"/>
      <c r="I85" s="65"/>
    </row>
    <row r="86" spans="7:9" x14ac:dyDescent="0.2">
      <c r="G86" s="65"/>
      <c r="H86" s="65"/>
      <c r="I86" s="65"/>
    </row>
    <row r="87" spans="7:9" x14ac:dyDescent="0.2">
      <c r="G87" s="65"/>
      <c r="H87" s="65"/>
      <c r="I87" s="65"/>
    </row>
  </sheetData>
  <mergeCells count="4">
    <mergeCell ref="B4:E4"/>
    <mergeCell ref="G4:J4"/>
    <mergeCell ref="B2:E2"/>
    <mergeCell ref="G2:J2"/>
  </mergeCells>
  <printOptions horizontalCentered="1" verticalCentered="1"/>
  <pageMargins left="0.23622047244094491" right="0.23622047244094491" top="0.74803149606299213" bottom="0.74803149606299213" header="0.31496062992125984" footer="0.31496062992125984"/>
  <pageSetup paperSize="9" scale="97" orientation="portrait" r:id="rId1"/>
  <headerFooter>
    <oddHeader>&amp;L&amp;G</oddHeader>
    <oddFooter>&amp;C&amp;"-,Normal"&amp;8DIVISÃO DE ESTUDOS E ESTATÍSTICA - 2012 - RESEARCH AND STATISTICS DIVISION</oddFooter>
  </headerFooter>
  <drawing r:id="rId2"/>
  <legacyDrawingHF r:id="rId3"/>
  <pictur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499984740745262"/>
    <pageSetUpPr fitToPage="1"/>
  </sheetPr>
  <dimension ref="A1:AR137"/>
  <sheetViews>
    <sheetView showGridLines="0" zoomScale="80" zoomScaleNormal="80" zoomScaleSheetLayoutView="70" workbookViewId="0">
      <pane xSplit="2" ySplit="7" topLeftCell="D8" activePane="bottomRight" state="frozen"/>
      <selection activeCell="E56" sqref="E56"/>
      <selection pane="topRight" activeCell="E56" sqref="E56"/>
      <selection pane="bottomLeft" activeCell="E56" sqref="E56"/>
      <selection pane="bottomRight" activeCell="N35" sqref="N35"/>
    </sheetView>
  </sheetViews>
  <sheetFormatPr defaultColWidth="9.140625" defaultRowHeight="23.25" x14ac:dyDescent="0.2"/>
  <cols>
    <col min="1" max="1" width="12.7109375" style="115" customWidth="1"/>
    <col min="2" max="2" width="17.85546875" style="117" customWidth="1"/>
    <col min="3" max="3" width="60.7109375" style="115" hidden="1" customWidth="1"/>
    <col min="4" max="4" width="18" style="115" customWidth="1"/>
    <col min="5" max="5" width="18.28515625" style="115" customWidth="1"/>
    <col min="6" max="6" width="20.85546875" style="115" customWidth="1"/>
    <col min="7" max="7" width="30.42578125" style="115" customWidth="1"/>
    <col min="8" max="8" width="26.140625" style="115" customWidth="1"/>
    <col min="9" max="9" width="60.7109375" style="116" customWidth="1"/>
    <col min="10" max="10" width="35.28515625" style="128" customWidth="1"/>
    <col min="11" max="11" width="28" style="128" customWidth="1"/>
    <col min="12" max="13" width="21.85546875" style="128" customWidth="1"/>
    <col min="14" max="15" width="10.28515625" style="115" customWidth="1"/>
    <col min="16" max="16" width="32" style="115" customWidth="1"/>
    <col min="17" max="17" width="44.5703125" style="115" customWidth="1"/>
    <col min="18" max="19" width="18.42578125" style="115" customWidth="1"/>
    <col min="20" max="20" width="17.85546875" style="115" customWidth="1"/>
    <col min="21" max="21" width="27.28515625" style="115" customWidth="1"/>
    <col min="22" max="22" width="17.85546875" style="115" customWidth="1"/>
    <col min="23" max="23" width="33.85546875" style="128" customWidth="1"/>
    <col min="24" max="25" width="23.42578125" style="128" customWidth="1"/>
    <col min="26" max="26" width="31.140625" style="128" customWidth="1"/>
    <col min="27" max="29" width="23.42578125" style="115" customWidth="1"/>
    <col min="30" max="30" width="24.28515625" style="115" customWidth="1"/>
    <col min="31" max="31" width="14.42578125" style="115" customWidth="1"/>
    <col min="32" max="32" width="54.7109375" style="115" customWidth="1"/>
    <col min="33" max="33" width="12.28515625" style="115" bestFit="1" customWidth="1"/>
    <col min="34" max="34" width="18.7109375" style="115" customWidth="1"/>
    <col min="35" max="39" width="9.140625" style="115"/>
    <col min="40" max="40" width="19.42578125" style="115" customWidth="1"/>
    <col min="41" max="41" width="24.42578125" style="115" customWidth="1"/>
    <col min="42" max="42" width="31.5703125" style="115" customWidth="1"/>
    <col min="43" max="43" width="19.5703125" style="115" customWidth="1"/>
    <col min="44" max="44" width="18.28515625" style="115" customWidth="1"/>
    <col min="45" max="16384" width="9.140625" style="115"/>
  </cols>
  <sheetData>
    <row r="1" spans="1:44" ht="18.75" x14ac:dyDescent="0.2">
      <c r="A1" s="114"/>
      <c r="B1" s="114"/>
      <c r="D1" s="277"/>
      <c r="E1" s="277"/>
      <c r="F1" s="277"/>
      <c r="G1" s="277"/>
      <c r="H1" s="277"/>
      <c r="J1" s="277"/>
      <c r="K1" s="277"/>
      <c r="L1" s="277"/>
      <c r="M1" s="277"/>
      <c r="N1" s="277"/>
      <c r="O1" s="277"/>
      <c r="P1" s="277"/>
      <c r="Q1" s="277"/>
      <c r="R1" s="277"/>
      <c r="S1" s="277"/>
      <c r="W1" s="115"/>
      <c r="X1" s="115"/>
      <c r="Y1" s="115"/>
      <c r="Z1" s="115"/>
    </row>
    <row r="2" spans="1:44" s="114" customFormat="1" x14ac:dyDescent="0.2">
      <c r="B2" s="117"/>
      <c r="D2" s="278" t="s">
        <v>634</v>
      </c>
      <c r="E2" s="278"/>
      <c r="F2" s="278"/>
      <c r="G2" s="278"/>
      <c r="H2" s="278"/>
      <c r="I2" s="116"/>
      <c r="J2" s="279" t="s">
        <v>635</v>
      </c>
      <c r="K2" s="279"/>
      <c r="L2" s="279"/>
      <c r="M2" s="279"/>
      <c r="N2" s="279"/>
      <c r="O2" s="279"/>
      <c r="P2" s="279"/>
      <c r="Q2" s="279"/>
      <c r="R2" s="279"/>
      <c r="S2" s="279"/>
    </row>
    <row r="3" spans="1:44" s="120" customFormat="1" x14ac:dyDescent="0.2">
      <c r="A3" s="118"/>
      <c r="B3" s="119"/>
      <c r="C3" s="115"/>
      <c r="D3" s="278"/>
      <c r="E3" s="278"/>
      <c r="F3" s="278"/>
      <c r="G3" s="278"/>
      <c r="H3" s="278"/>
      <c r="I3" s="116"/>
      <c r="J3" s="279"/>
      <c r="K3" s="279"/>
      <c r="L3" s="279"/>
      <c r="M3" s="279"/>
      <c r="N3" s="279"/>
      <c r="O3" s="279"/>
      <c r="P3" s="279"/>
      <c r="Q3" s="279"/>
      <c r="R3" s="279"/>
      <c r="S3" s="279"/>
    </row>
    <row r="4" spans="1:44" s="120" customFormat="1" ht="18.75" x14ac:dyDescent="0.25">
      <c r="A4" s="118"/>
      <c r="B4" s="118"/>
      <c r="C4" s="115"/>
      <c r="D4" s="115"/>
      <c r="I4" s="116"/>
      <c r="P4" s="121"/>
      <c r="Q4" s="121"/>
    </row>
    <row r="5" spans="1:44" s="120" customFormat="1" ht="18.75" x14ac:dyDescent="0.2">
      <c r="A5" s="118"/>
      <c r="B5" s="118"/>
      <c r="C5" s="115"/>
      <c r="D5" s="122"/>
      <c r="I5" s="116"/>
    </row>
    <row r="6" spans="1:44" s="124" customFormat="1" ht="18.75" x14ac:dyDescent="0.2">
      <c r="A6" s="114"/>
      <c r="B6" s="114"/>
      <c r="C6" s="115"/>
      <c r="D6" s="123"/>
      <c r="E6" s="123"/>
      <c r="F6" s="123"/>
      <c r="G6" s="123"/>
      <c r="I6" s="116"/>
      <c r="W6" s="123"/>
      <c r="X6" s="123"/>
      <c r="Y6" s="123"/>
    </row>
    <row r="7" spans="1:44" x14ac:dyDescent="0.2">
      <c r="A7" s="125" t="s">
        <v>636</v>
      </c>
      <c r="B7" s="126" t="str">
        <f>HYPERLINK("[BD_Projectos.xlsx]"&amp;A7&amp;"!A1",IF(A7="","",A7))</f>
        <v>DADOS</v>
      </c>
      <c r="D7" s="127"/>
      <c r="J7" s="280" t="s">
        <v>637</v>
      </c>
      <c r="K7" s="280"/>
      <c r="L7" s="280"/>
      <c r="M7" s="280"/>
      <c r="P7" s="280" t="s">
        <v>542</v>
      </c>
      <c r="Q7" s="280"/>
      <c r="R7" s="280"/>
      <c r="S7" s="280"/>
      <c r="Z7" s="123"/>
    </row>
    <row r="8" spans="1:44" x14ac:dyDescent="0.25">
      <c r="D8" s="129"/>
      <c r="E8" s="129"/>
      <c r="W8" s="129"/>
      <c r="X8" s="129"/>
    </row>
    <row r="9" spans="1:44" x14ac:dyDescent="0.2">
      <c r="D9" s="176" t="s">
        <v>638</v>
      </c>
      <c r="E9" s="176" t="s">
        <v>639</v>
      </c>
      <c r="F9" s="120"/>
      <c r="G9" s="120"/>
      <c r="W9" s="152" t="s">
        <v>638</v>
      </c>
      <c r="X9" s="152" t="s">
        <v>640</v>
      </c>
    </row>
    <row r="10" spans="1:44" x14ac:dyDescent="0.2">
      <c r="D10" s="176" t="s">
        <v>641</v>
      </c>
      <c r="E10" s="176" t="s">
        <v>642</v>
      </c>
      <c r="F10" s="120"/>
      <c r="G10" s="120"/>
      <c r="W10" s="152" t="s">
        <v>641</v>
      </c>
      <c r="X10" s="152" t="s">
        <v>642</v>
      </c>
      <c r="AR10" s="120"/>
    </row>
    <row r="11" spans="1:44" ht="24" x14ac:dyDescent="0.2">
      <c r="D11" s="176" t="s">
        <v>643</v>
      </c>
      <c r="E11" s="176">
        <v>2013</v>
      </c>
      <c r="F11" s="120"/>
      <c r="G11" s="120"/>
      <c r="W11" s="115"/>
      <c r="X11" s="115"/>
      <c r="AB11" s="130" t="s">
        <v>644</v>
      </c>
      <c r="AR11" s="120"/>
    </row>
    <row r="12" spans="1:44" ht="45.75" x14ac:dyDescent="0.25">
      <c r="B12" s="131"/>
      <c r="W12" s="153"/>
      <c r="X12" s="153" t="s">
        <v>645</v>
      </c>
      <c r="Y12" s="154"/>
      <c r="Z12" s="154"/>
      <c r="AA12" s="156"/>
      <c r="AB12" s="129"/>
      <c r="AC12" s="129"/>
      <c r="AD12" s="129"/>
      <c r="AE12" s="129"/>
      <c r="AF12" s="129"/>
      <c r="AG12" s="129"/>
      <c r="AR12" s="120"/>
    </row>
    <row r="13" spans="1:44" ht="24" x14ac:dyDescent="0.25">
      <c r="D13" s="176" t="s">
        <v>646</v>
      </c>
      <c r="E13" s="176" t="s">
        <v>647</v>
      </c>
      <c r="F13" s="174" t="s">
        <v>92</v>
      </c>
      <c r="G13" s="176" t="s">
        <v>648</v>
      </c>
      <c r="H13" s="176" t="s">
        <v>649</v>
      </c>
      <c r="W13" s="157"/>
      <c r="X13" s="153" t="s">
        <v>650</v>
      </c>
      <c r="Y13" s="154"/>
      <c r="Z13" s="153" t="s">
        <v>651</v>
      </c>
      <c r="AA13" s="158" t="s">
        <v>652</v>
      </c>
      <c r="AB13" s="129"/>
      <c r="AC13" s="129"/>
      <c r="AD13" s="129"/>
      <c r="AE13" s="129"/>
      <c r="AF13" s="129"/>
      <c r="AG13" s="129"/>
      <c r="AR13" s="124"/>
    </row>
    <row r="14" spans="1:44" ht="24" x14ac:dyDescent="0.25">
      <c r="D14" s="176" t="s">
        <v>653</v>
      </c>
      <c r="E14" s="176" t="s">
        <v>654</v>
      </c>
      <c r="F14" s="174" t="s">
        <v>82</v>
      </c>
      <c r="G14" s="176" t="s">
        <v>655</v>
      </c>
      <c r="H14" s="176" t="s">
        <v>656</v>
      </c>
      <c r="W14" s="153" t="s">
        <v>617</v>
      </c>
      <c r="X14" s="159" t="s">
        <v>657</v>
      </c>
      <c r="Y14" s="155" t="s">
        <v>658</v>
      </c>
      <c r="Z14" s="157"/>
      <c r="AA14" s="161"/>
      <c r="AB14" s="129"/>
      <c r="AC14" s="129"/>
      <c r="AD14" s="129"/>
      <c r="AE14" s="129"/>
      <c r="AF14" s="129"/>
      <c r="AG14" s="129"/>
      <c r="AR14" s="129"/>
    </row>
    <row r="15" spans="1:44" ht="36" x14ac:dyDescent="0.25">
      <c r="D15" s="176"/>
      <c r="E15" s="176" t="s">
        <v>659</v>
      </c>
      <c r="F15" s="174" t="s">
        <v>83</v>
      </c>
      <c r="G15" s="176" t="s">
        <v>660</v>
      </c>
      <c r="H15" s="176" t="s">
        <v>661</v>
      </c>
      <c r="W15" s="162" t="s">
        <v>662</v>
      </c>
      <c r="X15" s="163">
        <v>6333.38</v>
      </c>
      <c r="Y15" s="155">
        <v>4</v>
      </c>
      <c r="Z15" s="163">
        <v>6333.38</v>
      </c>
      <c r="AA15" s="158">
        <v>4</v>
      </c>
      <c r="AB15" s="129"/>
      <c r="AC15" s="129"/>
      <c r="AD15" s="129"/>
      <c r="AE15" s="129"/>
      <c r="AF15" s="129"/>
      <c r="AG15" s="129"/>
      <c r="AR15" s="129"/>
    </row>
    <row r="16" spans="1:44" ht="36" x14ac:dyDescent="0.25">
      <c r="D16" s="176"/>
      <c r="E16" s="176" t="s">
        <v>663</v>
      </c>
      <c r="F16" s="174" t="s">
        <v>83</v>
      </c>
      <c r="G16" s="176" t="s">
        <v>664</v>
      </c>
      <c r="H16" s="176" t="s">
        <v>631</v>
      </c>
      <c r="W16" s="164" t="s">
        <v>665</v>
      </c>
      <c r="X16" s="165">
        <v>4000</v>
      </c>
      <c r="Y16" s="166">
        <v>2</v>
      </c>
      <c r="Z16" s="165">
        <v>4000</v>
      </c>
      <c r="AA16" s="161">
        <v>2</v>
      </c>
      <c r="AB16" s="129"/>
      <c r="AC16" s="129"/>
      <c r="AD16" s="129"/>
      <c r="AE16" s="129"/>
      <c r="AF16" s="129"/>
      <c r="AG16" s="129"/>
      <c r="AR16" s="129"/>
    </row>
    <row r="17" spans="4:44" ht="24" x14ac:dyDescent="0.25">
      <c r="D17" s="176"/>
      <c r="E17" s="176" t="s">
        <v>668</v>
      </c>
      <c r="F17" s="174" t="s">
        <v>83</v>
      </c>
      <c r="G17" s="176" t="s">
        <v>669</v>
      </c>
      <c r="H17" s="176" t="s">
        <v>670</v>
      </c>
      <c r="P17" s="129"/>
      <c r="Q17" s="129"/>
      <c r="W17" s="164" t="s">
        <v>667</v>
      </c>
      <c r="X17" s="165">
        <v>11400</v>
      </c>
      <c r="Y17" s="166">
        <v>5</v>
      </c>
      <c r="Z17" s="165">
        <v>11400</v>
      </c>
      <c r="AA17" s="161">
        <v>5</v>
      </c>
      <c r="AB17" s="129"/>
      <c r="AC17" s="129"/>
      <c r="AD17" s="129"/>
      <c r="AE17" s="129"/>
      <c r="AF17" s="129"/>
      <c r="AG17" s="129"/>
      <c r="AR17" s="129"/>
    </row>
    <row r="18" spans="4:44" x14ac:dyDescent="0.25">
      <c r="D18" s="176"/>
      <c r="E18" s="176" t="s">
        <v>672</v>
      </c>
      <c r="F18" s="174" t="s">
        <v>83</v>
      </c>
      <c r="G18" s="176" t="s">
        <v>673</v>
      </c>
      <c r="H18" s="176" t="s">
        <v>86</v>
      </c>
      <c r="J18" s="129"/>
      <c r="K18" s="129"/>
      <c r="P18" s="129"/>
      <c r="Q18" s="129"/>
      <c r="W18" s="167" t="s">
        <v>671</v>
      </c>
      <c r="X18" s="168">
        <v>21733.38</v>
      </c>
      <c r="Y18" s="169">
        <v>11</v>
      </c>
      <c r="Z18" s="168">
        <v>21733.38</v>
      </c>
      <c r="AA18" s="152">
        <v>11</v>
      </c>
      <c r="AB18" s="129"/>
      <c r="AC18" s="129"/>
      <c r="AD18" s="129"/>
      <c r="AE18" s="129"/>
      <c r="AF18" s="129"/>
      <c r="AG18" s="129"/>
      <c r="AR18" s="129"/>
    </row>
    <row r="19" spans="4:44" x14ac:dyDescent="0.25">
      <c r="D19" s="176"/>
      <c r="E19" s="176" t="s">
        <v>674</v>
      </c>
      <c r="F19" s="174" t="s">
        <v>82</v>
      </c>
      <c r="G19" s="176" t="s">
        <v>675</v>
      </c>
      <c r="H19" s="176" t="s">
        <v>676</v>
      </c>
      <c r="J19" s="173" t="s">
        <v>638</v>
      </c>
      <c r="K19" s="173" t="s">
        <v>640</v>
      </c>
      <c r="L19" s="120"/>
      <c r="M19" s="120"/>
      <c r="P19" s="173" t="s">
        <v>638</v>
      </c>
      <c r="Q19" s="173" t="s">
        <v>639</v>
      </c>
      <c r="R19" s="120"/>
      <c r="S19" s="120"/>
      <c r="W19" s="129"/>
      <c r="X19" s="129"/>
      <c r="Y19" s="132"/>
      <c r="AN19" s="129"/>
      <c r="AO19" s="129"/>
      <c r="AP19" s="129"/>
      <c r="AQ19" s="129"/>
      <c r="AR19" s="129"/>
    </row>
    <row r="20" spans="4:44" x14ac:dyDescent="0.25">
      <c r="D20" s="176"/>
      <c r="E20" s="176" t="s">
        <v>761</v>
      </c>
      <c r="F20" s="174" t="s">
        <v>82</v>
      </c>
      <c r="G20" s="176" t="s">
        <v>678</v>
      </c>
      <c r="H20" s="176" t="s">
        <v>679</v>
      </c>
      <c r="J20" s="133"/>
      <c r="K20" s="133"/>
      <c r="L20" s="133"/>
      <c r="M20" s="133"/>
      <c r="P20" s="173" t="s">
        <v>677</v>
      </c>
      <c r="Q20" s="173" t="s">
        <v>614</v>
      </c>
      <c r="R20" s="120"/>
      <c r="S20" s="120"/>
      <c r="W20" s="129"/>
      <c r="X20" s="129"/>
      <c r="AB20" s="129"/>
      <c r="AC20" s="129"/>
      <c r="AD20" s="128"/>
      <c r="AN20" s="129"/>
      <c r="AO20" s="129"/>
      <c r="AP20" s="129"/>
      <c r="AQ20" s="129"/>
      <c r="AR20" s="129"/>
    </row>
    <row r="21" spans="4:44" x14ac:dyDescent="0.25">
      <c r="D21" s="176"/>
      <c r="E21" s="176" t="s">
        <v>680</v>
      </c>
      <c r="F21" s="174" t="s">
        <v>82</v>
      </c>
      <c r="G21" s="176" t="s">
        <v>681</v>
      </c>
      <c r="H21" s="176" t="s">
        <v>682</v>
      </c>
      <c r="J21" s="173"/>
      <c r="K21" s="173"/>
      <c r="L21" s="173" t="s">
        <v>588</v>
      </c>
      <c r="M21" s="173"/>
      <c r="N21" s="129"/>
      <c r="P21" s="134"/>
      <c r="Q21" s="134"/>
      <c r="R21" s="134"/>
      <c r="S21" s="134"/>
      <c r="W21" s="152" t="s">
        <v>638</v>
      </c>
      <c r="X21" s="152" t="s">
        <v>639</v>
      </c>
      <c r="Z21" s="115"/>
      <c r="AN21" s="129"/>
      <c r="AO21" s="129"/>
      <c r="AP21" s="129"/>
      <c r="AQ21" s="129"/>
      <c r="AR21" s="129"/>
    </row>
    <row r="22" spans="4:44" ht="24" x14ac:dyDescent="0.25">
      <c r="D22" s="176"/>
      <c r="E22" s="176" t="s">
        <v>687</v>
      </c>
      <c r="F22" s="174" t="s">
        <v>82</v>
      </c>
      <c r="G22" s="176" t="s">
        <v>688</v>
      </c>
      <c r="H22" s="176" t="s">
        <v>689</v>
      </c>
      <c r="J22" s="173" t="s">
        <v>683</v>
      </c>
      <c r="K22" s="173" t="s">
        <v>684</v>
      </c>
      <c r="L22" s="174" t="s">
        <v>685</v>
      </c>
      <c r="M22" s="174" t="s">
        <v>686</v>
      </c>
      <c r="N22" s="129"/>
      <c r="O22" s="127"/>
      <c r="P22" s="173"/>
      <c r="Q22" s="173"/>
      <c r="R22" s="173" t="s">
        <v>588</v>
      </c>
      <c r="S22" s="173"/>
      <c r="T22" s="129"/>
      <c r="U22" s="127"/>
      <c r="W22" s="152" t="s">
        <v>641</v>
      </c>
      <c r="X22" s="152" t="s">
        <v>642</v>
      </c>
      <c r="Z22" s="115"/>
      <c r="AN22" s="129"/>
      <c r="AO22" s="129"/>
      <c r="AP22" s="129"/>
      <c r="AQ22" s="129"/>
      <c r="AR22" s="129"/>
    </row>
    <row r="23" spans="4:44" ht="36" x14ac:dyDescent="0.25">
      <c r="D23" s="176"/>
      <c r="E23" s="176" t="s">
        <v>632</v>
      </c>
      <c r="F23" s="174" t="s">
        <v>82</v>
      </c>
      <c r="G23" s="176" t="s">
        <v>633</v>
      </c>
      <c r="H23" s="176" t="s">
        <v>735</v>
      </c>
      <c r="J23" s="173" t="s">
        <v>690</v>
      </c>
      <c r="K23" s="173" t="s">
        <v>707</v>
      </c>
      <c r="L23" s="174">
        <v>4</v>
      </c>
      <c r="M23" s="175">
        <v>6070.92</v>
      </c>
      <c r="N23" s="129"/>
      <c r="O23" s="135"/>
      <c r="P23" s="173" t="s">
        <v>692</v>
      </c>
      <c r="Q23" s="173" t="s">
        <v>684</v>
      </c>
      <c r="R23" s="173" t="s">
        <v>685</v>
      </c>
      <c r="S23" s="174" t="s">
        <v>686</v>
      </c>
      <c r="T23" s="129"/>
      <c r="U23" s="135"/>
      <c r="W23" s="115"/>
      <c r="X23" s="115"/>
      <c r="Y23" s="123"/>
      <c r="Z23" s="115"/>
      <c r="AB23" s="130" t="s">
        <v>686</v>
      </c>
      <c r="AN23" s="129"/>
      <c r="AO23" s="129"/>
      <c r="AP23" s="129"/>
      <c r="AQ23" s="129"/>
      <c r="AR23" s="129"/>
    </row>
    <row r="24" spans="4:44" ht="24" x14ac:dyDescent="0.25">
      <c r="D24" s="176"/>
      <c r="E24" s="176" t="s">
        <v>762</v>
      </c>
      <c r="F24" s="174" t="s">
        <v>83</v>
      </c>
      <c r="G24" s="176" t="s">
        <v>666</v>
      </c>
      <c r="H24" s="176" t="s">
        <v>763</v>
      </c>
      <c r="J24" s="173"/>
      <c r="K24" s="173" t="s">
        <v>695</v>
      </c>
      <c r="L24" s="174"/>
      <c r="M24" s="175">
        <v>262.45999999999998</v>
      </c>
      <c r="N24" s="129"/>
      <c r="O24" s="135"/>
      <c r="P24" s="173" t="s">
        <v>696</v>
      </c>
      <c r="Q24" s="173" t="s">
        <v>697</v>
      </c>
      <c r="R24" s="174">
        <v>11</v>
      </c>
      <c r="S24" s="175">
        <v>2436042.9599999995</v>
      </c>
      <c r="U24" s="135"/>
      <c r="W24" s="153"/>
      <c r="X24" s="153" t="s">
        <v>645</v>
      </c>
      <c r="Y24" s="154"/>
      <c r="Z24" s="154"/>
      <c r="AA24" s="155"/>
      <c r="AB24" s="154"/>
      <c r="AC24" s="156"/>
      <c r="AD24" s="129"/>
      <c r="AE24" s="129"/>
      <c r="AF24" s="129"/>
      <c r="AG24" s="129"/>
      <c r="AH24" s="129"/>
      <c r="AI24" s="129"/>
      <c r="AN24" s="129"/>
      <c r="AO24" s="129"/>
      <c r="AP24" s="129"/>
      <c r="AQ24" s="129"/>
      <c r="AR24" s="129"/>
    </row>
    <row r="25" spans="4:44" ht="24" x14ac:dyDescent="0.25">
      <c r="D25" s="176"/>
      <c r="E25" s="176" t="s">
        <v>764</v>
      </c>
      <c r="F25" s="174" t="s">
        <v>82</v>
      </c>
      <c r="G25" s="176" t="s">
        <v>693</v>
      </c>
      <c r="H25" s="176" t="s">
        <v>694</v>
      </c>
      <c r="J25" s="173" t="s">
        <v>700</v>
      </c>
      <c r="K25" s="173" t="s">
        <v>707</v>
      </c>
      <c r="L25" s="174">
        <v>2</v>
      </c>
      <c r="M25" s="175">
        <v>4000</v>
      </c>
      <c r="N25" s="129"/>
      <c r="O25" s="135"/>
      <c r="P25" s="173"/>
      <c r="Q25" s="173" t="s">
        <v>701</v>
      </c>
      <c r="R25" s="174">
        <v>11</v>
      </c>
      <c r="S25" s="175">
        <v>4620000</v>
      </c>
      <c r="T25" s="136"/>
      <c r="U25" s="135"/>
      <c r="W25" s="157"/>
      <c r="X25" s="153" t="s">
        <v>650</v>
      </c>
      <c r="Y25" s="154"/>
      <c r="Z25" s="153" t="s">
        <v>702</v>
      </c>
      <c r="AA25" s="154"/>
      <c r="AB25" s="153" t="s">
        <v>651</v>
      </c>
      <c r="AC25" s="158" t="s">
        <v>652</v>
      </c>
      <c r="AD25" s="129"/>
      <c r="AE25" s="129"/>
      <c r="AF25" s="129"/>
      <c r="AG25" s="129"/>
      <c r="AH25" s="129"/>
      <c r="AI25" s="129"/>
      <c r="AN25" s="129"/>
      <c r="AO25" s="129"/>
      <c r="AP25" s="129"/>
      <c r="AQ25" s="129"/>
      <c r="AR25" s="129"/>
    </row>
    <row r="26" spans="4:44" ht="24" x14ac:dyDescent="0.25">
      <c r="D26" s="176"/>
      <c r="E26" s="176" t="s">
        <v>765</v>
      </c>
      <c r="F26" s="174" t="s">
        <v>83</v>
      </c>
      <c r="G26" s="176" t="s">
        <v>766</v>
      </c>
      <c r="H26" s="176" t="s">
        <v>631</v>
      </c>
      <c r="J26" s="173" t="s">
        <v>759</v>
      </c>
      <c r="K26" s="173" t="s">
        <v>691</v>
      </c>
      <c r="L26" s="174">
        <v>4</v>
      </c>
      <c r="M26" s="175">
        <v>445500</v>
      </c>
      <c r="N26" s="129"/>
      <c r="O26" s="135"/>
      <c r="P26" s="173"/>
      <c r="Q26" s="173" t="s">
        <v>708</v>
      </c>
      <c r="R26" s="174">
        <v>8</v>
      </c>
      <c r="S26" s="175">
        <v>1933743.23</v>
      </c>
      <c r="T26" s="129"/>
      <c r="U26" s="135"/>
      <c r="W26" s="153" t="s">
        <v>617</v>
      </c>
      <c r="X26" s="159" t="s">
        <v>657</v>
      </c>
      <c r="Y26" s="160" t="s">
        <v>658</v>
      </c>
      <c r="Z26" s="159" t="s">
        <v>657</v>
      </c>
      <c r="AA26" s="160" t="s">
        <v>658</v>
      </c>
      <c r="AB26" s="157"/>
      <c r="AC26" s="161"/>
      <c r="AD26" s="129"/>
      <c r="AE26" s="129"/>
      <c r="AF26" s="129"/>
      <c r="AG26" s="129"/>
      <c r="AH26" s="129"/>
      <c r="AI26" s="129"/>
      <c r="AN26" s="129"/>
      <c r="AO26" s="129"/>
      <c r="AP26" s="129"/>
      <c r="AQ26" s="129"/>
      <c r="AR26" s="129"/>
    </row>
    <row r="27" spans="4:44" ht="24" x14ac:dyDescent="0.25">
      <c r="D27" s="176"/>
      <c r="E27" s="176" t="s">
        <v>767</v>
      </c>
      <c r="F27" s="174" t="s">
        <v>82</v>
      </c>
      <c r="G27" s="176" t="s">
        <v>698</v>
      </c>
      <c r="H27" s="176" t="s">
        <v>699</v>
      </c>
      <c r="J27" s="173"/>
      <c r="K27" s="173" t="s">
        <v>707</v>
      </c>
      <c r="L27" s="174">
        <v>2</v>
      </c>
      <c r="M27" s="175">
        <v>25850</v>
      </c>
      <c r="N27" s="129"/>
      <c r="P27" s="173"/>
      <c r="Q27" s="173" t="s">
        <v>714</v>
      </c>
      <c r="R27" s="174">
        <v>7</v>
      </c>
      <c r="S27" s="175">
        <v>182000.88</v>
      </c>
      <c r="T27" s="129"/>
      <c r="U27" s="135"/>
      <c r="W27" s="162" t="s">
        <v>585</v>
      </c>
      <c r="X27" s="163">
        <v>9951257.4199999999</v>
      </c>
      <c r="Y27" s="155">
        <v>50</v>
      </c>
      <c r="Z27" s="163">
        <v>630000</v>
      </c>
      <c r="AA27" s="155">
        <v>14</v>
      </c>
      <c r="AB27" s="163">
        <v>10581257.42</v>
      </c>
      <c r="AC27" s="158">
        <v>64</v>
      </c>
      <c r="AD27" s="129"/>
      <c r="AE27" s="129"/>
      <c r="AF27" s="129"/>
      <c r="AG27" s="129"/>
      <c r="AH27" s="129"/>
      <c r="AI27" s="129"/>
      <c r="AN27" s="129"/>
      <c r="AO27" s="129"/>
      <c r="AP27" s="129"/>
      <c r="AQ27" s="129"/>
      <c r="AR27" s="129"/>
    </row>
    <row r="28" spans="4:44" ht="24" x14ac:dyDescent="0.25">
      <c r="D28" s="176" t="s">
        <v>703</v>
      </c>
      <c r="E28" s="176" t="s">
        <v>704</v>
      </c>
      <c r="F28" s="174" t="s">
        <v>88</v>
      </c>
      <c r="G28" s="176" t="s">
        <v>705</v>
      </c>
      <c r="H28" s="176" t="s">
        <v>706</v>
      </c>
      <c r="J28" s="173" t="s">
        <v>711</v>
      </c>
      <c r="K28" s="173" t="s">
        <v>707</v>
      </c>
      <c r="L28" s="174">
        <v>5</v>
      </c>
      <c r="M28" s="175">
        <v>11400</v>
      </c>
      <c r="N28" s="129"/>
      <c r="P28" s="173"/>
      <c r="Q28" s="173" t="s">
        <v>695</v>
      </c>
      <c r="R28" s="174"/>
      <c r="S28" s="175">
        <v>527145.35</v>
      </c>
      <c r="T28" s="129"/>
      <c r="U28" s="135"/>
      <c r="W28" s="164" t="s">
        <v>715</v>
      </c>
      <c r="X28" s="165">
        <v>9698932.4199999999</v>
      </c>
      <c r="Y28" s="166">
        <v>37</v>
      </c>
      <c r="Z28" s="165"/>
      <c r="AA28" s="166"/>
      <c r="AB28" s="165">
        <v>9698932.4199999999</v>
      </c>
      <c r="AC28" s="161">
        <v>37</v>
      </c>
      <c r="AD28" s="129"/>
      <c r="AE28" s="129"/>
      <c r="AF28" s="129"/>
      <c r="AG28" s="129"/>
      <c r="AH28" s="129"/>
      <c r="AI28" s="129"/>
      <c r="AN28" s="129"/>
      <c r="AO28" s="129"/>
      <c r="AP28" s="129"/>
      <c r="AQ28" s="129"/>
      <c r="AR28" s="129"/>
    </row>
    <row r="29" spans="4:44" ht="36" x14ac:dyDescent="0.25">
      <c r="D29" s="176"/>
      <c r="E29" s="176" t="s">
        <v>709</v>
      </c>
      <c r="F29" s="174" t="s">
        <v>83</v>
      </c>
      <c r="G29" s="176" t="s">
        <v>710</v>
      </c>
      <c r="H29" s="176" t="s">
        <v>682</v>
      </c>
      <c r="J29" s="173" t="s">
        <v>760</v>
      </c>
      <c r="K29" s="173" t="s">
        <v>691</v>
      </c>
      <c r="L29" s="174">
        <v>2</v>
      </c>
      <c r="M29" s="175">
        <v>190000</v>
      </c>
      <c r="N29" s="129"/>
      <c r="P29" s="173" t="s">
        <v>543</v>
      </c>
      <c r="Q29" s="173"/>
      <c r="R29" s="174">
        <v>37</v>
      </c>
      <c r="S29" s="175">
        <v>9698932.4199999999</v>
      </c>
      <c r="T29" s="129"/>
      <c r="U29" s="135"/>
      <c r="W29" s="164" t="s">
        <v>718</v>
      </c>
      <c r="X29" s="165">
        <v>252325</v>
      </c>
      <c r="Y29" s="166">
        <v>13</v>
      </c>
      <c r="Z29" s="165">
        <v>630000</v>
      </c>
      <c r="AA29" s="166">
        <v>14</v>
      </c>
      <c r="AB29" s="165">
        <v>882325</v>
      </c>
      <c r="AC29" s="161">
        <v>27</v>
      </c>
      <c r="AD29" s="129"/>
      <c r="AE29" s="129"/>
      <c r="AF29" s="129"/>
      <c r="AG29" s="129"/>
      <c r="AH29" s="129"/>
      <c r="AI29" s="129"/>
      <c r="AN29" s="129"/>
      <c r="AO29" s="129"/>
      <c r="AP29" s="129"/>
      <c r="AQ29" s="129"/>
      <c r="AR29" s="129"/>
    </row>
    <row r="30" spans="4:44" ht="24" x14ac:dyDescent="0.25">
      <c r="D30" s="176"/>
      <c r="E30" s="176" t="s">
        <v>712</v>
      </c>
      <c r="F30" s="174" t="s">
        <v>82</v>
      </c>
      <c r="G30" s="176" t="s">
        <v>713</v>
      </c>
      <c r="H30" s="176" t="s">
        <v>661</v>
      </c>
      <c r="J30" s="173"/>
      <c r="K30" s="173" t="s">
        <v>707</v>
      </c>
      <c r="L30" s="174">
        <v>13</v>
      </c>
      <c r="M30" s="175">
        <v>174600</v>
      </c>
      <c r="N30" s="129"/>
      <c r="P30" s="173" t="s">
        <v>725</v>
      </c>
      <c r="Q30" s="173" t="s">
        <v>738</v>
      </c>
      <c r="R30" s="174">
        <v>14</v>
      </c>
      <c r="S30" s="175">
        <v>630000</v>
      </c>
      <c r="T30" s="129"/>
      <c r="U30" s="135"/>
      <c r="W30" s="162" t="s">
        <v>83</v>
      </c>
      <c r="X30" s="163">
        <v>581450</v>
      </c>
      <c r="Y30" s="155">
        <v>31</v>
      </c>
      <c r="Z30" s="163">
        <v>800000</v>
      </c>
      <c r="AA30" s="155">
        <v>10</v>
      </c>
      <c r="AB30" s="163">
        <v>1381450</v>
      </c>
      <c r="AC30" s="158">
        <v>41</v>
      </c>
      <c r="AD30" s="129"/>
      <c r="AE30" s="129"/>
      <c r="AF30" s="129"/>
      <c r="AG30" s="129"/>
      <c r="AH30" s="129"/>
      <c r="AI30" s="129"/>
      <c r="AN30" s="129"/>
      <c r="AO30" s="129"/>
      <c r="AP30" s="129"/>
      <c r="AQ30" s="129"/>
      <c r="AR30" s="129"/>
    </row>
    <row r="31" spans="4:44" x14ac:dyDescent="0.25">
      <c r="D31" s="176"/>
      <c r="E31" s="176" t="s">
        <v>719</v>
      </c>
      <c r="F31" s="174" t="s">
        <v>82</v>
      </c>
      <c r="G31" s="176" t="s">
        <v>720</v>
      </c>
      <c r="H31" s="176" t="s">
        <v>721</v>
      </c>
      <c r="J31" s="173" t="s">
        <v>12</v>
      </c>
      <c r="K31" s="173"/>
      <c r="L31" s="174">
        <v>32</v>
      </c>
      <c r="M31" s="175">
        <v>857683.38</v>
      </c>
      <c r="N31" s="129"/>
      <c r="P31" s="173"/>
      <c r="Q31" s="173" t="s">
        <v>701</v>
      </c>
      <c r="R31" s="174">
        <v>1</v>
      </c>
      <c r="S31" s="175">
        <v>39600</v>
      </c>
      <c r="T31" s="129"/>
      <c r="U31" s="135"/>
      <c r="W31" s="162" t="s">
        <v>88</v>
      </c>
      <c r="X31" s="163">
        <v>1016422.66</v>
      </c>
      <c r="Y31" s="155">
        <v>18</v>
      </c>
      <c r="Z31" s="163">
        <v>1000000</v>
      </c>
      <c r="AA31" s="155">
        <v>1</v>
      </c>
      <c r="AB31" s="163">
        <v>2016422.6600000001</v>
      </c>
      <c r="AC31" s="158">
        <v>19</v>
      </c>
      <c r="AD31" s="129"/>
      <c r="AE31" s="129"/>
      <c r="AF31" s="129"/>
      <c r="AG31" s="129"/>
      <c r="AH31" s="129"/>
      <c r="AI31" s="129"/>
      <c r="AN31" s="129"/>
      <c r="AO31" s="129"/>
      <c r="AP31" s="129"/>
      <c r="AQ31" s="129"/>
      <c r="AR31" s="129"/>
    </row>
    <row r="32" spans="4:44" ht="24" x14ac:dyDescent="0.25">
      <c r="D32" s="176"/>
      <c r="E32" s="176" t="s">
        <v>722</v>
      </c>
      <c r="F32" s="174" t="s">
        <v>88</v>
      </c>
      <c r="G32" s="176" t="s">
        <v>723</v>
      </c>
      <c r="H32" s="176" t="s">
        <v>724</v>
      </c>
      <c r="J32" s="129"/>
      <c r="K32" s="129"/>
      <c r="L32" s="129"/>
      <c r="M32" s="129"/>
      <c r="P32" s="173"/>
      <c r="Q32" s="173" t="s">
        <v>708</v>
      </c>
      <c r="R32" s="174">
        <v>5</v>
      </c>
      <c r="S32" s="175">
        <v>61550</v>
      </c>
      <c r="T32" s="129"/>
      <c r="U32" s="135"/>
      <c r="W32" s="162" t="s">
        <v>727</v>
      </c>
      <c r="X32" s="163">
        <v>154625</v>
      </c>
      <c r="Y32" s="155">
        <v>1</v>
      </c>
      <c r="Z32" s="163">
        <v>2434000</v>
      </c>
      <c r="AA32" s="155">
        <v>84</v>
      </c>
      <c r="AB32" s="163">
        <v>2588625</v>
      </c>
      <c r="AC32" s="158">
        <v>85</v>
      </c>
      <c r="AD32" s="129"/>
      <c r="AE32" s="129"/>
      <c r="AF32" s="129"/>
      <c r="AG32" s="129"/>
      <c r="AH32" s="129"/>
      <c r="AI32" s="129"/>
      <c r="AN32" s="129"/>
      <c r="AO32" s="129"/>
      <c r="AP32" s="129"/>
      <c r="AQ32" s="129"/>
      <c r="AR32" s="129"/>
    </row>
    <row r="33" spans="4:44" ht="24" x14ac:dyDescent="0.25">
      <c r="D33" s="176"/>
      <c r="E33" s="176" t="s">
        <v>726</v>
      </c>
      <c r="F33" s="174" t="s">
        <v>82</v>
      </c>
      <c r="G33" s="176" t="s">
        <v>630</v>
      </c>
      <c r="H33" s="176" t="s">
        <v>682</v>
      </c>
      <c r="J33" s="129"/>
      <c r="K33" s="129"/>
      <c r="L33" s="129"/>
      <c r="M33" s="129"/>
      <c r="P33" s="173"/>
      <c r="Q33" s="173" t="s">
        <v>714</v>
      </c>
      <c r="R33" s="174">
        <v>7</v>
      </c>
      <c r="S33" s="175">
        <v>103250</v>
      </c>
      <c r="T33" s="129"/>
      <c r="U33" s="135"/>
      <c r="W33" s="164" t="s">
        <v>727</v>
      </c>
      <c r="X33" s="165">
        <v>154625</v>
      </c>
      <c r="Y33" s="166">
        <v>1</v>
      </c>
      <c r="Z33" s="165">
        <v>2434000</v>
      </c>
      <c r="AA33" s="166">
        <v>84</v>
      </c>
      <c r="AB33" s="165">
        <v>2588625</v>
      </c>
      <c r="AC33" s="161">
        <v>85</v>
      </c>
      <c r="AD33" s="129"/>
      <c r="AE33" s="129"/>
      <c r="AN33" s="129"/>
      <c r="AO33" s="129"/>
      <c r="AP33" s="129"/>
      <c r="AQ33" s="129"/>
      <c r="AR33" s="129"/>
    </row>
    <row r="34" spans="4:44" x14ac:dyDescent="0.25">
      <c r="D34" s="176"/>
      <c r="E34" s="176" t="s">
        <v>728</v>
      </c>
      <c r="F34" s="174" t="s">
        <v>82</v>
      </c>
      <c r="G34" s="176" t="s">
        <v>729</v>
      </c>
      <c r="H34" s="176" t="s">
        <v>661</v>
      </c>
      <c r="J34" s="128" t="s">
        <v>731</v>
      </c>
      <c r="P34" s="173"/>
      <c r="Q34" s="173" t="s">
        <v>695</v>
      </c>
      <c r="R34" s="174"/>
      <c r="S34" s="175">
        <v>47925</v>
      </c>
      <c r="T34" s="129"/>
      <c r="U34" s="135"/>
      <c r="W34" s="167" t="s">
        <v>671</v>
      </c>
      <c r="X34" s="168">
        <v>11703755.08</v>
      </c>
      <c r="Y34" s="169">
        <v>100</v>
      </c>
      <c r="Z34" s="168">
        <v>4864000</v>
      </c>
      <c r="AA34" s="169">
        <v>109</v>
      </c>
      <c r="AB34" s="168">
        <v>16567755.08</v>
      </c>
      <c r="AC34" s="152">
        <v>209</v>
      </c>
      <c r="AD34" s="129"/>
      <c r="AE34" s="129"/>
      <c r="AN34" s="129"/>
      <c r="AO34" s="129"/>
      <c r="AP34" s="129"/>
      <c r="AQ34" s="129"/>
      <c r="AR34" s="129"/>
    </row>
    <row r="35" spans="4:44" ht="24" x14ac:dyDescent="0.25">
      <c r="D35" s="176"/>
      <c r="E35" s="176" t="s">
        <v>732</v>
      </c>
      <c r="F35" s="174" t="s">
        <v>88</v>
      </c>
      <c r="G35" s="176" t="s">
        <v>733</v>
      </c>
      <c r="H35" s="176" t="s">
        <v>734</v>
      </c>
      <c r="P35" s="173" t="s">
        <v>544</v>
      </c>
      <c r="Q35" s="173"/>
      <c r="R35" s="174">
        <v>27</v>
      </c>
      <c r="S35" s="175">
        <v>882325</v>
      </c>
      <c r="T35" s="129"/>
      <c r="U35" s="135"/>
      <c r="W35" s="129"/>
      <c r="X35" s="129"/>
      <c r="Y35" s="129"/>
      <c r="Z35" s="129"/>
      <c r="AA35" s="129"/>
      <c r="AB35" s="129"/>
      <c r="AC35" s="129"/>
      <c r="AD35" s="129"/>
      <c r="AN35" s="129"/>
      <c r="AO35" s="129"/>
      <c r="AP35" s="129"/>
      <c r="AQ35" s="129"/>
      <c r="AR35" s="129"/>
    </row>
    <row r="36" spans="4:44" ht="24" x14ac:dyDescent="0.25">
      <c r="D36" s="176"/>
      <c r="E36" s="176" t="s">
        <v>768</v>
      </c>
      <c r="F36" s="174" t="s">
        <v>82</v>
      </c>
      <c r="G36" s="176" t="s">
        <v>730</v>
      </c>
      <c r="H36" s="176" t="s">
        <v>717</v>
      </c>
      <c r="P36" s="173" t="s">
        <v>737</v>
      </c>
      <c r="Q36" s="173" t="s">
        <v>738</v>
      </c>
      <c r="R36" s="174">
        <v>10</v>
      </c>
      <c r="S36" s="175">
        <v>800000</v>
      </c>
      <c r="T36" s="129"/>
      <c r="U36" s="135"/>
      <c r="W36" s="129"/>
      <c r="X36" s="129"/>
      <c r="Y36" s="129"/>
      <c r="Z36" s="129"/>
      <c r="AA36" s="129"/>
      <c r="AB36" s="129"/>
      <c r="AC36" s="129"/>
      <c r="AD36" s="129"/>
      <c r="AN36" s="129"/>
      <c r="AO36" s="129"/>
      <c r="AP36" s="129"/>
      <c r="AQ36" s="129"/>
      <c r="AR36" s="129"/>
    </row>
    <row r="37" spans="4:44" ht="60" x14ac:dyDescent="0.25">
      <c r="D37" s="176"/>
      <c r="E37" s="176" t="s">
        <v>769</v>
      </c>
      <c r="F37" s="174" t="s">
        <v>82</v>
      </c>
      <c r="G37" s="176" t="s">
        <v>716</v>
      </c>
      <c r="H37" s="176" t="s">
        <v>717</v>
      </c>
      <c r="P37" s="173"/>
      <c r="Q37" s="173" t="s">
        <v>697</v>
      </c>
      <c r="R37" s="174">
        <v>9</v>
      </c>
      <c r="S37" s="175">
        <v>134000</v>
      </c>
      <c r="T37" s="129"/>
      <c r="U37" s="135"/>
      <c r="W37" s="152" t="s">
        <v>641</v>
      </c>
      <c r="X37" s="152" t="s">
        <v>642</v>
      </c>
      <c r="Y37" s="129"/>
      <c r="AB37" s="129"/>
      <c r="AC37" s="129"/>
      <c r="AD37" s="129"/>
      <c r="AN37" s="129"/>
      <c r="AO37" s="129"/>
      <c r="AP37" s="129"/>
      <c r="AQ37" s="129"/>
      <c r="AR37" s="129"/>
    </row>
    <row r="38" spans="4:44" ht="24" x14ac:dyDescent="0.25">
      <c r="D38" s="176"/>
      <c r="E38" s="176" t="s">
        <v>770</v>
      </c>
      <c r="F38" s="174" t="s">
        <v>82</v>
      </c>
      <c r="G38" s="176" t="s">
        <v>736</v>
      </c>
      <c r="H38" s="176" t="s">
        <v>689</v>
      </c>
      <c r="P38" s="173"/>
      <c r="Q38" s="173" t="s">
        <v>701</v>
      </c>
      <c r="R38" s="174">
        <v>4</v>
      </c>
      <c r="S38" s="175">
        <v>83200</v>
      </c>
      <c r="T38" s="129"/>
      <c r="U38" s="135"/>
      <c r="W38" s="152" t="s">
        <v>677</v>
      </c>
      <c r="X38" s="152" t="s">
        <v>642</v>
      </c>
      <c r="Y38" s="129"/>
      <c r="AB38" s="129"/>
      <c r="AC38" s="129"/>
      <c r="AD38" s="129"/>
      <c r="AN38" s="129"/>
      <c r="AO38" s="129"/>
      <c r="AP38" s="129"/>
      <c r="AQ38" s="129"/>
      <c r="AR38" s="129"/>
    </row>
    <row r="39" spans="4:44" x14ac:dyDescent="0.25">
      <c r="D39" s="129"/>
      <c r="E39" s="129"/>
      <c r="F39" s="129"/>
      <c r="G39" s="129"/>
      <c r="H39" s="129"/>
      <c r="P39" s="173"/>
      <c r="Q39" s="173" t="s">
        <v>708</v>
      </c>
      <c r="R39" s="174">
        <v>7</v>
      </c>
      <c r="S39" s="175">
        <v>131200</v>
      </c>
      <c r="T39" s="129"/>
      <c r="U39" s="135"/>
      <c r="W39" s="115"/>
      <c r="X39" s="115"/>
      <c r="Y39" s="129"/>
      <c r="AB39" s="129"/>
      <c r="AC39" s="129"/>
      <c r="AD39" s="129"/>
      <c r="AN39" s="129"/>
      <c r="AO39" s="129"/>
      <c r="AP39" s="129"/>
      <c r="AQ39" s="129"/>
      <c r="AR39" s="129"/>
    </row>
    <row r="40" spans="4:44" ht="24" x14ac:dyDescent="0.25">
      <c r="D40" s="129"/>
      <c r="E40" s="129"/>
      <c r="F40" s="129"/>
      <c r="G40" s="129"/>
      <c r="H40" s="129"/>
      <c r="P40" s="173"/>
      <c r="Q40" s="173" t="s">
        <v>714</v>
      </c>
      <c r="R40" s="174">
        <v>11</v>
      </c>
      <c r="S40" s="175">
        <v>123650</v>
      </c>
      <c r="T40" s="129"/>
      <c r="U40" s="135"/>
      <c r="W40" s="153" t="s">
        <v>617</v>
      </c>
      <c r="X40" s="158" t="s">
        <v>686</v>
      </c>
      <c r="Y40" s="129"/>
      <c r="AB40" s="129"/>
      <c r="AC40" s="129"/>
      <c r="AD40" s="129"/>
      <c r="AN40" s="129"/>
      <c r="AO40" s="129"/>
      <c r="AP40" s="129"/>
      <c r="AQ40" s="129"/>
      <c r="AR40" s="129"/>
    </row>
    <row r="41" spans="4:44" x14ac:dyDescent="0.25">
      <c r="D41" s="129"/>
      <c r="E41" s="129"/>
      <c r="F41" s="129"/>
      <c r="G41" s="129"/>
      <c r="H41" s="129"/>
      <c r="P41" s="173"/>
      <c r="Q41" s="173" t="s">
        <v>695</v>
      </c>
      <c r="R41" s="174"/>
      <c r="S41" s="175">
        <v>109400</v>
      </c>
      <c r="T41" s="129"/>
      <c r="U41" s="135"/>
      <c r="W41" s="162" t="s">
        <v>588</v>
      </c>
      <c r="X41" s="170">
        <v>0.9986713475861938</v>
      </c>
      <c r="Y41" s="129"/>
      <c r="AB41" s="129"/>
      <c r="AC41" s="129"/>
      <c r="AD41" s="129"/>
      <c r="AN41" s="129"/>
      <c r="AO41" s="129"/>
      <c r="AP41" s="129"/>
      <c r="AQ41" s="129"/>
      <c r="AR41" s="129"/>
    </row>
    <row r="42" spans="4:44" ht="24" x14ac:dyDescent="0.25">
      <c r="D42" s="129"/>
      <c r="E42" s="129"/>
      <c r="F42" s="129"/>
      <c r="G42" s="129"/>
      <c r="H42" s="129"/>
      <c r="P42" s="173" t="s">
        <v>545</v>
      </c>
      <c r="Q42" s="173"/>
      <c r="R42" s="174">
        <v>41</v>
      </c>
      <c r="S42" s="175">
        <v>1381450</v>
      </c>
      <c r="T42" s="129"/>
      <c r="U42" s="135"/>
      <c r="W42" s="164" t="s">
        <v>82</v>
      </c>
      <c r="X42" s="171">
        <v>0.86585160306037723</v>
      </c>
      <c r="Y42" s="129"/>
      <c r="AB42" s="129"/>
      <c r="AC42" s="129"/>
      <c r="AD42" s="129"/>
      <c r="AN42" s="129"/>
      <c r="AO42" s="129"/>
      <c r="AP42" s="129"/>
      <c r="AQ42" s="129"/>
      <c r="AR42" s="129"/>
    </row>
    <row r="43" spans="4:44" ht="24" x14ac:dyDescent="0.25">
      <c r="D43" s="129"/>
      <c r="E43" s="129"/>
      <c r="F43" s="129"/>
      <c r="G43" s="129"/>
      <c r="H43" s="129"/>
      <c r="P43" s="173" t="s">
        <v>740</v>
      </c>
      <c r="Q43" s="173" t="s">
        <v>738</v>
      </c>
      <c r="R43" s="174">
        <v>1</v>
      </c>
      <c r="S43" s="175">
        <v>1000000</v>
      </c>
      <c r="T43" s="129"/>
      <c r="U43" s="135"/>
      <c r="W43" s="164" t="s">
        <v>739</v>
      </c>
      <c r="X43" s="171">
        <v>0.78975821262747592</v>
      </c>
      <c r="Y43" s="129"/>
      <c r="AB43" s="129"/>
      <c r="AC43" s="129"/>
      <c r="AD43" s="129"/>
      <c r="AN43" s="129"/>
      <c r="AO43" s="129"/>
      <c r="AP43" s="129"/>
      <c r="AQ43" s="129"/>
      <c r="AR43" s="129"/>
    </row>
    <row r="44" spans="4:44" x14ac:dyDescent="0.25">
      <c r="D44" s="129"/>
      <c r="E44" s="129"/>
      <c r="F44" s="129"/>
      <c r="G44" s="129"/>
      <c r="H44" s="129"/>
      <c r="P44" s="173"/>
      <c r="Q44" s="173" t="s">
        <v>697</v>
      </c>
      <c r="R44" s="174">
        <v>8</v>
      </c>
      <c r="S44" s="175">
        <v>627752.19999999995</v>
      </c>
      <c r="T44" s="129"/>
      <c r="U44" s="135"/>
      <c r="W44" s="164" t="s">
        <v>741</v>
      </c>
      <c r="X44" s="171">
        <v>7.6093390432901281E-2</v>
      </c>
      <c r="Y44" s="129"/>
      <c r="AB44" s="129"/>
      <c r="AC44" s="129"/>
      <c r="AD44" s="129"/>
      <c r="AN44" s="129"/>
      <c r="AO44" s="129"/>
      <c r="AP44" s="129"/>
      <c r="AQ44" s="129"/>
      <c r="AR44" s="129"/>
    </row>
    <row r="45" spans="4:44" x14ac:dyDescent="0.25">
      <c r="D45" s="129"/>
      <c r="E45" s="129"/>
      <c r="F45" s="129"/>
      <c r="G45" s="129"/>
      <c r="H45" s="129"/>
      <c r="P45" s="173"/>
      <c r="Q45" s="173" t="s">
        <v>560</v>
      </c>
      <c r="R45" s="174">
        <v>9</v>
      </c>
      <c r="S45" s="175">
        <v>358547.8</v>
      </c>
      <c r="T45" s="129"/>
      <c r="U45" s="135"/>
      <c r="W45" s="162" t="s">
        <v>83</v>
      </c>
      <c r="X45" s="170">
        <v>0.11035148505706215</v>
      </c>
      <c r="Y45" s="129"/>
      <c r="AB45" s="129"/>
      <c r="AC45" s="129"/>
      <c r="AD45" s="129"/>
      <c r="AN45" s="129"/>
      <c r="AO45" s="129"/>
      <c r="AP45" s="129"/>
      <c r="AQ45" s="129"/>
      <c r="AR45" s="129"/>
    </row>
    <row r="46" spans="4:44" x14ac:dyDescent="0.25">
      <c r="D46" s="129"/>
      <c r="E46" s="129"/>
      <c r="F46" s="129"/>
      <c r="G46" s="129"/>
      <c r="H46" s="129"/>
      <c r="J46" s="137"/>
      <c r="P46" s="173"/>
      <c r="Q46" s="173" t="s">
        <v>714</v>
      </c>
      <c r="R46" s="174">
        <v>1</v>
      </c>
      <c r="S46" s="175">
        <v>10000</v>
      </c>
      <c r="T46" s="129"/>
      <c r="U46" s="135"/>
      <c r="W46" s="162" t="s">
        <v>88</v>
      </c>
      <c r="X46" s="170">
        <v>2.2468259468754446E-2</v>
      </c>
      <c r="Y46" s="129"/>
      <c r="AB46" s="129"/>
      <c r="AC46" s="129"/>
      <c r="AD46" s="129"/>
      <c r="AN46" s="129"/>
      <c r="AO46" s="129"/>
      <c r="AP46" s="129"/>
      <c r="AQ46" s="129"/>
      <c r="AR46" s="129"/>
    </row>
    <row r="47" spans="4:44" x14ac:dyDescent="0.25">
      <c r="D47" s="129"/>
      <c r="E47" s="129"/>
      <c r="F47" s="129"/>
      <c r="G47" s="129"/>
      <c r="H47" s="129"/>
      <c r="P47" s="173"/>
      <c r="Q47" s="173" t="s">
        <v>695</v>
      </c>
      <c r="R47" s="174"/>
      <c r="S47" s="175">
        <v>20122.66</v>
      </c>
      <c r="T47" s="129"/>
      <c r="U47" s="135"/>
      <c r="W47" s="162" t="s">
        <v>640</v>
      </c>
      <c r="X47" s="170">
        <v>1.3286524138061508E-3</v>
      </c>
      <c r="Y47" s="129"/>
      <c r="AB47" s="129"/>
      <c r="AC47" s="129"/>
      <c r="AD47" s="129"/>
      <c r="AN47" s="129"/>
      <c r="AO47" s="129"/>
      <c r="AP47" s="129"/>
      <c r="AQ47" s="129"/>
      <c r="AR47" s="129"/>
    </row>
    <row r="48" spans="4:44" x14ac:dyDescent="0.25">
      <c r="D48" s="129"/>
      <c r="E48" s="129"/>
      <c r="F48" s="129"/>
      <c r="G48" s="129"/>
      <c r="H48" s="129"/>
      <c r="P48" s="173" t="s">
        <v>546</v>
      </c>
      <c r="Q48" s="173"/>
      <c r="R48" s="174">
        <v>19</v>
      </c>
      <c r="S48" s="175">
        <v>2016422.66</v>
      </c>
      <c r="W48" s="167" t="s">
        <v>671</v>
      </c>
      <c r="X48" s="172">
        <v>1</v>
      </c>
      <c r="Y48" s="129"/>
      <c r="AB48" s="129"/>
      <c r="AC48" s="129"/>
      <c r="AD48" s="129"/>
      <c r="AN48" s="129"/>
      <c r="AO48" s="129"/>
      <c r="AP48" s="129"/>
      <c r="AQ48" s="129"/>
      <c r="AR48" s="129"/>
    </row>
    <row r="49" spans="4:44" x14ac:dyDescent="0.25">
      <c r="D49" s="129"/>
      <c r="E49" s="129"/>
      <c r="F49" s="129"/>
      <c r="G49" s="129"/>
      <c r="H49" s="129"/>
      <c r="P49" s="173" t="s">
        <v>12</v>
      </c>
      <c r="Q49" s="173"/>
      <c r="R49" s="174">
        <v>124</v>
      </c>
      <c r="S49" s="175">
        <v>13979130.08</v>
      </c>
      <c r="W49"/>
      <c r="X49"/>
      <c r="Y49" s="129"/>
      <c r="AB49" s="129"/>
      <c r="AC49" s="129"/>
      <c r="AD49" s="129"/>
      <c r="AN49" s="129"/>
      <c r="AO49" s="129"/>
      <c r="AP49" s="129"/>
      <c r="AQ49" s="129"/>
      <c r="AR49" s="129"/>
    </row>
    <row r="50" spans="4:44" x14ac:dyDescent="0.25">
      <c r="D50" s="129"/>
      <c r="E50" s="129"/>
      <c r="F50" s="129"/>
      <c r="G50" s="129"/>
      <c r="H50" s="129"/>
      <c r="P50"/>
      <c r="Q50"/>
      <c r="R50"/>
      <c r="S50"/>
      <c r="W50"/>
      <c r="X50"/>
      <c r="Y50" s="129"/>
      <c r="AB50" s="129"/>
      <c r="AC50" s="129"/>
      <c r="AD50" s="129"/>
      <c r="AN50" s="129"/>
      <c r="AO50" s="129"/>
      <c r="AP50" s="129"/>
      <c r="AQ50" s="129"/>
      <c r="AR50" s="129"/>
    </row>
    <row r="51" spans="4:44" x14ac:dyDescent="0.25">
      <c r="D51" s="129"/>
      <c r="E51" s="129"/>
      <c r="F51" s="129"/>
      <c r="G51" s="129"/>
      <c r="H51" s="129"/>
      <c r="P51" s="129"/>
      <c r="Q51" s="129"/>
      <c r="R51" s="129"/>
      <c r="S51" s="129"/>
      <c r="W51" s="129"/>
      <c r="X51" s="129"/>
      <c r="Y51" s="129"/>
      <c r="AB51" s="129"/>
      <c r="AC51" s="129"/>
      <c r="AD51" s="129"/>
      <c r="AN51" s="129"/>
      <c r="AO51" s="129"/>
      <c r="AP51" s="129"/>
      <c r="AQ51" s="129"/>
      <c r="AR51" s="129"/>
    </row>
    <row r="52" spans="4:44" x14ac:dyDescent="0.25">
      <c r="D52" s="129"/>
      <c r="E52" s="129"/>
      <c r="F52" s="129"/>
      <c r="G52" s="129"/>
      <c r="H52" s="129"/>
      <c r="P52" s="129"/>
      <c r="Q52" s="129"/>
      <c r="R52" s="129"/>
      <c r="S52" s="129"/>
      <c r="W52" s="129"/>
      <c r="X52" s="129"/>
      <c r="Y52" s="129"/>
      <c r="AB52" s="129"/>
      <c r="AC52" s="129"/>
      <c r="AD52" s="129"/>
      <c r="AN52" s="129"/>
      <c r="AO52" s="129"/>
      <c r="AP52" s="129"/>
      <c r="AQ52" s="129"/>
      <c r="AR52" s="129"/>
    </row>
    <row r="53" spans="4:44" x14ac:dyDescent="0.25">
      <c r="D53" s="129"/>
      <c r="E53" s="129"/>
      <c r="F53" s="129"/>
      <c r="G53" s="129"/>
      <c r="P53" s="129"/>
      <c r="Q53" s="129"/>
      <c r="R53" s="129"/>
      <c r="S53" s="129"/>
      <c r="W53" s="129"/>
      <c r="X53" s="129"/>
      <c r="Y53" s="129"/>
      <c r="AN53" s="129"/>
      <c r="AO53" s="129"/>
      <c r="AP53" s="129"/>
      <c r="AQ53" s="129"/>
      <c r="AR53" s="129"/>
    </row>
    <row r="54" spans="4:44" x14ac:dyDescent="0.25">
      <c r="D54" s="129"/>
      <c r="E54" s="129"/>
      <c r="F54" s="129"/>
      <c r="G54" s="129"/>
      <c r="P54" s="129"/>
      <c r="Q54" s="129"/>
      <c r="R54" s="129"/>
      <c r="S54" s="129"/>
      <c r="W54" s="129"/>
      <c r="X54" s="129"/>
      <c r="Y54" s="129"/>
      <c r="AN54" s="129"/>
      <c r="AO54" s="129"/>
      <c r="AP54" s="129"/>
      <c r="AQ54" s="129"/>
      <c r="AR54" s="129"/>
    </row>
    <row r="55" spans="4:44" ht="30" customHeight="1" x14ac:dyDescent="0.25">
      <c r="D55" s="129"/>
      <c r="E55" s="129"/>
      <c r="F55" s="129"/>
      <c r="G55" s="129"/>
      <c r="P55" s="276" t="s">
        <v>742</v>
      </c>
      <c r="Q55" s="276"/>
      <c r="R55" s="129"/>
      <c r="S55" s="129"/>
      <c r="W55" s="129"/>
      <c r="X55" s="129"/>
      <c r="Y55" s="129"/>
      <c r="AN55" s="129"/>
      <c r="AO55" s="129"/>
      <c r="AP55" s="129"/>
      <c r="AQ55" s="129"/>
      <c r="AR55" s="129"/>
    </row>
    <row r="56" spans="4:44" x14ac:dyDescent="0.25">
      <c r="D56" s="129"/>
      <c r="E56" s="129"/>
      <c r="F56" s="129"/>
      <c r="G56" s="129"/>
      <c r="P56" s="129"/>
      <c r="Q56" s="129"/>
      <c r="R56" s="129"/>
      <c r="S56" s="129"/>
      <c r="W56" s="129"/>
      <c r="X56" s="129"/>
      <c r="Y56" s="129"/>
      <c r="AN56" s="129"/>
      <c r="AO56" s="129"/>
      <c r="AP56" s="129"/>
      <c r="AQ56" s="129"/>
      <c r="AR56" s="129"/>
    </row>
    <row r="57" spans="4:44" x14ac:dyDescent="0.25">
      <c r="D57" s="129"/>
      <c r="E57" s="129"/>
      <c r="F57" s="129"/>
      <c r="G57" s="129"/>
      <c r="P57" s="129"/>
      <c r="Q57" s="129"/>
      <c r="R57" s="129"/>
      <c r="S57" s="129"/>
      <c r="W57" s="129"/>
      <c r="X57" s="129"/>
      <c r="Y57" s="129"/>
      <c r="AN57" s="129"/>
      <c r="AO57" s="129"/>
      <c r="AP57" s="129"/>
      <c r="AQ57" s="129"/>
      <c r="AR57" s="129"/>
    </row>
    <row r="58" spans="4:44" x14ac:dyDescent="0.25">
      <c r="D58" s="129"/>
      <c r="E58" s="129"/>
      <c r="F58" s="129"/>
      <c r="G58" s="129"/>
      <c r="P58" s="129"/>
      <c r="Q58" s="129"/>
      <c r="R58" s="129"/>
      <c r="S58" s="129"/>
      <c r="W58" s="129"/>
      <c r="X58" s="129"/>
      <c r="Y58" s="129"/>
      <c r="AN58" s="129"/>
      <c r="AO58" s="129"/>
      <c r="AP58" s="129"/>
      <c r="AQ58" s="129"/>
      <c r="AR58" s="129"/>
    </row>
    <row r="59" spans="4:44" x14ac:dyDescent="0.25">
      <c r="D59" s="129"/>
      <c r="E59" s="129"/>
      <c r="F59" s="129"/>
      <c r="G59" s="129"/>
      <c r="P59" s="129"/>
      <c r="Q59" s="129"/>
      <c r="R59" s="129"/>
      <c r="S59" s="129"/>
      <c r="AN59" s="129"/>
      <c r="AO59" s="129"/>
      <c r="AP59" s="129"/>
      <c r="AQ59" s="129"/>
      <c r="AR59" s="129"/>
    </row>
    <row r="60" spans="4:44" x14ac:dyDescent="0.25">
      <c r="D60" s="129"/>
      <c r="E60" s="129"/>
      <c r="F60" s="129"/>
      <c r="G60" s="129"/>
      <c r="P60" s="129"/>
      <c r="Q60" s="129"/>
      <c r="R60" s="129"/>
      <c r="S60" s="129"/>
      <c r="AN60" s="129"/>
      <c r="AO60" s="129"/>
      <c r="AP60" s="129"/>
      <c r="AQ60" s="129"/>
      <c r="AR60" s="129"/>
    </row>
    <row r="61" spans="4:44" x14ac:dyDescent="0.25">
      <c r="D61" s="129"/>
      <c r="E61" s="129"/>
      <c r="F61" s="129"/>
      <c r="G61" s="129"/>
      <c r="P61" s="129"/>
      <c r="Q61" s="129"/>
      <c r="R61" s="129"/>
      <c r="S61" s="129"/>
      <c r="AN61" s="129"/>
      <c r="AO61" s="129"/>
      <c r="AP61" s="129"/>
      <c r="AQ61" s="129"/>
      <c r="AR61" s="129"/>
    </row>
    <row r="62" spans="4:44" x14ac:dyDescent="0.25">
      <c r="D62" s="129"/>
      <c r="E62" s="129"/>
      <c r="F62" s="129"/>
      <c r="G62" s="129"/>
      <c r="P62" s="129"/>
      <c r="Q62" s="129"/>
      <c r="R62" s="129"/>
      <c r="S62" s="129"/>
      <c r="AN62" s="129"/>
      <c r="AO62" s="129"/>
      <c r="AP62" s="129"/>
      <c r="AQ62" s="129"/>
      <c r="AR62" s="129"/>
    </row>
    <row r="63" spans="4:44" x14ac:dyDescent="0.25">
      <c r="D63" s="129"/>
      <c r="E63" s="129"/>
      <c r="F63" s="129"/>
      <c r="G63" s="129"/>
      <c r="P63" s="129"/>
      <c r="Q63" s="129"/>
      <c r="R63" s="129"/>
      <c r="S63" s="129"/>
      <c r="AN63" s="129"/>
      <c r="AO63" s="129"/>
      <c r="AP63" s="129"/>
      <c r="AQ63" s="129"/>
      <c r="AR63" s="129"/>
    </row>
    <row r="64" spans="4:44" x14ac:dyDescent="0.25">
      <c r="D64" s="129"/>
      <c r="E64" s="129"/>
      <c r="F64" s="129"/>
      <c r="G64" s="129"/>
      <c r="P64" s="129"/>
      <c r="Q64" s="129"/>
      <c r="R64" s="129"/>
      <c r="S64" s="129"/>
      <c r="AN64" s="129"/>
      <c r="AO64" s="129"/>
      <c r="AP64" s="129"/>
      <c r="AQ64" s="129"/>
      <c r="AR64" s="129"/>
    </row>
    <row r="65" spans="4:44" x14ac:dyDescent="0.25">
      <c r="D65" s="129"/>
      <c r="E65" s="129"/>
      <c r="F65" s="129"/>
      <c r="G65" s="129"/>
      <c r="AN65" s="129"/>
      <c r="AO65" s="129"/>
      <c r="AP65" s="129"/>
      <c r="AQ65" s="129"/>
      <c r="AR65" s="129"/>
    </row>
    <row r="66" spans="4:44" x14ac:dyDescent="0.25">
      <c r="D66" s="129"/>
      <c r="E66" s="129"/>
      <c r="F66" s="129"/>
      <c r="G66" s="129"/>
      <c r="AN66" s="129"/>
      <c r="AO66" s="129"/>
      <c r="AP66" s="129"/>
      <c r="AQ66" s="129"/>
      <c r="AR66" s="129"/>
    </row>
    <row r="67" spans="4:44" x14ac:dyDescent="0.25">
      <c r="D67" s="129"/>
      <c r="E67" s="129"/>
      <c r="F67" s="129"/>
      <c r="G67" s="129"/>
      <c r="AN67" s="129"/>
      <c r="AO67" s="129"/>
      <c r="AP67" s="129"/>
      <c r="AQ67" s="129"/>
      <c r="AR67" s="129"/>
    </row>
    <row r="68" spans="4:44" x14ac:dyDescent="0.25">
      <c r="D68" s="129"/>
      <c r="E68" s="129"/>
      <c r="F68" s="129"/>
      <c r="G68" s="129"/>
    </row>
    <row r="69" spans="4:44" x14ac:dyDescent="0.25">
      <c r="D69" s="129"/>
      <c r="E69" s="129"/>
      <c r="F69" s="129"/>
      <c r="G69" s="129"/>
    </row>
    <row r="70" spans="4:44" x14ac:dyDescent="0.25">
      <c r="D70" s="129"/>
      <c r="E70" s="129"/>
      <c r="F70" s="129"/>
      <c r="G70" s="129"/>
    </row>
    <row r="71" spans="4:44" x14ac:dyDescent="0.25">
      <c r="D71" s="129"/>
      <c r="E71" s="129"/>
      <c r="F71" s="129"/>
      <c r="G71" s="129"/>
    </row>
    <row r="72" spans="4:44" x14ac:dyDescent="0.25">
      <c r="D72" s="129"/>
      <c r="E72" s="129"/>
      <c r="F72" s="129"/>
      <c r="G72" s="129"/>
    </row>
    <row r="73" spans="4:44" x14ac:dyDescent="0.25">
      <c r="D73" s="129"/>
      <c r="E73" s="129"/>
      <c r="F73" s="129"/>
      <c r="G73" s="129"/>
    </row>
    <row r="74" spans="4:44" x14ac:dyDescent="0.25">
      <c r="D74" s="129"/>
      <c r="E74" s="129"/>
      <c r="F74" s="129"/>
      <c r="G74" s="129"/>
    </row>
    <row r="75" spans="4:44" x14ac:dyDescent="0.25">
      <c r="D75" s="129"/>
      <c r="E75" s="129"/>
      <c r="F75" s="129"/>
      <c r="G75" s="129"/>
    </row>
    <row r="76" spans="4:44" x14ac:dyDescent="0.25">
      <c r="D76" s="129"/>
      <c r="E76" s="129"/>
      <c r="F76" s="129"/>
      <c r="G76" s="129"/>
      <c r="P76" s="121"/>
      <c r="Q76" s="121"/>
      <c r="R76" s="121"/>
      <c r="S76" s="121"/>
    </row>
    <row r="77" spans="4:44" x14ac:dyDescent="0.25">
      <c r="D77" s="129"/>
      <c r="E77" s="129"/>
      <c r="F77" s="129"/>
      <c r="G77" s="129"/>
      <c r="P77" s="128"/>
      <c r="Q77" s="128"/>
      <c r="R77" s="128"/>
    </row>
    <row r="78" spans="4:44" x14ac:dyDescent="0.25">
      <c r="D78" s="129"/>
      <c r="E78" s="129"/>
      <c r="F78" s="129"/>
      <c r="G78" s="129"/>
      <c r="P78" s="128"/>
      <c r="Q78" s="128"/>
      <c r="R78" s="128"/>
    </row>
    <row r="79" spans="4:44" x14ac:dyDescent="0.25">
      <c r="D79" s="129"/>
      <c r="E79" s="129"/>
      <c r="F79" s="129"/>
      <c r="G79" s="129"/>
      <c r="P79" s="128"/>
      <c r="Q79" s="128"/>
      <c r="R79" s="128"/>
    </row>
    <row r="80" spans="4:44" x14ac:dyDescent="0.25">
      <c r="D80" s="129"/>
      <c r="E80" s="129"/>
      <c r="F80" s="129"/>
      <c r="G80" s="129"/>
      <c r="P80" s="128"/>
      <c r="Q80" s="128"/>
      <c r="R80" s="128"/>
    </row>
    <row r="81" spans="4:18" x14ac:dyDescent="0.25">
      <c r="D81" s="129"/>
      <c r="E81" s="129"/>
      <c r="F81" s="129"/>
      <c r="G81" s="129"/>
      <c r="P81" s="128"/>
      <c r="Q81" s="128"/>
      <c r="R81" s="128"/>
    </row>
    <row r="82" spans="4:18" x14ac:dyDescent="0.25">
      <c r="D82" s="129"/>
      <c r="E82" s="129"/>
      <c r="F82" s="129"/>
      <c r="G82" s="129"/>
      <c r="P82" s="128"/>
      <c r="Q82" s="128"/>
      <c r="R82" s="128"/>
    </row>
    <row r="83" spans="4:18" x14ac:dyDescent="0.25">
      <c r="D83" s="129"/>
      <c r="E83" s="129"/>
      <c r="F83" s="129"/>
      <c r="G83" s="129"/>
      <c r="P83" s="128"/>
      <c r="Q83" s="128"/>
      <c r="R83" s="128"/>
    </row>
    <row r="84" spans="4:18" x14ac:dyDescent="0.25">
      <c r="D84" s="129"/>
      <c r="E84" s="129"/>
      <c r="F84" s="129"/>
      <c r="G84" s="129"/>
      <c r="P84" s="128"/>
      <c r="Q84" s="128"/>
      <c r="R84" s="128"/>
    </row>
    <row r="85" spans="4:18" x14ac:dyDescent="0.25">
      <c r="D85" s="129"/>
      <c r="E85" s="129"/>
      <c r="F85" s="129"/>
      <c r="G85" s="129"/>
      <c r="P85" s="128"/>
      <c r="Q85" s="128"/>
      <c r="R85" s="128"/>
    </row>
    <row r="86" spans="4:18" x14ac:dyDescent="0.25">
      <c r="D86" s="129"/>
      <c r="E86" s="129"/>
      <c r="F86" s="129"/>
      <c r="G86" s="129"/>
      <c r="P86" s="128"/>
      <c r="Q86" s="128"/>
      <c r="R86" s="128"/>
    </row>
    <row r="87" spans="4:18" x14ac:dyDescent="0.25">
      <c r="D87" s="129"/>
      <c r="E87" s="129"/>
      <c r="F87" s="129"/>
      <c r="G87" s="129"/>
      <c r="P87" s="128"/>
      <c r="Q87" s="128"/>
      <c r="R87" s="128"/>
    </row>
    <row r="88" spans="4:18" x14ac:dyDescent="0.25">
      <c r="D88" s="129"/>
      <c r="E88" s="129"/>
      <c r="F88" s="129"/>
      <c r="G88" s="129"/>
      <c r="P88" s="128"/>
      <c r="Q88" s="128"/>
      <c r="R88" s="128"/>
    </row>
    <row r="89" spans="4:18" x14ac:dyDescent="0.25">
      <c r="D89" s="129"/>
      <c r="E89" s="129"/>
      <c r="F89" s="129"/>
      <c r="G89" s="129"/>
      <c r="P89" s="128"/>
      <c r="Q89" s="128"/>
      <c r="R89" s="128"/>
    </row>
    <row r="90" spans="4:18" x14ac:dyDescent="0.25">
      <c r="D90" s="129"/>
      <c r="E90" s="129"/>
      <c r="F90" s="129"/>
      <c r="G90" s="129"/>
      <c r="P90" s="128"/>
      <c r="Q90" s="128"/>
      <c r="R90" s="128"/>
    </row>
    <row r="91" spans="4:18" x14ac:dyDescent="0.25">
      <c r="D91" s="129"/>
      <c r="E91" s="129"/>
      <c r="F91" s="129"/>
      <c r="G91" s="129"/>
      <c r="P91" s="128"/>
      <c r="Q91" s="128"/>
      <c r="R91" s="128"/>
    </row>
    <row r="92" spans="4:18" x14ac:dyDescent="0.25">
      <c r="D92" s="129"/>
      <c r="E92" s="129"/>
      <c r="F92" s="129"/>
      <c r="G92" s="129"/>
      <c r="P92" s="128"/>
      <c r="Q92" s="128"/>
      <c r="R92" s="128"/>
    </row>
    <row r="93" spans="4:18" x14ac:dyDescent="0.25">
      <c r="D93" s="129"/>
      <c r="E93" s="129"/>
      <c r="F93" s="129"/>
      <c r="G93" s="129"/>
    </row>
    <row r="94" spans="4:18" x14ac:dyDescent="0.25">
      <c r="D94" s="129"/>
      <c r="E94" s="129"/>
      <c r="F94" s="129"/>
      <c r="G94" s="129"/>
    </row>
    <row r="95" spans="4:18" x14ac:dyDescent="0.25">
      <c r="D95" s="129"/>
      <c r="E95" s="129"/>
      <c r="F95" s="129"/>
      <c r="G95" s="129"/>
    </row>
    <row r="96" spans="4:18" x14ac:dyDescent="0.25">
      <c r="D96" s="129"/>
      <c r="E96" s="129"/>
      <c r="F96" s="129"/>
      <c r="G96" s="129"/>
    </row>
    <row r="97" spans="4:7" x14ac:dyDescent="0.25">
      <c r="D97" s="129"/>
      <c r="E97" s="129"/>
      <c r="F97" s="129"/>
      <c r="G97" s="129"/>
    </row>
    <row r="98" spans="4:7" x14ac:dyDescent="0.25">
      <c r="D98" s="129"/>
      <c r="E98" s="129"/>
      <c r="F98" s="129"/>
      <c r="G98" s="129"/>
    </row>
    <row r="99" spans="4:7" x14ac:dyDescent="0.25">
      <c r="D99" s="129"/>
      <c r="E99" s="129"/>
      <c r="F99" s="129"/>
      <c r="G99" s="129"/>
    </row>
    <row r="100" spans="4:7" x14ac:dyDescent="0.25">
      <c r="D100" s="129"/>
      <c r="E100" s="129"/>
      <c r="F100" s="129"/>
      <c r="G100" s="129"/>
    </row>
    <row r="101" spans="4:7" x14ac:dyDescent="0.25">
      <c r="D101" s="129"/>
      <c r="E101" s="129"/>
      <c r="F101" s="129"/>
      <c r="G101" s="129"/>
    </row>
    <row r="102" spans="4:7" x14ac:dyDescent="0.25">
      <c r="D102" s="129"/>
      <c r="E102" s="129"/>
      <c r="F102" s="129"/>
      <c r="G102" s="129"/>
    </row>
    <row r="103" spans="4:7" x14ac:dyDescent="0.25">
      <c r="D103" s="129"/>
      <c r="E103" s="129"/>
      <c r="F103" s="129"/>
      <c r="G103" s="129"/>
    </row>
    <row r="104" spans="4:7" x14ac:dyDescent="0.25">
      <c r="D104" s="129"/>
      <c r="E104" s="129"/>
      <c r="F104" s="129"/>
      <c r="G104" s="129"/>
    </row>
    <row r="105" spans="4:7" x14ac:dyDescent="0.25">
      <c r="D105" s="129"/>
      <c r="E105" s="129"/>
      <c r="F105" s="129"/>
      <c r="G105" s="129"/>
    </row>
    <row r="106" spans="4:7" x14ac:dyDescent="0.25">
      <c r="D106" s="129"/>
      <c r="E106" s="129"/>
      <c r="F106" s="129"/>
      <c r="G106" s="129"/>
    </row>
    <row r="107" spans="4:7" x14ac:dyDescent="0.25">
      <c r="D107" s="129"/>
      <c r="E107" s="129"/>
      <c r="F107" s="129"/>
      <c r="G107" s="129"/>
    </row>
    <row r="108" spans="4:7" x14ac:dyDescent="0.25">
      <c r="D108" s="129"/>
      <c r="E108" s="129"/>
      <c r="F108" s="129"/>
      <c r="G108" s="129"/>
    </row>
    <row r="109" spans="4:7" x14ac:dyDescent="0.25">
      <c r="D109" s="129"/>
      <c r="E109" s="129"/>
      <c r="F109" s="129"/>
      <c r="G109" s="129"/>
    </row>
    <row r="110" spans="4:7" x14ac:dyDescent="0.25">
      <c r="D110" s="129"/>
      <c r="E110" s="129"/>
      <c r="F110" s="129"/>
      <c r="G110" s="129"/>
    </row>
    <row r="111" spans="4:7" x14ac:dyDescent="0.25">
      <c r="D111" s="129"/>
      <c r="E111" s="129"/>
      <c r="F111" s="129"/>
      <c r="G111" s="129"/>
    </row>
    <row r="112" spans="4:7" x14ac:dyDescent="0.25">
      <c r="D112" s="129"/>
      <c r="E112" s="129"/>
      <c r="F112" s="129"/>
      <c r="G112" s="129"/>
    </row>
    <row r="113" spans="4:7" x14ac:dyDescent="0.25">
      <c r="D113" s="129"/>
      <c r="E113" s="129"/>
      <c r="F113" s="129"/>
      <c r="G113" s="129"/>
    </row>
    <row r="114" spans="4:7" x14ac:dyDescent="0.25">
      <c r="D114" s="129"/>
      <c r="E114" s="129"/>
      <c r="F114" s="129"/>
      <c r="G114" s="129"/>
    </row>
    <row r="115" spans="4:7" x14ac:dyDescent="0.25">
      <c r="D115" s="129"/>
      <c r="E115" s="129"/>
      <c r="F115" s="129"/>
      <c r="G115" s="129"/>
    </row>
    <row r="116" spans="4:7" x14ac:dyDescent="0.25">
      <c r="D116" s="129"/>
      <c r="E116" s="129"/>
      <c r="F116" s="129"/>
      <c r="G116" s="129"/>
    </row>
    <row r="117" spans="4:7" x14ac:dyDescent="0.25">
      <c r="D117" s="129"/>
      <c r="E117" s="129"/>
      <c r="F117" s="129"/>
      <c r="G117" s="129"/>
    </row>
    <row r="118" spans="4:7" x14ac:dyDescent="0.25">
      <c r="D118" s="129"/>
      <c r="E118" s="129"/>
      <c r="F118" s="129"/>
      <c r="G118" s="129"/>
    </row>
    <row r="119" spans="4:7" x14ac:dyDescent="0.25">
      <c r="D119" s="129"/>
      <c r="E119" s="129"/>
      <c r="F119" s="129"/>
      <c r="G119" s="129"/>
    </row>
    <row r="120" spans="4:7" x14ac:dyDescent="0.25">
      <c r="D120" s="129"/>
      <c r="E120" s="129"/>
      <c r="F120" s="129"/>
      <c r="G120" s="129"/>
    </row>
    <row r="121" spans="4:7" x14ac:dyDescent="0.25">
      <c r="D121" s="129"/>
      <c r="E121" s="129"/>
      <c r="F121" s="129"/>
      <c r="G121" s="129"/>
    </row>
    <row r="122" spans="4:7" x14ac:dyDescent="0.25">
      <c r="D122" s="129"/>
      <c r="E122" s="129"/>
      <c r="F122" s="129"/>
      <c r="G122" s="129"/>
    </row>
    <row r="123" spans="4:7" x14ac:dyDescent="0.25">
      <c r="D123" s="129"/>
      <c r="E123" s="129"/>
      <c r="F123" s="129"/>
      <c r="G123" s="129"/>
    </row>
    <row r="124" spans="4:7" x14ac:dyDescent="0.25">
      <c r="D124" s="129"/>
      <c r="E124" s="129"/>
      <c r="F124" s="129"/>
      <c r="G124" s="129"/>
    </row>
    <row r="125" spans="4:7" x14ac:dyDescent="0.25">
      <c r="D125" s="129"/>
      <c r="E125" s="129"/>
      <c r="F125" s="129"/>
      <c r="G125" s="129"/>
    </row>
    <row r="126" spans="4:7" x14ac:dyDescent="0.25">
      <c r="D126" s="129"/>
      <c r="E126" s="129"/>
      <c r="F126" s="129"/>
      <c r="G126" s="129"/>
    </row>
    <row r="127" spans="4:7" x14ac:dyDescent="0.25">
      <c r="D127" s="129"/>
      <c r="E127" s="129"/>
      <c r="F127" s="129"/>
      <c r="G127" s="129"/>
    </row>
    <row r="128" spans="4:7" x14ac:dyDescent="0.25">
      <c r="D128" s="129"/>
      <c r="E128" s="129"/>
      <c r="F128" s="129"/>
      <c r="G128" s="129"/>
    </row>
    <row r="129" spans="4:7" x14ac:dyDescent="0.25">
      <c r="D129" s="129"/>
      <c r="E129" s="129"/>
      <c r="F129" s="129"/>
      <c r="G129" s="129"/>
    </row>
    <row r="130" spans="4:7" x14ac:dyDescent="0.25">
      <c r="D130" s="129"/>
      <c r="E130" s="129"/>
      <c r="F130" s="129"/>
      <c r="G130" s="129"/>
    </row>
    <row r="131" spans="4:7" x14ac:dyDescent="0.25">
      <c r="D131" s="129"/>
      <c r="E131" s="129"/>
      <c r="F131" s="129"/>
      <c r="G131" s="129"/>
    </row>
    <row r="132" spans="4:7" x14ac:dyDescent="0.25">
      <c r="D132" s="129"/>
      <c r="E132" s="129"/>
      <c r="F132" s="129"/>
      <c r="G132" s="129"/>
    </row>
    <row r="133" spans="4:7" x14ac:dyDescent="0.25">
      <c r="D133" s="129"/>
      <c r="E133" s="129"/>
      <c r="F133" s="129"/>
      <c r="G133" s="129"/>
    </row>
    <row r="134" spans="4:7" x14ac:dyDescent="0.25">
      <c r="D134" s="129"/>
      <c r="E134" s="129"/>
      <c r="F134" s="129"/>
      <c r="G134" s="129"/>
    </row>
    <row r="135" spans="4:7" x14ac:dyDescent="0.25">
      <c r="D135" s="129"/>
      <c r="E135" s="129"/>
      <c r="F135" s="129"/>
      <c r="G135" s="129"/>
    </row>
    <row r="136" spans="4:7" x14ac:dyDescent="0.25">
      <c r="D136" s="129"/>
      <c r="E136" s="129"/>
      <c r="F136" s="129"/>
      <c r="G136" s="129"/>
    </row>
    <row r="137" spans="4:7" x14ac:dyDescent="0.25">
      <c r="D137" s="129"/>
      <c r="E137" s="129"/>
      <c r="F137" s="129"/>
      <c r="G137" s="129"/>
    </row>
  </sheetData>
  <sheetProtection sort="0" autoFilter="0"/>
  <mergeCells count="7">
    <mergeCell ref="P55:Q55"/>
    <mergeCell ref="D1:H1"/>
    <mergeCell ref="J1:S1"/>
    <mergeCell ref="D2:H3"/>
    <mergeCell ref="J2:S3"/>
    <mergeCell ref="J7:M7"/>
    <mergeCell ref="P7:S7"/>
  </mergeCells>
  <dataValidations count="1">
    <dataValidation type="textLength" operator="equal" allowBlank="1" showInputMessage="1" showErrorMessage="1" error="Introduzir pass para introduzir ou alterar REGISTOS" prompt="Introduzir pass para introduzir ou alterar REGISTOS" sqref="A7" xr:uid="{00000000-0002-0000-0C00-000000000000}">
      <formula1>5</formula1>
    </dataValidation>
  </dataValidations>
  <printOptions horizontalCentered="1"/>
  <pageMargins left="0.23622047244094491" right="0.23622047244094491" top="0.86614173228346458" bottom="0.35433070866141736" header="0.31496062992125984" footer="0"/>
  <pageSetup paperSize="9" scale="42" orientation="portrait" horizontalDpi="300" verticalDpi="300" r:id="rId7"/>
  <headerFooter>
    <oddHeader>&amp;L&amp;G</oddHeader>
    <oddFooter>&amp;C&amp;8Actualizado a &amp;D</oddFooter>
  </headerFooter>
  <drawing r:id="rId8"/>
  <legacyDrawingHF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1"/>
  <dimension ref="A1:Y250"/>
  <sheetViews>
    <sheetView showGridLines="0" zoomScale="85" zoomScaleNormal="85" workbookViewId="0">
      <pane ySplit="4" topLeftCell="A5" activePane="bottomLeft" state="frozen"/>
      <selection activeCell="L1" sqref="L1"/>
      <selection pane="bottomLeft" activeCell="D30" sqref="D30"/>
    </sheetView>
  </sheetViews>
  <sheetFormatPr defaultColWidth="9.140625" defaultRowHeight="12" x14ac:dyDescent="0.2"/>
  <cols>
    <col min="1" max="1" width="11.42578125" style="1" customWidth="1"/>
    <col min="2" max="2" width="13" style="1" customWidth="1"/>
    <col min="3" max="3" width="16.28515625" style="40" customWidth="1"/>
    <col min="4" max="4" width="19.28515625" style="40" customWidth="1"/>
    <col min="5" max="5" width="16.140625" style="40" customWidth="1"/>
    <col min="6" max="6" width="12.85546875" style="40" bestFit="1" customWidth="1"/>
    <col min="7" max="8" width="15" style="40" customWidth="1"/>
    <col min="9" max="9" width="23.5703125" style="40" customWidth="1"/>
    <col min="10" max="10" width="18.140625" style="40" bestFit="1" customWidth="1"/>
    <col min="11" max="13" width="15" style="40" customWidth="1"/>
    <col min="14" max="14" width="10.42578125" style="40" bestFit="1" customWidth="1"/>
    <col min="15" max="15" width="10.42578125" style="40" customWidth="1"/>
    <col min="16" max="16" width="37.28515625" style="1" customWidth="1"/>
    <col min="17" max="17" width="31.85546875" style="1" customWidth="1"/>
    <col min="18" max="18" width="12.28515625" style="1" customWidth="1"/>
    <col min="19" max="19" width="11.85546875" style="1" customWidth="1"/>
    <col min="20" max="20" width="47.85546875" style="1" bestFit="1" customWidth="1"/>
    <col min="21" max="21" width="9.140625" style="1"/>
    <col min="22" max="22" width="18" style="1" customWidth="1"/>
    <col min="23" max="23" width="9.140625" style="1"/>
    <col min="24" max="24" width="22.85546875" style="1" customWidth="1"/>
    <col min="25" max="25" width="51.85546875" style="1" customWidth="1"/>
    <col min="26" max="16384" width="9.140625" style="1"/>
  </cols>
  <sheetData>
    <row r="1" spans="1:25" ht="13.5" thickBot="1" x14ac:dyDescent="0.25">
      <c r="D1" s="284" t="s">
        <v>46</v>
      </c>
      <c r="E1" s="284"/>
      <c r="F1" s="284"/>
      <c r="G1" s="284"/>
      <c r="H1" s="284"/>
      <c r="I1" s="203"/>
      <c r="J1" s="203"/>
      <c r="K1" s="203"/>
      <c r="L1" s="203"/>
      <c r="M1" s="203"/>
      <c r="N1" s="41"/>
      <c r="O1" s="41"/>
      <c r="P1" s="9"/>
      <c r="Q1" s="9"/>
      <c r="R1" s="9"/>
    </row>
    <row r="2" spans="1:25" ht="16.5" thickBot="1" x14ac:dyDescent="0.25">
      <c r="A2" s="12" t="s">
        <v>67</v>
      </c>
      <c r="B2" s="25">
        <v>2015</v>
      </c>
      <c r="D2" s="42"/>
      <c r="E2" s="42"/>
      <c r="F2" s="42"/>
      <c r="G2" s="42"/>
      <c r="H2" s="42"/>
      <c r="I2" s="42"/>
      <c r="J2" s="42"/>
      <c r="K2" s="42"/>
      <c r="L2" s="42"/>
      <c r="M2" s="42"/>
      <c r="N2" s="42"/>
      <c r="O2" s="42"/>
      <c r="P2" s="10"/>
      <c r="Q2" s="10"/>
      <c r="R2" s="10"/>
    </row>
    <row r="3" spans="1:25" ht="16.5" thickBot="1" x14ac:dyDescent="0.25">
      <c r="A3" s="12" t="s">
        <v>78</v>
      </c>
      <c r="B3" s="25" t="s">
        <v>523</v>
      </c>
      <c r="C3" s="43"/>
      <c r="D3" s="283" t="s">
        <v>29</v>
      </c>
      <c r="E3" s="283"/>
      <c r="F3" s="283"/>
      <c r="G3" s="283"/>
      <c r="H3" s="283"/>
      <c r="I3" s="90"/>
      <c r="J3" s="90"/>
      <c r="K3" s="90"/>
      <c r="L3" s="90"/>
      <c r="M3" s="90"/>
      <c r="N3" s="44"/>
      <c r="O3" s="44"/>
      <c r="P3" s="11"/>
      <c r="Q3" s="11"/>
      <c r="R3" s="11"/>
    </row>
    <row r="4" spans="1:25" ht="34.5" thickBot="1" x14ac:dyDescent="0.25">
      <c r="A4" s="12" t="s">
        <v>77</v>
      </c>
      <c r="B4" s="25" t="s">
        <v>523</v>
      </c>
      <c r="C4" s="43"/>
      <c r="D4" s="202"/>
      <c r="E4" s="39" t="s">
        <v>772</v>
      </c>
      <c r="F4" s="39" t="s">
        <v>84</v>
      </c>
      <c r="G4" s="45"/>
      <c r="H4" s="45"/>
      <c r="I4" s="46"/>
      <c r="J4" s="46"/>
      <c r="K4" s="46"/>
      <c r="L4" s="46"/>
      <c r="M4" s="46"/>
      <c r="N4" s="46"/>
      <c r="O4" s="46"/>
      <c r="P4" s="1" t="s">
        <v>80</v>
      </c>
      <c r="Q4" s="1" t="s">
        <v>33</v>
      </c>
      <c r="S4" s="6" t="s">
        <v>16</v>
      </c>
      <c r="T4" s="6" t="s">
        <v>98</v>
      </c>
      <c r="V4" s="1" t="s">
        <v>101</v>
      </c>
      <c r="W4" s="12" t="s">
        <v>513</v>
      </c>
      <c r="X4" s="1" t="s">
        <v>100</v>
      </c>
      <c r="Y4" s="1" t="s">
        <v>99</v>
      </c>
    </row>
    <row r="5" spans="1:25" ht="24" x14ac:dyDescent="0.2">
      <c r="C5" s="43">
        <v>1</v>
      </c>
      <c r="D5" s="47" t="str">
        <f>VLOOKUP('7'!B6,TA[],2,FALSE)</f>
        <v>NOS</v>
      </c>
      <c r="E5" s="202">
        <f>'7'!D6</f>
        <v>8</v>
      </c>
      <c r="F5" s="48">
        <f>'7'!J6</f>
        <v>31</v>
      </c>
      <c r="G5" s="205">
        <f t="shared" ref="G5" si="0">ROUND(E5/$E$12,3)-(SUM(ROUND($E$5/$E$12,3),ROUND($E$6/$E$12,3),ROUND($E$7/$E$12,3),ROUND($E$8/$E$12,3),ROUND($E$9/$E$12,3),ROUND($E$10/$E$12,3),ROUND($E$11/$E$12,3))-1)/$C$12</f>
        <v>0.29612499999999997</v>
      </c>
      <c r="H5" s="205">
        <f t="shared" ref="H5" si="1">ROUND(F5/$F$12,3)-(SUM(ROUND($F$5/$F$12,3),ROUND($F$6/$F$12,3),ROUND($F$7/$F$12,3),ROUND($F$8/$F$12,3),ROUND($F$9/$F$12,3),ROUND($F$10/$F$12,3),ROUND($F$11/$F$12,3))-1)/$C$12</f>
        <v>0.25800000000000001</v>
      </c>
      <c r="I5" s="206"/>
      <c r="J5" s="206"/>
      <c r="K5" s="206"/>
      <c r="L5" s="206"/>
      <c r="M5" s="206"/>
      <c r="N5" s="44"/>
      <c r="O5" s="44"/>
      <c r="P5" s="15" t="s">
        <v>19</v>
      </c>
      <c r="Q5" s="15" t="s">
        <v>19</v>
      </c>
      <c r="S5" s="201" t="s">
        <v>897</v>
      </c>
      <c r="T5" s="201" t="s">
        <v>88</v>
      </c>
      <c r="V5" s="27" t="s">
        <v>107</v>
      </c>
      <c r="W5" s="26" t="str">
        <f>"AF"</f>
        <v>AF</v>
      </c>
      <c r="X5" s="27" t="s">
        <v>106</v>
      </c>
      <c r="Y5" s="29" t="str">
        <f t="shared" ref="Y5:Y68" si="2">IF(V5=X5,V5,V5&amp;CHAR(10)&amp;X5)</f>
        <v>Afeganistão
Afghanistan</v>
      </c>
    </row>
    <row r="6" spans="1:25" ht="25.5" x14ac:dyDescent="0.2">
      <c r="C6" s="43">
        <v>2</v>
      </c>
      <c r="D6" s="47" t="str">
        <f>VLOOKUP('7'!B7,TA[],2,FALSE)</f>
        <v>CINEMUNDO</v>
      </c>
      <c r="E6" s="202">
        <f>'7'!D7</f>
        <v>3</v>
      </c>
      <c r="F6" s="48">
        <f>'7'!J7</f>
        <v>8</v>
      </c>
      <c r="G6" s="205">
        <f t="shared" ref="G6:G13" si="3">ROUND(E6/$E$12,3)-(SUM(ROUND($E$5/$E$12,3),ROUND($E$6/$E$12,3),ROUND($E$7/$E$12,3),ROUND($E$8/$E$12,3),ROUND($E$9/$E$12,3),ROUND($E$10/$E$12,3),ROUND($E$11/$E$12,3))-1)/$C$12</f>
        <v>0.11112500000000002</v>
      </c>
      <c r="H6" s="205">
        <f t="shared" ref="H6:H13" si="4">ROUND(F6/$F$12,3)-(SUM(ROUND($F$5/$F$12,3),ROUND($F$6/$F$12,3),ROUND($F$7/$F$12,3),ROUND($F$8/$F$12,3),ROUND($F$9/$F$12,3),ROUND($F$10/$F$12,3),ROUND($F$11/$F$12,3))-1)/$C$12</f>
        <v>6.7000000000000004E-2</v>
      </c>
      <c r="I6" s="206"/>
      <c r="J6" s="206"/>
      <c r="K6" s="206"/>
      <c r="L6" s="206"/>
      <c r="M6" s="206"/>
      <c r="P6" s="15" t="s">
        <v>23</v>
      </c>
      <c r="Q6" s="15" t="s">
        <v>19</v>
      </c>
      <c r="S6" s="6" t="s">
        <v>93</v>
      </c>
      <c r="T6" s="28" t="s">
        <v>514</v>
      </c>
      <c r="V6" s="27" t="s">
        <v>509</v>
      </c>
      <c r="W6" s="26" t="str">
        <f>"ZA"</f>
        <v>ZA</v>
      </c>
      <c r="X6" s="27" t="s">
        <v>508</v>
      </c>
      <c r="Y6" s="29" t="str">
        <f t="shared" si="2"/>
        <v>África do Sul
South Africa</v>
      </c>
    </row>
    <row r="7" spans="1:25" ht="25.5" x14ac:dyDescent="0.2">
      <c r="C7" s="43">
        <v>3</v>
      </c>
      <c r="D7" s="47" t="str">
        <f>VLOOKUP('7'!B8,TA[],2,FALSE)</f>
        <v>FILMS4YOU</v>
      </c>
      <c r="E7" s="202">
        <f>'7'!D8</f>
        <v>3</v>
      </c>
      <c r="F7" s="48">
        <f>'7'!J8</f>
        <v>8</v>
      </c>
      <c r="G7" s="205">
        <f t="shared" si="3"/>
        <v>0.11112500000000002</v>
      </c>
      <c r="H7" s="205">
        <f t="shared" si="4"/>
        <v>6.7000000000000004E-2</v>
      </c>
      <c r="I7" s="206"/>
      <c r="J7" s="206"/>
      <c r="K7" s="206"/>
      <c r="L7" s="206"/>
      <c r="M7" s="206"/>
      <c r="P7" s="1" t="s">
        <v>0</v>
      </c>
      <c r="Q7" s="1" t="s">
        <v>0</v>
      </c>
      <c r="S7" s="6" t="s">
        <v>94</v>
      </c>
      <c r="T7" s="28" t="s">
        <v>515</v>
      </c>
      <c r="V7" s="27" t="s">
        <v>89</v>
      </c>
      <c r="W7" s="26" t="str">
        <f>"AL"</f>
        <v>AL</v>
      </c>
      <c r="X7" s="27" t="s">
        <v>112</v>
      </c>
      <c r="Y7" s="29" t="str">
        <f t="shared" si="2"/>
        <v>Albânia
Albania</v>
      </c>
    </row>
    <row r="8" spans="1:25" ht="25.5" x14ac:dyDescent="0.2">
      <c r="C8" s="43">
        <v>4</v>
      </c>
      <c r="D8" s="47" t="str">
        <f>VLOOKUP('7'!B9,TA[],2,FALSE)</f>
        <v>LEOPARDO</v>
      </c>
      <c r="E8" s="202">
        <f>'7'!D9</f>
        <v>2</v>
      </c>
      <c r="F8" s="48">
        <f>'7'!J9</f>
        <v>7</v>
      </c>
      <c r="G8" s="205">
        <f t="shared" si="3"/>
        <v>7.412500000000001E-2</v>
      </c>
      <c r="H8" s="205">
        <f t="shared" si="4"/>
        <v>5.8000000000000003E-2</v>
      </c>
      <c r="I8" s="206"/>
      <c r="J8" s="206"/>
      <c r="K8" s="206"/>
      <c r="L8" s="206"/>
      <c r="M8" s="206"/>
      <c r="P8" s="15" t="s">
        <v>47</v>
      </c>
      <c r="Q8" s="15" t="s">
        <v>47</v>
      </c>
      <c r="S8" s="88" t="s">
        <v>564</v>
      </c>
      <c r="T8" s="89" t="s">
        <v>565</v>
      </c>
      <c r="V8" s="27" t="s">
        <v>60</v>
      </c>
      <c r="W8" s="26" t="str">
        <f>"DE"</f>
        <v>DE</v>
      </c>
      <c r="X8" s="27" t="s">
        <v>186</v>
      </c>
      <c r="Y8" s="29" t="str">
        <f t="shared" si="2"/>
        <v>Alemanha
Germany</v>
      </c>
    </row>
    <row r="9" spans="1:25" ht="25.5" x14ac:dyDescent="0.2">
      <c r="C9" s="43">
        <v>5</v>
      </c>
      <c r="D9" s="47" t="str">
        <f>VLOOKUP('7'!B10,TA[],2,FALSE)</f>
        <v>PRIS</v>
      </c>
      <c r="E9" s="202">
        <f>'7'!D10</f>
        <v>2</v>
      </c>
      <c r="F9" s="48">
        <f>'7'!J10</f>
        <v>6</v>
      </c>
      <c r="G9" s="205">
        <f t="shared" si="3"/>
        <v>7.412500000000001E-2</v>
      </c>
      <c r="H9" s="205">
        <f t="shared" si="4"/>
        <v>0.05</v>
      </c>
      <c r="I9" s="206"/>
      <c r="J9" s="206"/>
      <c r="K9" s="206"/>
      <c r="L9" s="206"/>
      <c r="M9" s="206"/>
      <c r="P9" s="15" t="s">
        <v>43</v>
      </c>
      <c r="Q9" s="15" t="s">
        <v>43</v>
      </c>
      <c r="S9" s="6" t="s">
        <v>539</v>
      </c>
      <c r="T9" s="28" t="s">
        <v>516</v>
      </c>
      <c r="V9" s="27" t="s">
        <v>103</v>
      </c>
      <c r="W9" s="26" t="s">
        <v>102</v>
      </c>
      <c r="X9" s="27" t="s">
        <v>103</v>
      </c>
      <c r="Y9" s="29" t="str">
        <f t="shared" si="2"/>
        <v>Andorra</v>
      </c>
    </row>
    <row r="10" spans="1:25" ht="12.75" x14ac:dyDescent="0.2">
      <c r="C10" s="43">
        <v>6</v>
      </c>
      <c r="D10" s="47" t="str">
        <f>VLOOKUP('7'!B11,TA[],2,FALSE)</f>
        <v>MIDAS</v>
      </c>
      <c r="E10" s="202">
        <f>'7'!D11</f>
        <v>1</v>
      </c>
      <c r="F10" s="48">
        <f>'7'!J11</f>
        <v>8</v>
      </c>
      <c r="G10" s="205">
        <f t="shared" si="3"/>
        <v>3.7125000000000012E-2</v>
      </c>
      <c r="H10" s="205">
        <f t="shared" si="4"/>
        <v>6.7000000000000004E-2</v>
      </c>
      <c r="I10" s="206"/>
      <c r="J10" s="206"/>
      <c r="K10" s="206"/>
      <c r="L10" s="206"/>
      <c r="M10" s="206"/>
      <c r="P10" s="32" t="s">
        <v>73</v>
      </c>
      <c r="Q10" s="33" t="s">
        <v>526</v>
      </c>
      <c r="S10" s="201" t="s">
        <v>896</v>
      </c>
      <c r="T10" s="201" t="s">
        <v>83</v>
      </c>
      <c r="V10" s="27" t="s">
        <v>117</v>
      </c>
      <c r="W10" s="26" t="str">
        <f>"AO"</f>
        <v>AO</v>
      </c>
      <c r="X10" s="27" t="s">
        <v>117</v>
      </c>
      <c r="Y10" s="29" t="str">
        <f t="shared" si="2"/>
        <v>Angola</v>
      </c>
    </row>
    <row r="11" spans="1:25" ht="24" x14ac:dyDescent="0.2">
      <c r="C11" s="49">
        <v>7</v>
      </c>
      <c r="D11" s="50" t="s">
        <v>811</v>
      </c>
      <c r="E11" s="202">
        <f>E12-SUM(E5:E10)</f>
        <v>8</v>
      </c>
      <c r="F11" s="202">
        <f>F12-SUM(F5:F10)</f>
        <v>52</v>
      </c>
      <c r="G11" s="207">
        <f t="shared" si="3"/>
        <v>0.29612499999999997</v>
      </c>
      <c r="H11" s="207">
        <f t="shared" si="4"/>
        <v>0.433</v>
      </c>
      <c r="I11" s="206"/>
      <c r="J11" s="206"/>
      <c r="K11" s="206"/>
      <c r="L11" s="206"/>
      <c r="M11" s="206"/>
      <c r="P11" s="15" t="s">
        <v>25</v>
      </c>
      <c r="Q11" s="15" t="s">
        <v>25</v>
      </c>
      <c r="S11" s="201" t="s">
        <v>898</v>
      </c>
      <c r="T11" s="201" t="s">
        <v>83</v>
      </c>
      <c r="V11" s="27" t="s">
        <v>111</v>
      </c>
      <c r="W11" s="26" t="str">
        <f>"AI"</f>
        <v>AI</v>
      </c>
      <c r="X11" s="27" t="s">
        <v>110</v>
      </c>
      <c r="Y11" s="29" t="str">
        <f t="shared" si="2"/>
        <v>Anguila
Anguilla</v>
      </c>
    </row>
    <row r="12" spans="1:25" ht="24" x14ac:dyDescent="0.2">
      <c r="C12" s="43">
        <v>8</v>
      </c>
      <c r="D12" s="47" t="s">
        <v>12</v>
      </c>
      <c r="E12" s="233">
        <f>'7'!D17</f>
        <v>27</v>
      </c>
      <c r="F12" s="234">
        <f>'7'!J17</f>
        <v>120</v>
      </c>
      <c r="G12" s="205">
        <f t="shared" si="3"/>
        <v>1.0001249999999999</v>
      </c>
      <c r="H12" s="205">
        <f t="shared" si="4"/>
        <v>1</v>
      </c>
      <c r="P12" s="1" t="s">
        <v>1</v>
      </c>
      <c r="Q12" s="1" t="s">
        <v>1</v>
      </c>
      <c r="S12" s="201" t="s">
        <v>895</v>
      </c>
      <c r="T12" s="201" t="s">
        <v>82</v>
      </c>
      <c r="V12" s="27" t="s">
        <v>119</v>
      </c>
      <c r="W12" s="26" t="str">
        <f>"AQ"</f>
        <v>AQ</v>
      </c>
      <c r="X12" s="27" t="s">
        <v>118</v>
      </c>
      <c r="Y12" s="29" t="str">
        <f t="shared" si="2"/>
        <v>Antárctica
Antarctica</v>
      </c>
    </row>
    <row r="13" spans="1:25" ht="25.5" x14ac:dyDescent="0.2">
      <c r="C13" s="43">
        <v>9</v>
      </c>
      <c r="D13" s="47"/>
      <c r="E13" s="235">
        <f>SUM(E5:E11)</f>
        <v>27</v>
      </c>
      <c r="F13" s="235">
        <f>SUM(F5:F11)</f>
        <v>120</v>
      </c>
      <c r="G13" s="205">
        <f t="shared" si="3"/>
        <v>1.0001249999999999</v>
      </c>
      <c r="H13" s="205">
        <f t="shared" si="4"/>
        <v>1</v>
      </c>
      <c r="N13" s="41"/>
      <c r="O13" s="41"/>
      <c r="P13" s="1" t="s">
        <v>2</v>
      </c>
      <c r="Q13" s="1" t="s">
        <v>39</v>
      </c>
      <c r="S13" s="6" t="s">
        <v>95</v>
      </c>
      <c r="T13" s="28" t="s">
        <v>517</v>
      </c>
      <c r="V13" s="27" t="s">
        <v>109</v>
      </c>
      <c r="W13" s="26" t="str">
        <f>"AG"</f>
        <v>AG</v>
      </c>
      <c r="X13" s="27" t="s">
        <v>108</v>
      </c>
      <c r="Y13" s="29" t="str">
        <f t="shared" si="2"/>
        <v>Antígua e Barbuda
Antigua and Barbuda</v>
      </c>
    </row>
    <row r="14" spans="1:25" ht="25.5" x14ac:dyDescent="0.2">
      <c r="C14" s="42"/>
      <c r="D14" s="42"/>
      <c r="E14" s="42"/>
      <c r="F14" s="42"/>
      <c r="G14" s="42"/>
      <c r="H14" s="42"/>
      <c r="I14" s="42"/>
      <c r="J14" s="42"/>
      <c r="K14" s="42"/>
      <c r="L14" s="42"/>
      <c r="M14" s="42"/>
      <c r="N14" s="42"/>
      <c r="O14" s="42"/>
      <c r="P14" s="15" t="s">
        <v>20</v>
      </c>
      <c r="Q14" s="15" t="s">
        <v>44</v>
      </c>
      <c r="S14" s="6" t="s">
        <v>96</v>
      </c>
      <c r="T14" s="28" t="s">
        <v>518</v>
      </c>
      <c r="V14" s="27" t="s">
        <v>116</v>
      </c>
      <c r="W14" s="26" t="str">
        <f>"AN"</f>
        <v>AN</v>
      </c>
      <c r="X14" s="27" t="s">
        <v>115</v>
      </c>
      <c r="Y14" s="29" t="str">
        <f t="shared" si="2"/>
        <v>Antilhas Holandesas
Netherlands Antilles</v>
      </c>
    </row>
    <row r="15" spans="1:25" ht="25.5" x14ac:dyDescent="0.2">
      <c r="C15" s="43"/>
      <c r="D15" s="283" t="s">
        <v>30</v>
      </c>
      <c r="E15" s="283"/>
      <c r="F15" s="283"/>
      <c r="G15" s="283"/>
      <c r="H15" s="283"/>
      <c r="I15" s="202"/>
      <c r="J15" s="202"/>
      <c r="K15" s="202"/>
      <c r="L15" s="90"/>
      <c r="M15" s="90"/>
      <c r="N15" s="44"/>
      <c r="O15" s="44"/>
      <c r="P15" s="15" t="s">
        <v>14</v>
      </c>
      <c r="Q15" s="15" t="s">
        <v>40</v>
      </c>
      <c r="S15" s="6" t="s">
        <v>540</v>
      </c>
      <c r="T15" s="28" t="s">
        <v>519</v>
      </c>
      <c r="V15" s="27" t="s">
        <v>422</v>
      </c>
      <c r="W15" s="26" t="str">
        <f>"SA"</f>
        <v>SA</v>
      </c>
      <c r="X15" s="27" t="s">
        <v>421</v>
      </c>
      <c r="Y15" s="29" t="str">
        <f t="shared" si="2"/>
        <v>Arábia Saudita
Saudi Arabia</v>
      </c>
    </row>
    <row r="16" spans="1:25" ht="24" x14ac:dyDescent="0.2">
      <c r="C16" s="43"/>
      <c r="D16" s="43"/>
      <c r="E16" s="36" t="str">
        <f>"RECEITA | GBO - "&amp;MENU!$A$1</f>
        <v>RECEITA | GBO - 2015</v>
      </c>
      <c r="F16" s="37"/>
      <c r="G16" s="38" t="str">
        <f>"ESPETADORES | ADMISSIONS - "&amp;MENU!$A$1</f>
        <v>ESPETADORES | ADMISSIONS - 2015</v>
      </c>
      <c r="H16" s="37"/>
      <c r="I16" s="37"/>
      <c r="J16" s="37"/>
      <c r="K16" s="37"/>
      <c r="L16" s="216"/>
      <c r="M16" s="216"/>
      <c r="N16" s="106"/>
      <c r="O16" s="106"/>
      <c r="P16" s="15" t="s">
        <v>52</v>
      </c>
      <c r="Q16" s="15" t="s">
        <v>52</v>
      </c>
      <c r="S16" s="201" t="s">
        <v>899</v>
      </c>
      <c r="T16" s="201" t="s">
        <v>899</v>
      </c>
      <c r="V16" s="27" t="s">
        <v>196</v>
      </c>
      <c r="W16" s="26" t="str">
        <f>"DZ"</f>
        <v>DZ</v>
      </c>
      <c r="X16" s="27" t="s">
        <v>195</v>
      </c>
      <c r="Y16" s="29" t="str">
        <f t="shared" si="2"/>
        <v>Argélia
Algeria</v>
      </c>
    </row>
    <row r="17" spans="1:25" ht="25.5" x14ac:dyDescent="0.2">
      <c r="A17" s="112">
        <f>B17</f>
        <v>0.35199999999999998</v>
      </c>
      <c r="B17" s="113">
        <f>ROUND(E17,3)</f>
        <v>0.35199999999999998</v>
      </c>
      <c r="C17" s="43">
        <v>1</v>
      </c>
      <c r="D17" s="47" t="str">
        <f>VLOOKUP('8-9'!B6,TA[],2,FALSE)</f>
        <v>NOS</v>
      </c>
      <c r="E17" s="208">
        <f>ROUND(F17/$F$22,3)-(SUM(ROUND($F$17/$F$22,3),ROUND($F$18/$F$22,3),ROUND($F$19/$F$22,3),ROUND($F$20/$F$22,3),ROUND($F$21/$F$22,3))-1)/$C$22</f>
        <v>0.35199999999999998</v>
      </c>
      <c r="F17" s="51">
        <f>'8-9'!D6</f>
        <v>717526.35999999801</v>
      </c>
      <c r="G17" s="209">
        <f>H17/$H$22</f>
        <v>0.35924770586631938</v>
      </c>
      <c r="H17" s="52">
        <f>'8-9'!K6</f>
        <v>130482</v>
      </c>
      <c r="I17" s="43" t="str">
        <f>D17</f>
        <v>NOS</v>
      </c>
      <c r="J17" s="43"/>
      <c r="K17" s="43"/>
      <c r="N17" s="113">
        <f>ROUND(G17,3)</f>
        <v>0.35899999999999999</v>
      </c>
      <c r="O17" s="113">
        <f>N17</f>
        <v>0.35899999999999999</v>
      </c>
      <c r="P17" s="1" t="s">
        <v>3</v>
      </c>
      <c r="Q17" s="1" t="s">
        <v>34</v>
      </c>
      <c r="S17" s="6" t="s">
        <v>97</v>
      </c>
      <c r="T17" s="28" t="s">
        <v>520</v>
      </c>
      <c r="V17" s="27" t="s">
        <v>55</v>
      </c>
      <c r="W17" s="26" t="str">
        <f>"AR"</f>
        <v>AR</v>
      </c>
      <c r="X17" s="27" t="s">
        <v>55</v>
      </c>
      <c r="Y17" s="29" t="str">
        <f t="shared" si="2"/>
        <v>Argentina</v>
      </c>
    </row>
    <row r="18" spans="1:25" ht="25.5" x14ac:dyDescent="0.2">
      <c r="A18" s="112">
        <f t="shared" ref="A18:A21" si="5">B18</f>
        <v>0.152</v>
      </c>
      <c r="B18" s="113">
        <f t="shared" ref="B18:B20" si="6">ROUND(E18,3)</f>
        <v>0.152</v>
      </c>
      <c r="C18" s="43">
        <v>2</v>
      </c>
      <c r="D18" s="47" t="str">
        <f>VLOOKUP('8-9'!B7,TA[],2,FALSE)</f>
        <v>CINEMUNDO</v>
      </c>
      <c r="E18" s="208">
        <f t="shared" ref="E18:E21" si="7">ROUND(F18/$F$22,3)-(SUM(ROUND($F$17/$F$22,3),ROUND($F$18/$F$22,3),ROUND($F$19/$F$22,3),ROUND($F$20/$F$22,3),ROUND($F$21/$F$22,3))-1)/$C$22</f>
        <v>0.152</v>
      </c>
      <c r="F18" s="51">
        <f>'8-9'!D7</f>
        <v>309178.08000000101</v>
      </c>
      <c r="G18" s="209">
        <f t="shared" ref="G18:G21" si="8">H18/$H$22</f>
        <v>0.15666186685902608</v>
      </c>
      <c r="H18" s="52">
        <f>'8-9'!K7</f>
        <v>56901</v>
      </c>
      <c r="I18" s="43" t="str">
        <f t="shared" ref="I18:I21" si="9">D18</f>
        <v>CINEMUNDO</v>
      </c>
      <c r="J18" s="43"/>
      <c r="K18" s="43"/>
      <c r="N18" s="113">
        <f t="shared" ref="N18:N20" si="10">ROUND(G18,3)</f>
        <v>0.157</v>
      </c>
      <c r="O18" s="113">
        <f t="shared" ref="O18:O21" si="11">N18</f>
        <v>0.157</v>
      </c>
      <c r="P18" s="1" t="s">
        <v>4</v>
      </c>
      <c r="Q18" s="1" t="s">
        <v>4</v>
      </c>
      <c r="S18" s="6" t="s">
        <v>541</v>
      </c>
      <c r="T18" s="28" t="s">
        <v>537</v>
      </c>
      <c r="V18" s="27" t="s">
        <v>114</v>
      </c>
      <c r="W18" s="26" t="str">
        <f>"AM"</f>
        <v>AM</v>
      </c>
      <c r="X18" s="27" t="s">
        <v>113</v>
      </c>
      <c r="Y18" s="29" t="str">
        <f t="shared" si="2"/>
        <v>Arménia
Armenia</v>
      </c>
    </row>
    <row r="19" spans="1:25" ht="12.75" x14ac:dyDescent="0.2">
      <c r="A19" s="112">
        <f t="shared" si="5"/>
        <v>4.3999999999999997E-2</v>
      </c>
      <c r="B19" s="113">
        <f t="shared" si="6"/>
        <v>4.3999999999999997E-2</v>
      </c>
      <c r="C19" s="43">
        <v>3</v>
      </c>
      <c r="D19" s="47" t="str">
        <f>VLOOKUP('8-9'!B8,TA[],2,FALSE)</f>
        <v>PRIS</v>
      </c>
      <c r="E19" s="208">
        <f t="shared" si="7"/>
        <v>4.3999999999999997E-2</v>
      </c>
      <c r="F19" s="51">
        <f>'8-9'!D8</f>
        <v>90423.640000000101</v>
      </c>
      <c r="G19" s="209">
        <f t="shared" si="8"/>
        <v>4.4561120456816872E-2</v>
      </c>
      <c r="H19" s="52">
        <f>'8-9'!K8</f>
        <v>16185</v>
      </c>
      <c r="I19" s="43" t="str">
        <f t="shared" si="9"/>
        <v>PRIS</v>
      </c>
      <c r="J19" s="43"/>
      <c r="K19" s="43"/>
      <c r="N19" s="113">
        <f t="shared" si="10"/>
        <v>4.4999999999999998E-2</v>
      </c>
      <c r="O19" s="113">
        <f t="shared" si="11"/>
        <v>4.4999999999999998E-2</v>
      </c>
      <c r="P19" s="1" t="s">
        <v>9</v>
      </c>
      <c r="Q19" s="1" t="s">
        <v>38</v>
      </c>
      <c r="S19" s="6"/>
      <c r="T19" s="6"/>
      <c r="V19" s="27" t="s">
        <v>126</v>
      </c>
      <c r="W19" s="26" t="str">
        <f>"AW"</f>
        <v>AW</v>
      </c>
      <c r="X19" s="27" t="s">
        <v>126</v>
      </c>
      <c r="Y19" s="29" t="str">
        <f t="shared" si="2"/>
        <v>Aruba</v>
      </c>
    </row>
    <row r="20" spans="1:25" ht="24" x14ac:dyDescent="0.2">
      <c r="A20" s="112">
        <f t="shared" si="5"/>
        <v>1.2E-2</v>
      </c>
      <c r="B20" s="113">
        <f t="shared" si="6"/>
        <v>1.2E-2</v>
      </c>
      <c r="C20" s="43">
        <v>4</v>
      </c>
      <c r="D20" s="47" t="str">
        <f>VLOOKUP('8-9'!B9,TA[],2,FALSE)</f>
        <v xml:space="preserve">OUTSIDER </v>
      </c>
      <c r="E20" s="208">
        <f t="shared" si="7"/>
        <v>1.2E-2</v>
      </c>
      <c r="F20" s="51">
        <f>'8-9'!D9</f>
        <v>24305.360000000001</v>
      </c>
      <c r="G20" s="209">
        <f t="shared" si="8"/>
        <v>1.4016723153886605E-2</v>
      </c>
      <c r="H20" s="52">
        <f>'8-9'!K9</f>
        <v>5091</v>
      </c>
      <c r="I20" s="43" t="str">
        <f t="shared" si="9"/>
        <v xml:space="preserve">OUTSIDER </v>
      </c>
      <c r="J20" s="43"/>
      <c r="K20" s="43"/>
      <c r="N20" s="113">
        <f t="shared" si="10"/>
        <v>1.4E-2</v>
      </c>
      <c r="O20" s="113">
        <f t="shared" si="11"/>
        <v>1.4E-2</v>
      </c>
      <c r="P20" s="1" t="s">
        <v>5</v>
      </c>
      <c r="Q20" s="1" t="s">
        <v>37</v>
      </c>
      <c r="S20" s="6"/>
      <c r="T20" s="6"/>
      <c r="V20" s="27" t="s">
        <v>125</v>
      </c>
      <c r="W20" s="26" t="str">
        <f>"AU"</f>
        <v>AU</v>
      </c>
      <c r="X20" s="27" t="s">
        <v>124</v>
      </c>
      <c r="Y20" s="29" t="str">
        <f t="shared" si="2"/>
        <v>Austrália
Australia</v>
      </c>
    </row>
    <row r="21" spans="1:25" ht="24" x14ac:dyDescent="0.2">
      <c r="A21" s="112">
        <f t="shared" si="5"/>
        <v>0.44</v>
      </c>
      <c r="B21" s="113">
        <f>ROUND(E21,3)+E23</f>
        <v>0.44</v>
      </c>
      <c r="C21" s="49">
        <v>5</v>
      </c>
      <c r="D21" s="50" t="s">
        <v>85</v>
      </c>
      <c r="E21" s="208">
        <f t="shared" si="7"/>
        <v>0.44</v>
      </c>
      <c r="F21" s="51">
        <f>F22-SUM(F17:F20)</f>
        <v>895484.65999999805</v>
      </c>
      <c r="G21" s="209">
        <f t="shared" si="8"/>
        <v>0.42551258366395106</v>
      </c>
      <c r="H21" s="52">
        <f>H22-SUM(H17:H20)</f>
        <v>154550</v>
      </c>
      <c r="I21" s="43" t="str">
        <f t="shared" si="9"/>
        <v>OUTROS | OTHERS</v>
      </c>
      <c r="J21" s="43"/>
      <c r="K21" s="43"/>
      <c r="N21" s="113">
        <f>ROUND(G21,3)+G23</f>
        <v>0.4250000000000001</v>
      </c>
      <c r="O21" s="113">
        <f t="shared" si="11"/>
        <v>0.4250000000000001</v>
      </c>
      <c r="P21" s="15" t="s">
        <v>50</v>
      </c>
      <c r="Q21" s="15" t="s">
        <v>50</v>
      </c>
      <c r="S21" s="6"/>
      <c r="T21" s="6"/>
      <c r="V21" s="27" t="s">
        <v>123</v>
      </c>
      <c r="W21" s="26" t="str">
        <f>"AT"</f>
        <v>AT</v>
      </c>
      <c r="X21" s="27" t="s">
        <v>122</v>
      </c>
      <c r="Y21" s="29" t="str">
        <f t="shared" si="2"/>
        <v>Áustria
Austria</v>
      </c>
    </row>
    <row r="22" spans="1:25" ht="24" x14ac:dyDescent="0.2">
      <c r="A22" s="112">
        <f>SUM(A17:A21)</f>
        <v>1</v>
      </c>
      <c r="B22" s="113">
        <f>SUM(B17:B21)</f>
        <v>1</v>
      </c>
      <c r="C22" s="43">
        <f>COUNT(C17:C21)</f>
        <v>5</v>
      </c>
      <c r="D22" s="43" t="s">
        <v>12</v>
      </c>
      <c r="E22" s="210">
        <f>ROUND(E17,3)+ROUND(E18,3)+ROUND(E19,3)+ROUND(E20,3)+ROUND(E21,3)</f>
        <v>1</v>
      </c>
      <c r="F22" s="51">
        <f>'8-9'!D16</f>
        <v>2036918.0999999973</v>
      </c>
      <c r="G22" s="209">
        <f>ROUND(G17,3)+ROUND(G18,3)+ROUND(G19,3)+ROUND(G20,3)+ROUND(G21,3)</f>
        <v>1.0010000000000001</v>
      </c>
      <c r="H22" s="52">
        <f>'8-9'!K16</f>
        <v>363209</v>
      </c>
      <c r="I22" s="43" t="s">
        <v>12</v>
      </c>
      <c r="J22" s="43"/>
      <c r="K22" s="43"/>
      <c r="N22" s="113">
        <f>SUM(N17:N21)</f>
        <v>1.0000000000000002</v>
      </c>
      <c r="O22" s="113">
        <f>SUM(O17:O21)</f>
        <v>1.0000000000000002</v>
      </c>
      <c r="P22" s="32" t="s">
        <v>525</v>
      </c>
      <c r="Q22" s="33" t="s">
        <v>527</v>
      </c>
      <c r="V22" s="27" t="s">
        <v>130</v>
      </c>
      <c r="W22" s="26" t="str">
        <f>"AZ"</f>
        <v>AZ</v>
      </c>
      <c r="X22" s="27" t="s">
        <v>129</v>
      </c>
      <c r="Y22" s="29" t="str">
        <f t="shared" si="2"/>
        <v>Azerbaijão
Azerbaijan</v>
      </c>
    </row>
    <row r="23" spans="1:25" x14ac:dyDescent="0.2">
      <c r="D23" s="16"/>
      <c r="E23" s="211">
        <f>1-ROUND(E22,3)</f>
        <v>0</v>
      </c>
      <c r="F23" s="212"/>
      <c r="G23" s="211">
        <f>1-ROUND(G22,3)</f>
        <v>-9.9999999999988987E-4</v>
      </c>
      <c r="H23" s="92"/>
      <c r="I23" s="16"/>
      <c r="J23" s="16"/>
      <c r="K23" s="16"/>
      <c r="L23" s="16"/>
      <c r="M23" s="16"/>
      <c r="N23" s="106"/>
      <c r="O23" s="106"/>
      <c r="P23" s="104" t="s">
        <v>538</v>
      </c>
      <c r="Q23" s="13" t="s">
        <v>582</v>
      </c>
      <c r="V23" s="27" t="s">
        <v>150</v>
      </c>
      <c r="W23" s="26" t="str">
        <f>"BS"</f>
        <v>BS</v>
      </c>
      <c r="X23" s="27" t="s">
        <v>150</v>
      </c>
      <c r="Y23" s="29" t="str">
        <f t="shared" si="2"/>
        <v>Bahamas</v>
      </c>
    </row>
    <row r="24" spans="1:25" x14ac:dyDescent="0.2">
      <c r="D24" s="16"/>
      <c r="E24" s="16"/>
      <c r="G24" s="16"/>
      <c r="H24" s="16"/>
      <c r="I24" s="16"/>
      <c r="J24" s="16"/>
      <c r="K24" s="16"/>
      <c r="L24" s="16"/>
      <c r="M24" s="16"/>
      <c r="P24" s="1" t="s">
        <v>6</v>
      </c>
      <c r="Q24" s="1" t="s">
        <v>35</v>
      </c>
      <c r="V24" s="27" t="s">
        <v>133</v>
      </c>
      <c r="W24" s="26" t="str">
        <f>"BD"</f>
        <v>BD</v>
      </c>
      <c r="X24" s="27" t="s">
        <v>133</v>
      </c>
      <c r="Y24" s="29" t="str">
        <f t="shared" si="2"/>
        <v>Bangladesh</v>
      </c>
    </row>
    <row r="25" spans="1:25" x14ac:dyDescent="0.2">
      <c r="C25" s="282" t="s">
        <v>28</v>
      </c>
      <c r="D25" s="282"/>
      <c r="E25" s="282"/>
      <c r="F25" s="282"/>
      <c r="G25" s="282"/>
      <c r="H25" s="282"/>
      <c r="I25" s="203"/>
      <c r="J25" s="203"/>
      <c r="K25" s="203"/>
      <c r="L25" s="203"/>
      <c r="M25" s="203"/>
      <c r="P25" s="15" t="s">
        <v>18</v>
      </c>
      <c r="Q25" s="15" t="s">
        <v>45</v>
      </c>
      <c r="V25" s="27" t="s">
        <v>132</v>
      </c>
      <c r="W25" s="26" t="str">
        <f>"BB"</f>
        <v>BB</v>
      </c>
      <c r="X25" s="27" t="s">
        <v>132</v>
      </c>
      <c r="Y25" s="29" t="str">
        <f t="shared" si="2"/>
        <v>Barbados</v>
      </c>
    </row>
    <row r="26" spans="1:25" ht="24" x14ac:dyDescent="0.2">
      <c r="C26" s="283" t="s">
        <v>10</v>
      </c>
      <c r="D26" s="283"/>
      <c r="E26" s="283"/>
      <c r="F26" s="283"/>
      <c r="G26" s="283"/>
      <c r="H26" s="283"/>
      <c r="I26" s="90"/>
      <c r="J26" s="90"/>
      <c r="K26" s="90"/>
      <c r="L26" s="90"/>
      <c r="M26" s="90"/>
      <c r="P26" s="1" t="s">
        <v>809</v>
      </c>
      <c r="Q26" s="1" t="s">
        <v>81</v>
      </c>
      <c r="V26" s="27" t="s">
        <v>138</v>
      </c>
      <c r="W26" s="26" t="str">
        <f>"BH"</f>
        <v>BH</v>
      </c>
      <c r="X26" s="27" t="s">
        <v>137</v>
      </c>
      <c r="Y26" s="29" t="str">
        <f t="shared" si="2"/>
        <v>Barém
Bahrain</v>
      </c>
    </row>
    <row r="27" spans="1:25" ht="24" x14ac:dyDescent="0.2">
      <c r="C27" s="43"/>
      <c r="D27" s="43"/>
      <c r="E27" s="35" t="str">
        <f>"RECEITA | GBO - "&amp;MENU!$A$1</f>
        <v>RECEITA | GBO - 2015</v>
      </c>
      <c r="F27" s="43"/>
      <c r="G27" s="287" t="str">
        <f>"ESPETADORES | ADMISSIONS - "&amp;MENU!$A$1</f>
        <v>ESPETADORES | ADMISSIONS - 2015</v>
      </c>
      <c r="H27" s="288"/>
      <c r="I27" s="289"/>
      <c r="J27" s="285" t="s">
        <v>902</v>
      </c>
      <c r="K27" s="286"/>
      <c r="L27" s="286"/>
      <c r="M27" s="217"/>
      <c r="P27" s="138" t="s">
        <v>743</v>
      </c>
      <c r="Q27" s="13" t="s">
        <v>743</v>
      </c>
      <c r="V27" s="27" t="s">
        <v>75</v>
      </c>
      <c r="W27" s="26" t="str">
        <f>"BE"</f>
        <v>BE</v>
      </c>
      <c r="X27" s="27" t="s">
        <v>134</v>
      </c>
      <c r="Y27" s="29" t="str">
        <f t="shared" si="2"/>
        <v>Bélgica
Belgium</v>
      </c>
    </row>
    <row r="28" spans="1:25" x14ac:dyDescent="0.2">
      <c r="A28" s="112">
        <f>B28</f>
        <v>0.64500000000000002</v>
      </c>
      <c r="B28" s="113">
        <f>ROUND(E28,3)</f>
        <v>0.64500000000000002</v>
      </c>
      <c r="C28" s="43">
        <v>1</v>
      </c>
      <c r="D28" s="47" t="str">
        <f>VLOOKUP('12-13-14'!B7,TA[],2,FALSE)</f>
        <v>NOS</v>
      </c>
      <c r="E28" s="53">
        <f>ROUND(F28/F33,3)-(SUM(ROUND(F28/F33,3),ROUND(F29/F33,3),ROUND(F30/F33,3),ROUND(F31/F33,3),ROUND(F32/F33,3))-1)/$C$33</f>
        <v>0.64500000000000002</v>
      </c>
      <c r="F28" s="51">
        <f>'12-13-14'!D7</f>
        <v>1314414.69</v>
      </c>
      <c r="G28" s="223" t="str">
        <f>VLOOKUP('12-13-14'!J7,TA[],2,FALSE)</f>
        <v>NOS</v>
      </c>
      <c r="H28" s="53">
        <f>ROUND(I28/I33,3)-(SUM(ROUND(I28/I33,3),ROUND(I29/I33,3),ROUND(I30/I33,3),ROUND(I31/I33,3),ROUND(I32/I33,3))-1)/$C$33</f>
        <v>0.629</v>
      </c>
      <c r="I28" s="224">
        <f>'12-13-14'!L7</f>
        <v>228547</v>
      </c>
      <c r="J28" s="219">
        <f>ROUND(K28/K33,3)-(SUM(ROUND(K28/K33,3),ROUND(K29/K33,3),ROUND(K30/K33,3),ROUND(K31/K33,3),ROUND(K32/K33,3))-1)/$C$33</f>
        <v>0.42980000000000002</v>
      </c>
      <c r="K28" s="52">
        <f>'12-13-14'!T7</f>
        <v>208</v>
      </c>
      <c r="L28" s="47" t="str">
        <f>VLOOKUP('12-13-14'!R7,TA[],2,FALSE)</f>
        <v>NOS</v>
      </c>
      <c r="M28" s="218"/>
      <c r="N28" s="113">
        <f>ROUND(H28,3)</f>
        <v>0.629</v>
      </c>
      <c r="O28" s="113">
        <f>N28</f>
        <v>0.629</v>
      </c>
      <c r="P28" s="15" t="s">
        <v>85</v>
      </c>
      <c r="Q28" s="15" t="s">
        <v>811</v>
      </c>
      <c r="V28" s="27" t="s">
        <v>158</v>
      </c>
      <c r="W28" s="26" t="str">
        <f>"BZ"</f>
        <v>BZ</v>
      </c>
      <c r="X28" s="27" t="s">
        <v>158</v>
      </c>
      <c r="Y28" s="29" t="str">
        <f t="shared" si="2"/>
        <v>Belize</v>
      </c>
    </row>
    <row r="29" spans="1:25" ht="24" x14ac:dyDescent="0.2">
      <c r="A29" s="112">
        <f t="shared" ref="A29:A32" si="12">B29</f>
        <v>0.11899999999999999</v>
      </c>
      <c r="B29" s="113">
        <f t="shared" ref="B29:B31" si="13">ROUND(E29,3)</f>
        <v>0.11899999999999999</v>
      </c>
      <c r="C29" s="43">
        <v>2</v>
      </c>
      <c r="D29" s="47" t="str">
        <f>VLOOKUP('12-13-14'!B8,TA[],2,FALSE)</f>
        <v>UCI</v>
      </c>
      <c r="E29" s="53">
        <f>ROUND(F29/F33,3)-(SUM(ROUND(F28/F33,3),ROUND(F29/F33,3),ROUND(F30/F33,3),ROUND(F31/F33,3),ROUND(F32/F33,3))-1)/C33</f>
        <v>0.11899999999999999</v>
      </c>
      <c r="F29" s="51">
        <f>'12-13-14'!D8</f>
        <v>242085.96</v>
      </c>
      <c r="G29" s="223" t="str">
        <f>VLOOKUP('12-13-14'!J8,TA[],2,FALSE)</f>
        <v>UCI</v>
      </c>
      <c r="H29" s="53">
        <f>ROUND(I29/I33,3)-(SUM(ROUND(I28/I33,3),ROUND(I29/I33,3),ROUND(I30/I33,3),ROUND(I31/I33,3),ROUND(I32/I33,3))-1)/$C$33</f>
        <v>0.123</v>
      </c>
      <c r="I29" s="224">
        <f>'12-13-14'!$L$8</f>
        <v>44582</v>
      </c>
      <c r="J29" s="219">
        <f>ROUND(K29/K33,3)-(SUM(ROUND(K28/K33,3),ROUND(K29/K33,3),ROUND(K30/K33,3),ROUND(K31/K33,3),ROUND(K32/K33,3))-1)/$C$33</f>
        <v>0.15880000000000002</v>
      </c>
      <c r="K29" s="52">
        <f>'12-13-14'!T8</f>
        <v>77</v>
      </c>
      <c r="L29" s="47" t="str">
        <f>VLOOKUP('12-13-14'!R8,TA[],2,FALSE)</f>
        <v>CINEPLACE</v>
      </c>
      <c r="M29" s="218"/>
      <c r="N29" s="113">
        <f>ROUND(H29,3)</f>
        <v>0.123</v>
      </c>
      <c r="O29" s="113">
        <f t="shared" ref="O29:O32" si="14">N29</f>
        <v>0.123</v>
      </c>
      <c r="P29" s="105" t="s">
        <v>583</v>
      </c>
      <c r="Q29" s="105" t="s">
        <v>584</v>
      </c>
      <c r="V29" s="27" t="s">
        <v>141</v>
      </c>
      <c r="W29" s="26" t="str">
        <f>"BJ"</f>
        <v>BJ</v>
      </c>
      <c r="X29" s="27" t="s">
        <v>140</v>
      </c>
      <c r="Y29" s="29" t="str">
        <f t="shared" si="2"/>
        <v>Benim
Benin</v>
      </c>
    </row>
    <row r="30" spans="1:25" ht="24" x14ac:dyDescent="0.2">
      <c r="A30" s="112">
        <f t="shared" si="12"/>
        <v>7.1999999999999995E-2</v>
      </c>
      <c r="B30" s="113">
        <f t="shared" si="13"/>
        <v>7.1999999999999995E-2</v>
      </c>
      <c r="C30" s="43">
        <v>3</v>
      </c>
      <c r="D30" s="47" t="str">
        <f>VLOOKUP('12-13-14'!B9,TA[],2,FALSE)</f>
        <v>CINEPLACE</v>
      </c>
      <c r="E30" s="53">
        <f>ROUND(F30/F33,3)-(SUM(ROUND(F28/F33,3),ROUND(F29/F33,3),ROUND(F30/F33,3),ROUND(F31/F33,3),ROUND(F32/F33,3))-1)/C33</f>
        <v>7.1999999999999995E-2</v>
      </c>
      <c r="F30" s="51">
        <f>'12-13-14'!D9</f>
        <v>147314.70000000001</v>
      </c>
      <c r="G30" s="223" t="str">
        <f>VLOOKUP('12-13-14'!J9,TA[],2,FALSE)</f>
        <v>CINEPLACE</v>
      </c>
      <c r="H30" s="53">
        <f>ROUND(I30/I33,3)-(SUM(ROUND(I28/I33,3),ROUND(I29/I33,3),ROUND(I30/I33,3),ROUND(I31/I33,3),ROUND(I32/I33,3))-1)/$C$33</f>
        <v>7.3999999999999996E-2</v>
      </c>
      <c r="I30" s="224">
        <f>'12-13-14'!L9</f>
        <v>27034</v>
      </c>
      <c r="J30" s="219">
        <f>ROUND(K30/K33,3)-(SUM(ROUND(K28/K33,3),ROUND(K29/K33,3),ROUND(K30/K33,3),ROUND(K31/K33,3),ROUND(K32/K33,3))-1)/$C$33</f>
        <v>8.6800000000000016E-2</v>
      </c>
      <c r="K30" s="52">
        <f>'12-13-14'!T9</f>
        <v>42</v>
      </c>
      <c r="L30" s="47" t="str">
        <f>VLOOKUP('12-13-14'!R9,TA[],2,FALSE)</f>
        <v>NLC</v>
      </c>
      <c r="M30" s="218"/>
      <c r="N30" s="113">
        <f>ROUND(H30,3)</f>
        <v>7.3999999999999996E-2</v>
      </c>
      <c r="O30" s="113">
        <f t="shared" si="14"/>
        <v>7.3999999999999996E-2</v>
      </c>
      <c r="P30" s="15" t="s">
        <v>53</v>
      </c>
      <c r="Q30" s="15" t="s">
        <v>53</v>
      </c>
      <c r="V30" s="27" t="s">
        <v>145</v>
      </c>
      <c r="W30" s="26" t="str">
        <f>"BM"</f>
        <v>BM</v>
      </c>
      <c r="X30" s="27" t="s">
        <v>144</v>
      </c>
      <c r="Y30" s="29" t="str">
        <f t="shared" si="2"/>
        <v>Bermudas
Bermuda</v>
      </c>
    </row>
    <row r="31" spans="1:25" ht="24" x14ac:dyDescent="0.2">
      <c r="A31" s="112">
        <f t="shared" si="12"/>
        <v>5.7000000000000002E-2</v>
      </c>
      <c r="B31" s="113">
        <f t="shared" si="13"/>
        <v>5.7000000000000002E-2</v>
      </c>
      <c r="C31" s="43">
        <v>4</v>
      </c>
      <c r="D31" s="47" t="str">
        <f>VLOOKUP('12-13-14'!B10,TA[],2,FALSE)</f>
        <v>NLC</v>
      </c>
      <c r="E31" s="53">
        <f>ROUND(F31/F33,3)-(SUM(ROUND(F28/F33,3),ROUND(F29/F33,3),ROUND(F30/F33,3),ROUND(F31/F33,3),ROUND(F32/F33,3))-1)/C33</f>
        <v>5.7000000000000002E-2</v>
      </c>
      <c r="F31" s="51">
        <f>'12-13-14'!D10</f>
        <v>115499.7</v>
      </c>
      <c r="G31" s="223" t="str">
        <f>VLOOKUP('12-13-14'!J10,TA[],2,FALSE)</f>
        <v>NLC</v>
      </c>
      <c r="H31" s="53">
        <f>ROUND(I31/I33,3)-(SUM(ROUND(I28/I33,3),ROUND(I29/I33,3),ROUND(I30/I33,3),ROUND(I31/I33,3),ROUND(I32/I33,3))-1)/$C$33</f>
        <v>5.3999999999999999E-2</v>
      </c>
      <c r="I31" s="224">
        <f>'12-13-14'!$L$10</f>
        <v>19443</v>
      </c>
      <c r="J31" s="219">
        <f>ROUND(K31/K33,3)-(SUM(ROUND(K28/K33,3),ROUND(K29/K33,3),ROUND(K30/K33,3),ROUND(K31/K33,3),ROUND(K32/K33,3))-1)/$C$33</f>
        <v>8.8800000000000018E-2</v>
      </c>
      <c r="K31" s="52">
        <f>'12-13-14'!T10</f>
        <v>43</v>
      </c>
      <c r="L31" s="47" t="str">
        <f>VLOOKUP('12-13-14'!R10,TA[],2,FALSE)</f>
        <v>UCI</v>
      </c>
      <c r="M31" s="218"/>
      <c r="N31" s="113">
        <f>ROUND(H31,3)</f>
        <v>5.3999999999999999E-2</v>
      </c>
      <c r="O31" s="113">
        <f t="shared" si="14"/>
        <v>5.3999999999999999E-2</v>
      </c>
      <c r="P31" s="13" t="s">
        <v>63</v>
      </c>
      <c r="Q31" s="13" t="s">
        <v>66</v>
      </c>
      <c r="V31" s="27" t="s">
        <v>157</v>
      </c>
      <c r="W31" s="26" t="str">
        <f>"BY"</f>
        <v>BY</v>
      </c>
      <c r="X31" s="27" t="s">
        <v>156</v>
      </c>
      <c r="Y31" s="29" t="str">
        <f t="shared" si="2"/>
        <v>Bielorrússia
Belarus</v>
      </c>
    </row>
    <row r="32" spans="1:25" ht="24" x14ac:dyDescent="0.2">
      <c r="A32" s="112">
        <f t="shared" si="12"/>
        <v>0.107</v>
      </c>
      <c r="B32" s="113">
        <f>ROUND(E32,3)+E34</f>
        <v>0.107</v>
      </c>
      <c r="C32" s="49">
        <v>5</v>
      </c>
      <c r="D32" s="50" t="s">
        <v>531</v>
      </c>
      <c r="E32" s="54">
        <f>1-ROUND(E28,3)-ROUND(E29,3)-ROUND(E30,3)-ROUND(E31,3)</f>
        <v>0.10699999999999998</v>
      </c>
      <c r="F32" s="222">
        <f>SUM('12-13-14'!D11:D18)</f>
        <v>217603.05</v>
      </c>
      <c r="G32" s="225" t="s">
        <v>531</v>
      </c>
      <c r="H32" s="54">
        <f>1-ROUND(H28,3)-ROUND(H29,3)-ROUND(H30,3)-ROUND(H31,3)</f>
        <v>0.12</v>
      </c>
      <c r="I32" s="226">
        <f>SUM('12-13-14'!L11:L18)</f>
        <v>43603</v>
      </c>
      <c r="J32" s="220">
        <f>1-ROUND(J28,3)-ROUND(J29,3)-ROUND(J30,3)-ROUND(J31,3)</f>
        <v>0.23500000000000007</v>
      </c>
      <c r="K32" s="204">
        <f>SUM('12-13-14'!T11:T17)</f>
        <v>114</v>
      </c>
      <c r="L32" s="50" t="s">
        <v>531</v>
      </c>
      <c r="M32" s="218"/>
      <c r="N32" s="113">
        <f>ROUND(H32,3)+H34</f>
        <v>0.12</v>
      </c>
      <c r="O32" s="113">
        <f t="shared" si="14"/>
        <v>0.12</v>
      </c>
      <c r="P32" s="15" t="s">
        <v>21</v>
      </c>
      <c r="Q32" s="15" t="s">
        <v>66</v>
      </c>
      <c r="V32" s="27" t="s">
        <v>148</v>
      </c>
      <c r="W32" s="26" t="str">
        <f>"BO"</f>
        <v>BO</v>
      </c>
      <c r="X32" s="27" t="s">
        <v>147</v>
      </c>
      <c r="Y32" s="29" t="str">
        <f t="shared" si="2"/>
        <v>Bolívia, Estado Plurinacional da
Bolivia, Plurinational State of</v>
      </c>
    </row>
    <row r="33" spans="1:25" ht="24" x14ac:dyDescent="0.2">
      <c r="A33" s="112">
        <f>SUM(A28:A32)</f>
        <v>1</v>
      </c>
      <c r="B33" s="113">
        <f>SUM(B28:B32)</f>
        <v>1</v>
      </c>
      <c r="C33" s="43">
        <f>COUNT(C28:C32)</f>
        <v>5</v>
      </c>
      <c r="D33" s="43" t="s">
        <v>12</v>
      </c>
      <c r="E33" s="53">
        <f>ROUND(E28,3)+ROUND(E29,3)+ROUND(E30,3)+ROUND(E31,3)+ROUND(E32,3)</f>
        <v>1</v>
      </c>
      <c r="F33" s="87">
        <f>'12-13-14'!D19</f>
        <v>2036918.0999999994</v>
      </c>
      <c r="G33" s="227" t="s">
        <v>12</v>
      </c>
      <c r="H33" s="53">
        <f>ROUND(H28,3)+ROUND(H29,3)+ROUND(H30,3)+ROUND(H31,3)+ROUND(H32,3)</f>
        <v>1</v>
      </c>
      <c r="I33" s="228">
        <f>'12-13-14'!L19</f>
        <v>363209</v>
      </c>
      <c r="J33" s="219">
        <f>ROUND(J28,3)+ROUND(J29,3)+ROUND(J30,3)+ROUND(J31,3)+ROUND(J32,3)</f>
        <v>0.99999999999999989</v>
      </c>
      <c r="K33" s="221">
        <f>'12-13-14'!T18</f>
        <v>484</v>
      </c>
      <c r="L33" s="43" t="s">
        <v>12</v>
      </c>
      <c r="N33" s="113">
        <f>SUM(N28:N32)</f>
        <v>1</v>
      </c>
      <c r="O33" s="113">
        <f>SUM(O28:O32)</f>
        <v>1</v>
      </c>
      <c r="P33" s="1" t="s">
        <v>7</v>
      </c>
      <c r="Q33" s="1" t="s">
        <v>36</v>
      </c>
      <c r="V33" s="27" t="s">
        <v>68</v>
      </c>
      <c r="W33" s="26" t="str">
        <f>"BA"</f>
        <v>BA</v>
      </c>
      <c r="X33" s="27" t="s">
        <v>131</v>
      </c>
      <c r="Y33" s="29" t="str">
        <f t="shared" si="2"/>
        <v>Bósnia-Herzegovina
Bosnia and Herzegovina</v>
      </c>
    </row>
    <row r="34" spans="1:25" x14ac:dyDescent="0.2">
      <c r="E34" s="211">
        <f>1-ROUND(E33,3)</f>
        <v>0</v>
      </c>
      <c r="H34" s="211">
        <f>1-ROUND(H33,3)</f>
        <v>0</v>
      </c>
      <c r="J34" s="211">
        <f>1-ROUND(J33,3)</f>
        <v>0</v>
      </c>
      <c r="K34" s="215"/>
      <c r="P34" s="1" t="s">
        <v>32</v>
      </c>
      <c r="Q34" s="14" t="s">
        <v>32</v>
      </c>
      <c r="V34" s="27" t="s">
        <v>155</v>
      </c>
      <c r="W34" s="26" t="str">
        <f>"BW"</f>
        <v>BW</v>
      </c>
      <c r="X34" s="27" t="s">
        <v>155</v>
      </c>
      <c r="Y34" s="29" t="str">
        <f t="shared" si="2"/>
        <v>Botswana</v>
      </c>
    </row>
    <row r="35" spans="1:25" ht="24" x14ac:dyDescent="0.2">
      <c r="P35" s="1" t="s">
        <v>8</v>
      </c>
      <c r="Q35" s="1" t="s">
        <v>8</v>
      </c>
      <c r="V35" s="27" t="s">
        <v>57</v>
      </c>
      <c r="W35" s="26" t="str">
        <f>"BR"</f>
        <v>BR</v>
      </c>
      <c r="X35" s="27" t="s">
        <v>149</v>
      </c>
      <c r="Y35" s="29" t="str">
        <f t="shared" si="2"/>
        <v>Brasil
Brazil</v>
      </c>
    </row>
    <row r="36" spans="1:25" ht="12" customHeight="1" x14ac:dyDescent="0.2">
      <c r="C36" s="281" t="s">
        <v>532</v>
      </c>
      <c r="D36" s="281"/>
      <c r="E36" s="281"/>
      <c r="F36" s="281"/>
      <c r="G36" s="281"/>
      <c r="H36" s="281"/>
      <c r="I36" s="91"/>
      <c r="J36" s="91"/>
      <c r="K36" s="91"/>
      <c r="L36" s="91"/>
      <c r="M36" s="91"/>
      <c r="P36" s="1" t="s">
        <v>15</v>
      </c>
      <c r="Q36" s="13" t="s">
        <v>15</v>
      </c>
      <c r="V36" s="27" t="s">
        <v>146</v>
      </c>
      <c r="W36" s="26" t="str">
        <f>"BN"</f>
        <v>BN</v>
      </c>
      <c r="X36" s="27" t="s">
        <v>146</v>
      </c>
      <c r="Y36" s="29" t="str">
        <f t="shared" si="2"/>
        <v>Brunei Darussalam</v>
      </c>
    </row>
    <row r="37" spans="1:25" ht="24" x14ac:dyDescent="0.2">
      <c r="C37" s="213"/>
      <c r="D37" s="39" t="s">
        <v>529</v>
      </c>
      <c r="E37" s="39" t="s">
        <v>528</v>
      </c>
      <c r="F37" s="39" t="s">
        <v>530</v>
      </c>
      <c r="G37" s="39" t="s">
        <v>531</v>
      </c>
      <c r="H37" s="213"/>
      <c r="I37" s="214"/>
      <c r="J37" s="214"/>
      <c r="K37" s="214"/>
      <c r="L37" s="214"/>
      <c r="M37" s="214"/>
      <c r="P37" s="15" t="s">
        <v>22</v>
      </c>
      <c r="Q37" s="15" t="s">
        <v>41</v>
      </c>
      <c r="V37" s="27" t="s">
        <v>59</v>
      </c>
      <c r="W37" s="26" t="str">
        <f>"BG"</f>
        <v>BG</v>
      </c>
      <c r="X37" s="27" t="s">
        <v>136</v>
      </c>
      <c r="Y37" s="29" t="str">
        <f t="shared" si="2"/>
        <v>Bulgária
Bulgaria</v>
      </c>
    </row>
    <row r="38" spans="1:25" ht="22.5" x14ac:dyDescent="0.2">
      <c r="C38" s="55" t="s">
        <v>533</v>
      </c>
      <c r="D38" s="56">
        <f>'10-11'!E5/'10-11'!$E$15</f>
        <v>0.52500000000000002</v>
      </c>
      <c r="E38" s="56">
        <f>'10-11'!E10/'10-11'!$E$15</f>
        <v>6.6666666666666666E-2</v>
      </c>
      <c r="F38" s="56">
        <f>'10-11'!E11/'10-11'!$E$15</f>
        <v>0.32500000000000001</v>
      </c>
      <c r="G38" s="56">
        <f>'10-11'!E14/'10-11'!$E$15</f>
        <v>8.3333333333333329E-2</v>
      </c>
      <c r="H38" s="57">
        <f>SUM(D40:G40)</f>
        <v>1</v>
      </c>
      <c r="I38" s="92"/>
      <c r="J38" s="92"/>
      <c r="K38" s="92"/>
      <c r="L38" s="92"/>
      <c r="M38" s="92"/>
      <c r="P38" s="107" t="s">
        <v>589</v>
      </c>
      <c r="Q38" s="107" t="s">
        <v>590</v>
      </c>
      <c r="R38" s="2"/>
      <c r="V38" s="27" t="s">
        <v>135</v>
      </c>
      <c r="W38" s="26" t="str">
        <f>"BF"</f>
        <v>BF</v>
      </c>
      <c r="X38" s="27" t="s">
        <v>135</v>
      </c>
      <c r="Y38" s="29" t="str">
        <f t="shared" si="2"/>
        <v>Burkina Faso</v>
      </c>
    </row>
    <row r="39" spans="1:25" ht="12" customHeight="1" x14ac:dyDescent="0.2">
      <c r="C39" s="213"/>
      <c r="D39" s="58">
        <f>D38</f>
        <v>0.52500000000000002</v>
      </c>
      <c r="E39" s="58">
        <f>E38</f>
        <v>6.6666666666666666E-2</v>
      </c>
      <c r="F39" s="58">
        <f>F38</f>
        <v>0.32500000000000001</v>
      </c>
      <c r="G39" s="58">
        <f>G38</f>
        <v>8.3333333333333329E-2</v>
      </c>
      <c r="H39" s="213"/>
      <c r="I39" s="214"/>
      <c r="J39" s="214"/>
      <c r="K39" s="214"/>
      <c r="L39" s="214"/>
      <c r="M39" s="214"/>
      <c r="P39" s="15" t="s">
        <v>17</v>
      </c>
      <c r="Q39" s="15" t="s">
        <v>42</v>
      </c>
      <c r="R39" s="2"/>
      <c r="V39" s="27" t="s">
        <v>139</v>
      </c>
      <c r="W39" s="26" t="str">
        <f>"BI"</f>
        <v>BI</v>
      </c>
      <c r="X39" s="27" t="s">
        <v>139</v>
      </c>
      <c r="Y39" s="29" t="str">
        <f t="shared" si="2"/>
        <v>Burundi</v>
      </c>
    </row>
    <row r="40" spans="1:25" ht="24" x14ac:dyDescent="0.2">
      <c r="C40" s="59" t="s">
        <v>534</v>
      </c>
      <c r="D40" s="56">
        <f>'10-11'!C5/'10-11'!$C$15</f>
        <v>0.66666666666666663</v>
      </c>
      <c r="E40" s="56">
        <f>'10-11'!C10/'10-11'!$C$15</f>
        <v>3.7037037037037035E-2</v>
      </c>
      <c r="F40" s="56">
        <f>'10-11'!C11/'10-11'!$C$15</f>
        <v>0.25925925925925924</v>
      </c>
      <c r="G40" s="56">
        <f>'10-11'!C14/'10-11'!$C$15</f>
        <v>3.7037037037037035E-2</v>
      </c>
      <c r="H40" s="57">
        <f>SUM(D38:G38)</f>
        <v>1</v>
      </c>
      <c r="I40" s="92"/>
      <c r="J40" s="92"/>
      <c r="K40" s="92"/>
      <c r="L40" s="92"/>
      <c r="M40" s="92"/>
      <c r="P40" s="15" t="s">
        <v>756</v>
      </c>
      <c r="Q40" s="15" t="s">
        <v>755</v>
      </c>
      <c r="R40" s="2"/>
      <c r="V40" s="27" t="s">
        <v>152</v>
      </c>
      <c r="W40" s="26" t="str">
        <f>"BT"</f>
        <v>BT</v>
      </c>
      <c r="X40" s="27" t="s">
        <v>151</v>
      </c>
      <c r="Y40" s="29" t="str">
        <f t="shared" si="2"/>
        <v>Butão
Bhutan</v>
      </c>
    </row>
    <row r="41" spans="1:25" ht="24" x14ac:dyDescent="0.2">
      <c r="C41" s="59"/>
      <c r="D41" s="60">
        <f>D40</f>
        <v>0.66666666666666663</v>
      </c>
      <c r="E41" s="60">
        <f>E40</f>
        <v>3.7037037037037035E-2</v>
      </c>
      <c r="F41" s="60">
        <f>F40</f>
        <v>0.25925925925925924</v>
      </c>
      <c r="G41" s="60">
        <f>G40</f>
        <v>3.7037037037037035E-2</v>
      </c>
      <c r="H41" s="213"/>
      <c r="I41" s="214"/>
      <c r="J41" s="214"/>
      <c r="K41" s="214"/>
      <c r="L41" s="214"/>
      <c r="M41" s="214"/>
      <c r="P41" s="1" t="s">
        <v>754</v>
      </c>
      <c r="Q41" s="13" t="s">
        <v>755</v>
      </c>
      <c r="R41" s="2"/>
      <c r="V41" s="27" t="s">
        <v>70</v>
      </c>
      <c r="W41" s="26" t="str">
        <f>"CV"</f>
        <v>CV</v>
      </c>
      <c r="X41" s="27" t="s">
        <v>180</v>
      </c>
      <c r="Y41" s="29" t="str">
        <f t="shared" si="2"/>
        <v>Cabo Verde
Cape Verde</v>
      </c>
    </row>
    <row r="42" spans="1:25" ht="24" x14ac:dyDescent="0.2">
      <c r="B42" s="34"/>
      <c r="C42" s="16"/>
      <c r="D42" s="16"/>
      <c r="E42" s="16"/>
      <c r="F42" s="16"/>
      <c r="G42" s="214"/>
      <c r="P42" s="138" t="s">
        <v>810</v>
      </c>
      <c r="Q42" s="13" t="s">
        <v>810</v>
      </c>
      <c r="R42" s="2"/>
      <c r="V42" s="27" t="s">
        <v>174</v>
      </c>
      <c r="W42" s="26" t="str">
        <f>"CM"</f>
        <v>CM</v>
      </c>
      <c r="X42" s="27" t="s">
        <v>173</v>
      </c>
      <c r="Y42" s="29" t="str">
        <f t="shared" si="2"/>
        <v>Camarões
Cameroon</v>
      </c>
    </row>
    <row r="43" spans="1:25" ht="24" customHeight="1" x14ac:dyDescent="0.2">
      <c r="C43" s="281" t="s">
        <v>535</v>
      </c>
      <c r="D43" s="281"/>
      <c r="E43" s="281"/>
      <c r="F43" s="281"/>
      <c r="G43" s="281"/>
      <c r="H43" s="281"/>
      <c r="I43" s="91"/>
      <c r="J43" s="91"/>
      <c r="K43" s="91"/>
      <c r="L43" s="91"/>
      <c r="M43" s="91"/>
      <c r="P43" s="236" t="s">
        <v>922</v>
      </c>
      <c r="Q43" s="237" t="s">
        <v>922</v>
      </c>
      <c r="R43" s="2"/>
      <c r="V43" s="27" t="s">
        <v>292</v>
      </c>
      <c r="W43" s="26" t="str">
        <f>"KH"</f>
        <v>KH</v>
      </c>
      <c r="X43" s="27" t="s">
        <v>291</v>
      </c>
      <c r="Y43" s="29" t="str">
        <f t="shared" si="2"/>
        <v>Camboja
Cambodia</v>
      </c>
    </row>
    <row r="44" spans="1:25" ht="24" x14ac:dyDescent="0.2">
      <c r="C44" s="213"/>
      <c r="D44" s="39" t="s">
        <v>529</v>
      </c>
      <c r="E44" s="39" t="s">
        <v>528</v>
      </c>
      <c r="F44" s="39" t="s">
        <v>530</v>
      </c>
      <c r="G44" s="39" t="s">
        <v>531</v>
      </c>
      <c r="H44" s="213"/>
      <c r="I44" s="214"/>
      <c r="J44" s="214"/>
      <c r="K44" s="214"/>
      <c r="L44" s="214"/>
      <c r="M44" s="214"/>
      <c r="P44" s="6"/>
      <c r="Q44" s="6"/>
      <c r="R44" s="2"/>
      <c r="V44" s="27" t="s">
        <v>90</v>
      </c>
      <c r="W44" s="26" t="str">
        <f>"CA"</f>
        <v>CA</v>
      </c>
      <c r="X44" s="27" t="s">
        <v>159</v>
      </c>
      <c r="Y44" s="29" t="str">
        <f t="shared" si="2"/>
        <v>Canadá
Canada</v>
      </c>
    </row>
    <row r="45" spans="1:25" ht="24" x14ac:dyDescent="0.2">
      <c r="C45" s="55" t="s">
        <v>587</v>
      </c>
      <c r="D45" s="56">
        <f>'10-11'!M5/'10-11'!$M$15</f>
        <v>0.12768956716380928</v>
      </c>
      <c r="E45" s="56">
        <f>'10-11'!M10/'10-11'!$M$15</f>
        <v>0.45476296016893852</v>
      </c>
      <c r="F45" s="56">
        <f>'10-11'!M11/'10-11'!$M$15</f>
        <v>0.41183175527038152</v>
      </c>
      <c r="G45" s="56">
        <f>'10-11'!M14/'10-11'!$M$15</f>
        <v>5.7157173968706721E-3</v>
      </c>
      <c r="H45" s="57">
        <f>SUM(D45:G45)</f>
        <v>1</v>
      </c>
      <c r="I45" s="92"/>
      <c r="J45" s="92"/>
      <c r="K45" s="92"/>
      <c r="L45" s="92"/>
      <c r="M45" s="92"/>
      <c r="P45" s="6"/>
      <c r="Q45" s="6"/>
      <c r="R45" s="2"/>
      <c r="V45" s="27" t="s">
        <v>411</v>
      </c>
      <c r="W45" s="26" t="str">
        <f>"QA"</f>
        <v>QA</v>
      </c>
      <c r="X45" s="27" t="s">
        <v>410</v>
      </c>
      <c r="Y45" s="29" t="str">
        <f t="shared" si="2"/>
        <v>Catar
Qatar</v>
      </c>
    </row>
    <row r="46" spans="1:25" ht="24" customHeight="1" x14ac:dyDescent="0.2">
      <c r="C46" s="213"/>
      <c r="D46" s="58">
        <f>D45</f>
        <v>0.12768956716380928</v>
      </c>
      <c r="E46" s="58">
        <f>E45</f>
        <v>0.45476296016893852</v>
      </c>
      <c r="F46" s="58">
        <f>F45</f>
        <v>0.41183175527038152</v>
      </c>
      <c r="G46" s="58">
        <f>G45</f>
        <v>5.7157173968706721E-3</v>
      </c>
      <c r="H46" s="213"/>
      <c r="I46" s="214"/>
      <c r="J46" s="214"/>
      <c r="K46" s="214"/>
      <c r="L46" s="214"/>
      <c r="M46" s="214"/>
      <c r="P46" s="6"/>
      <c r="Q46" s="6"/>
      <c r="R46" s="2"/>
      <c r="V46" s="27" t="s">
        <v>306</v>
      </c>
      <c r="W46" s="26" t="str">
        <f>"KZ"</f>
        <v>KZ</v>
      </c>
      <c r="X46" s="27" t="s">
        <v>305</v>
      </c>
      <c r="Y46" s="29" t="str">
        <f t="shared" si="2"/>
        <v>Cazaquistão
Kazakhstan</v>
      </c>
    </row>
    <row r="47" spans="1:25" ht="24" x14ac:dyDescent="0.2">
      <c r="C47" s="59" t="s">
        <v>536</v>
      </c>
      <c r="D47" s="56">
        <f>'10-11'!K5/'10-11'!$K$15</f>
        <v>0.12076516478497601</v>
      </c>
      <c r="E47" s="56">
        <f>'10-11'!K10/'10-11'!$K$15</f>
        <v>0.47323573294380317</v>
      </c>
      <c r="F47" s="56">
        <f>'10-11'!K11/'10-11'!$K$15</f>
        <v>0.40154764199895954</v>
      </c>
      <c r="G47" s="56">
        <f>'10-11'!K14/'10-11'!$K$15</f>
        <v>4.4514602722613194E-3</v>
      </c>
      <c r="H47" s="57">
        <f>SUM(D47:G47)</f>
        <v>1</v>
      </c>
      <c r="I47" s="92"/>
      <c r="J47" s="92"/>
      <c r="K47" s="92"/>
      <c r="L47" s="92"/>
      <c r="M47" s="92"/>
      <c r="P47" s="6"/>
      <c r="Q47" s="6"/>
      <c r="R47" s="2"/>
      <c r="V47" s="27" t="s">
        <v>165</v>
      </c>
      <c r="W47" s="26" t="str">
        <f>"CF"</f>
        <v>CF</v>
      </c>
      <c r="X47" s="27" t="s">
        <v>164</v>
      </c>
      <c r="Y47" s="29" t="str">
        <f t="shared" si="2"/>
        <v>Centro-Africana (República)
Central African Republic</v>
      </c>
    </row>
    <row r="48" spans="1:25" ht="24" x14ac:dyDescent="0.2">
      <c r="C48" s="59"/>
      <c r="D48" s="58">
        <f>D47</f>
        <v>0.12076516478497601</v>
      </c>
      <c r="E48" s="58">
        <f>E47</f>
        <v>0.47323573294380317</v>
      </c>
      <c r="F48" s="58">
        <f>F47</f>
        <v>0.40154764199895954</v>
      </c>
      <c r="G48" s="58">
        <f>G47</f>
        <v>4.4514602722613194E-3</v>
      </c>
      <c r="H48" s="213"/>
      <c r="I48" s="214"/>
      <c r="J48" s="214"/>
      <c r="K48" s="214"/>
      <c r="L48" s="214"/>
      <c r="M48" s="214"/>
      <c r="P48" s="6"/>
      <c r="Q48" s="6"/>
      <c r="R48" s="2"/>
      <c r="V48" s="27" t="s">
        <v>457</v>
      </c>
      <c r="W48" s="26" t="str">
        <f>"TD"</f>
        <v>TD</v>
      </c>
      <c r="X48" s="27" t="s">
        <v>456</v>
      </c>
      <c r="Y48" s="29" t="str">
        <f t="shared" si="2"/>
        <v>Chade
Chad</v>
      </c>
    </row>
    <row r="49" spans="16:25" x14ac:dyDescent="0.2">
      <c r="Q49" s="2"/>
      <c r="R49" s="2"/>
      <c r="V49" s="27" t="s">
        <v>172</v>
      </c>
      <c r="W49" s="26" t="str">
        <f>"CL"</f>
        <v>CL</v>
      </c>
      <c r="X49" s="27" t="s">
        <v>172</v>
      </c>
      <c r="Y49" s="29" t="str">
        <f t="shared" si="2"/>
        <v>Chile</v>
      </c>
    </row>
    <row r="50" spans="16:25" x14ac:dyDescent="0.2">
      <c r="P50" s="17"/>
      <c r="Q50" s="2"/>
      <c r="R50" s="2"/>
      <c r="V50" s="27" t="s">
        <v>175</v>
      </c>
      <c r="W50" s="26" t="str">
        <f>"CN"</f>
        <v>CN</v>
      </c>
      <c r="X50" s="27" t="s">
        <v>175</v>
      </c>
      <c r="Y50" s="29" t="str">
        <f t="shared" si="2"/>
        <v>China</v>
      </c>
    </row>
    <row r="51" spans="16:25" ht="24" x14ac:dyDescent="0.2">
      <c r="P51" s="17"/>
      <c r="Q51" s="2"/>
      <c r="R51" s="2"/>
      <c r="V51" s="27" t="s">
        <v>184</v>
      </c>
      <c r="W51" s="26" t="str">
        <f>"CY"</f>
        <v>CY</v>
      </c>
      <c r="X51" s="27" t="s">
        <v>183</v>
      </c>
      <c r="Y51" s="29" t="str">
        <f t="shared" si="2"/>
        <v>Chipre
Cyprus</v>
      </c>
    </row>
    <row r="52" spans="16:25" ht="24" x14ac:dyDescent="0.2">
      <c r="V52" s="27" t="s">
        <v>177</v>
      </c>
      <c r="W52" s="26" t="str">
        <f>"CO"</f>
        <v>CO</v>
      </c>
      <c r="X52" s="27" t="s">
        <v>176</v>
      </c>
      <c r="Y52" s="29" t="str">
        <f t="shared" si="2"/>
        <v>Colômbia
Colombia</v>
      </c>
    </row>
    <row r="53" spans="16:25" ht="24" x14ac:dyDescent="0.2">
      <c r="V53" s="27" t="s">
        <v>295</v>
      </c>
      <c r="W53" s="26" t="str">
        <f>"KM"</f>
        <v>KM</v>
      </c>
      <c r="X53" s="27" t="s">
        <v>294</v>
      </c>
      <c r="Y53" s="29" t="str">
        <f t="shared" si="2"/>
        <v>Comores
Comoros</v>
      </c>
    </row>
    <row r="54" spans="16:25" x14ac:dyDescent="0.2">
      <c r="V54" s="27" t="s">
        <v>166</v>
      </c>
      <c r="W54" s="26" t="str">
        <f>"CG"</f>
        <v>CG</v>
      </c>
      <c r="X54" s="27" t="s">
        <v>166</v>
      </c>
      <c r="Y54" s="29" t="str">
        <f t="shared" si="2"/>
        <v>Congo</v>
      </c>
    </row>
    <row r="55" spans="16:25" ht="24" x14ac:dyDescent="0.2">
      <c r="V55" s="27" t="s">
        <v>163</v>
      </c>
      <c r="W55" s="26" t="str">
        <f>"CD"</f>
        <v>CD</v>
      </c>
      <c r="X55" s="27" t="s">
        <v>162</v>
      </c>
      <c r="Y55" s="29" t="str">
        <f t="shared" si="2"/>
        <v>Congo (República Democrática do)
Congo, Democratic Republic of the</v>
      </c>
    </row>
    <row r="56" spans="16:25" ht="24" x14ac:dyDescent="0.2">
      <c r="V56" s="27" t="s">
        <v>301</v>
      </c>
      <c r="W56" s="26" t="str">
        <f>"KR"</f>
        <v>KR</v>
      </c>
      <c r="X56" s="27" t="s">
        <v>300</v>
      </c>
      <c r="Y56" s="29" t="str">
        <f t="shared" si="2"/>
        <v>Coreia (República da)
Korea, Republic of</v>
      </c>
    </row>
    <row r="57" spans="16:25" ht="24" x14ac:dyDescent="0.2">
      <c r="V57" s="27" t="s">
        <v>299</v>
      </c>
      <c r="W57" s="26" t="str">
        <f>"KP"</f>
        <v>KP</v>
      </c>
      <c r="X57" s="27" t="s">
        <v>298</v>
      </c>
      <c r="Y57" s="29" t="str">
        <f t="shared" si="2"/>
        <v>Coreia (República Popular Democrática da)
Korea, Democratic People's Republic of</v>
      </c>
    </row>
    <row r="58" spans="16:25" ht="24" x14ac:dyDescent="0.2">
      <c r="V58" s="27" t="s">
        <v>169</v>
      </c>
      <c r="W58" s="26" t="str">
        <f>"CI"</f>
        <v>CI</v>
      </c>
      <c r="X58" s="27" t="s">
        <v>168</v>
      </c>
      <c r="Y58" s="29" t="str">
        <f t="shared" si="2"/>
        <v>Costa do Marfim
Côte d'Ivoire</v>
      </c>
    </row>
    <row r="59" spans="16:25" x14ac:dyDescent="0.2">
      <c r="V59" s="27" t="s">
        <v>178</v>
      </c>
      <c r="W59" s="26" t="str">
        <f>"CR"</f>
        <v>CR</v>
      </c>
      <c r="X59" s="27" t="s">
        <v>178</v>
      </c>
      <c r="Y59" s="29" t="str">
        <f t="shared" si="2"/>
        <v>Costa Rica</v>
      </c>
    </row>
    <row r="60" spans="16:25" ht="24" x14ac:dyDescent="0.2">
      <c r="V60" s="27" t="s">
        <v>65</v>
      </c>
      <c r="W60" s="26" t="str">
        <f>"HR"</f>
        <v>HR</v>
      </c>
      <c r="X60" s="27" t="s">
        <v>259</v>
      </c>
      <c r="Y60" s="29" t="str">
        <f t="shared" si="2"/>
        <v>Croácia
Croatia</v>
      </c>
    </row>
    <row r="61" spans="16:25" x14ac:dyDescent="0.2">
      <c r="V61" s="27" t="s">
        <v>179</v>
      </c>
      <c r="W61" s="26" t="str">
        <f>"CU"</f>
        <v>CU</v>
      </c>
      <c r="X61" s="27" t="s">
        <v>179</v>
      </c>
      <c r="Y61" s="29" t="str">
        <f t="shared" si="2"/>
        <v>Cuba</v>
      </c>
    </row>
    <row r="62" spans="16:25" ht="24" x14ac:dyDescent="0.2">
      <c r="V62" s="27" t="s">
        <v>190</v>
      </c>
      <c r="W62" s="26" t="str">
        <f>"DK"</f>
        <v>DK</v>
      </c>
      <c r="X62" s="27" t="s">
        <v>189</v>
      </c>
      <c r="Y62" s="29" t="str">
        <f t="shared" si="2"/>
        <v>Dinamarca
Denmark</v>
      </c>
    </row>
    <row r="63" spans="16:25" ht="24" x14ac:dyDescent="0.2">
      <c r="V63" s="27" t="s">
        <v>192</v>
      </c>
      <c r="W63" s="26" t="str">
        <f>"DM"</f>
        <v>DM</v>
      </c>
      <c r="X63" s="27" t="s">
        <v>191</v>
      </c>
      <c r="Y63" s="29" t="str">
        <f t="shared" si="2"/>
        <v>Domínica
Dominica</v>
      </c>
    </row>
    <row r="64" spans="16:25" ht="24" x14ac:dyDescent="0.2">
      <c r="V64" s="27" t="s">
        <v>202</v>
      </c>
      <c r="W64" s="26" t="str">
        <f>"EG"</f>
        <v>EG</v>
      </c>
      <c r="X64" s="27" t="s">
        <v>201</v>
      </c>
      <c r="Y64" s="29" t="str">
        <f t="shared" si="2"/>
        <v>Egipto
Egypt</v>
      </c>
    </row>
    <row r="65" spans="22:25" x14ac:dyDescent="0.2">
      <c r="V65" s="27" t="s">
        <v>449</v>
      </c>
      <c r="W65" s="26" t="str">
        <f>"SV"</f>
        <v>SV</v>
      </c>
      <c r="X65" s="27" t="s">
        <v>449</v>
      </c>
      <c r="Y65" s="29" t="str">
        <f t="shared" si="2"/>
        <v>El Salvador</v>
      </c>
    </row>
    <row r="66" spans="22:25" ht="24" x14ac:dyDescent="0.2">
      <c r="V66" s="27" t="s">
        <v>105</v>
      </c>
      <c r="W66" s="26" t="str">
        <f>"AE"</f>
        <v>AE</v>
      </c>
      <c r="X66" s="27" t="s">
        <v>104</v>
      </c>
      <c r="Y66" s="29" t="str">
        <f t="shared" si="2"/>
        <v>Emiratos Árabes Unidos
United Arab Emirates</v>
      </c>
    </row>
    <row r="67" spans="22:25" ht="24" x14ac:dyDescent="0.2">
      <c r="V67" s="27" t="s">
        <v>198</v>
      </c>
      <c r="W67" s="26" t="str">
        <f>"EC"</f>
        <v>EC</v>
      </c>
      <c r="X67" s="27" t="s">
        <v>197</v>
      </c>
      <c r="Y67" s="29" t="str">
        <f t="shared" si="2"/>
        <v>Equador
Ecuador</v>
      </c>
    </row>
    <row r="68" spans="22:25" ht="24" x14ac:dyDescent="0.2">
      <c r="V68" s="27" t="s">
        <v>206</v>
      </c>
      <c r="W68" s="26" t="str">
        <f>"ER"</f>
        <v>ER</v>
      </c>
      <c r="X68" s="27" t="s">
        <v>205</v>
      </c>
      <c r="Y68" s="29" t="str">
        <f t="shared" si="2"/>
        <v>Eritreia
Eritrea</v>
      </c>
    </row>
    <row r="69" spans="22:25" ht="24" x14ac:dyDescent="0.2">
      <c r="V69" s="27" t="s">
        <v>438</v>
      </c>
      <c r="W69" s="26" t="str">
        <f>"SK"</f>
        <v>SK</v>
      </c>
      <c r="X69" s="27" t="s">
        <v>437</v>
      </c>
      <c r="Y69" s="29" t="str">
        <f t="shared" ref="Y69:Y132" si="15">IF(V69=X69,V69,V69&amp;CHAR(10)&amp;X69)</f>
        <v>Eslováquia
Slovakia</v>
      </c>
    </row>
    <row r="70" spans="22:25" ht="24" x14ac:dyDescent="0.2">
      <c r="V70" s="27" t="s">
        <v>87</v>
      </c>
      <c r="W70" s="26" t="str">
        <f>"SI"</f>
        <v>SI</v>
      </c>
      <c r="X70" s="27" t="s">
        <v>434</v>
      </c>
      <c r="Y70" s="29" t="str">
        <f t="shared" si="15"/>
        <v>Eslovénia
Slovenia</v>
      </c>
    </row>
    <row r="71" spans="22:25" ht="24" x14ac:dyDescent="0.2">
      <c r="V71" s="27" t="s">
        <v>54</v>
      </c>
      <c r="W71" s="26" t="str">
        <f>"ES"</f>
        <v>ES</v>
      </c>
      <c r="X71" s="27" t="s">
        <v>207</v>
      </c>
      <c r="Y71" s="29" t="str">
        <f t="shared" si="15"/>
        <v>Espanha
Spain</v>
      </c>
    </row>
    <row r="72" spans="22:25" ht="24" x14ac:dyDescent="0.2">
      <c r="V72" s="27" t="s">
        <v>200</v>
      </c>
      <c r="W72" s="26" t="str">
        <f>"EE"</f>
        <v>EE</v>
      </c>
      <c r="X72" s="27" t="s">
        <v>199</v>
      </c>
      <c r="Y72" s="29" t="str">
        <f t="shared" si="15"/>
        <v>Estónia
Estonia</v>
      </c>
    </row>
    <row r="73" spans="22:25" ht="24" x14ac:dyDescent="0.2">
      <c r="V73" s="27" t="s">
        <v>209</v>
      </c>
      <c r="W73" s="26" t="str">
        <f>"ET"</f>
        <v>ET</v>
      </c>
      <c r="X73" s="27" t="s">
        <v>208</v>
      </c>
      <c r="Y73" s="29" t="str">
        <f t="shared" si="15"/>
        <v>Etiópia
Ethiopia</v>
      </c>
    </row>
    <row r="74" spans="22:25" ht="24" x14ac:dyDescent="0.2">
      <c r="V74" s="27" t="s">
        <v>27</v>
      </c>
      <c r="W74" s="26" t="str">
        <f>"US"</f>
        <v>US</v>
      </c>
      <c r="X74" s="27" t="s">
        <v>79</v>
      </c>
      <c r="Y74" s="29" t="str">
        <f t="shared" si="15"/>
        <v>EUA
US</v>
      </c>
    </row>
    <row r="75" spans="22:25" ht="24" x14ac:dyDescent="0.2">
      <c r="V75" s="27" t="s">
        <v>396</v>
      </c>
      <c r="W75" s="26" t="str">
        <f>"PH"</f>
        <v>PH</v>
      </c>
      <c r="X75" s="27" t="s">
        <v>395</v>
      </c>
      <c r="Y75" s="29" t="str">
        <f t="shared" si="15"/>
        <v>Filipinas
Philippines</v>
      </c>
    </row>
    <row r="76" spans="22:25" ht="24" x14ac:dyDescent="0.2">
      <c r="V76" s="27" t="s">
        <v>211</v>
      </c>
      <c r="W76" s="26" t="str">
        <f>"FI"</f>
        <v>FI</v>
      </c>
      <c r="X76" s="27" t="s">
        <v>210</v>
      </c>
      <c r="Y76" s="29" t="str">
        <f t="shared" si="15"/>
        <v>Finlândia
Finland</v>
      </c>
    </row>
    <row r="77" spans="22:25" ht="24" x14ac:dyDescent="0.2">
      <c r="V77" s="27" t="s">
        <v>58</v>
      </c>
      <c r="W77" s="26" t="str">
        <f>"FR"</f>
        <v>FR</v>
      </c>
      <c r="X77" s="27" t="s">
        <v>220</v>
      </c>
      <c r="Y77" s="29" t="str">
        <f t="shared" si="15"/>
        <v>França
France</v>
      </c>
    </row>
    <row r="78" spans="22:25" ht="24" x14ac:dyDescent="0.2">
      <c r="V78" s="27" t="s">
        <v>222</v>
      </c>
      <c r="W78" s="26" t="str">
        <f>"GA"</f>
        <v>GA</v>
      </c>
      <c r="X78" s="27" t="s">
        <v>221</v>
      </c>
      <c r="Y78" s="29" t="str">
        <f t="shared" si="15"/>
        <v>Gabão
Gabon</v>
      </c>
    </row>
    <row r="79" spans="22:25" ht="24" x14ac:dyDescent="0.2">
      <c r="V79" s="27" t="s">
        <v>238</v>
      </c>
      <c r="W79" s="26" t="str">
        <f>"GM"</f>
        <v>GM</v>
      </c>
      <c r="X79" s="27" t="s">
        <v>237</v>
      </c>
      <c r="Y79" s="29" t="str">
        <f t="shared" si="15"/>
        <v>Gâmbia
Gambia</v>
      </c>
    </row>
    <row r="80" spans="22:25" ht="24" x14ac:dyDescent="0.2">
      <c r="V80" s="27" t="s">
        <v>233</v>
      </c>
      <c r="W80" s="26" t="str">
        <f>"GH"</f>
        <v>GH</v>
      </c>
      <c r="X80" s="27" t="s">
        <v>232</v>
      </c>
      <c r="Y80" s="29" t="str">
        <f t="shared" si="15"/>
        <v>Gana
Ghana</v>
      </c>
    </row>
    <row r="81" spans="22:25" ht="24" x14ac:dyDescent="0.2">
      <c r="V81" s="27" t="s">
        <v>228</v>
      </c>
      <c r="W81" s="26" t="str">
        <f>"GE"</f>
        <v>GE</v>
      </c>
      <c r="X81" s="27" t="s">
        <v>227</v>
      </c>
      <c r="Y81" s="29" t="str">
        <f t="shared" si="15"/>
        <v>Geórgia
Georgia</v>
      </c>
    </row>
    <row r="82" spans="22:25" ht="24" x14ac:dyDescent="0.2">
      <c r="V82" s="27" t="s">
        <v>248</v>
      </c>
      <c r="W82" s="26" t="str">
        <f>"GS"</f>
        <v>GS</v>
      </c>
      <c r="X82" s="27" t="s">
        <v>247</v>
      </c>
      <c r="Y82" s="29" t="str">
        <f t="shared" si="15"/>
        <v>Geórgia do Sul e Ilhas Sandwich
South Georgia and South Sandwich Islands</v>
      </c>
    </row>
    <row r="83" spans="22:25" x14ac:dyDescent="0.2">
      <c r="V83" s="27" t="s">
        <v>234</v>
      </c>
      <c r="W83" s="26" t="str">
        <f>"GI"</f>
        <v>GI</v>
      </c>
      <c r="X83" s="27" t="s">
        <v>234</v>
      </c>
      <c r="Y83" s="29" t="str">
        <f t="shared" si="15"/>
        <v>Gibraltar</v>
      </c>
    </row>
    <row r="84" spans="22:25" ht="24" x14ac:dyDescent="0.2">
      <c r="V84" s="27" t="s">
        <v>226</v>
      </c>
      <c r="W84" s="26" t="str">
        <f>"GD"</f>
        <v>GD</v>
      </c>
      <c r="X84" s="27" t="s">
        <v>225</v>
      </c>
      <c r="Y84" s="29" t="str">
        <f t="shared" si="15"/>
        <v>Granada
Grenada</v>
      </c>
    </row>
    <row r="85" spans="22:25" ht="24" x14ac:dyDescent="0.2">
      <c r="V85" s="27" t="s">
        <v>246</v>
      </c>
      <c r="W85" s="26" t="str">
        <f>"GR"</f>
        <v>GR</v>
      </c>
      <c r="X85" s="27" t="s">
        <v>245</v>
      </c>
      <c r="Y85" s="29" t="str">
        <f t="shared" si="15"/>
        <v>Grécia
Greece</v>
      </c>
    </row>
    <row r="86" spans="22:25" ht="24" x14ac:dyDescent="0.2">
      <c r="V86" s="27" t="s">
        <v>236</v>
      </c>
      <c r="W86" s="26" t="str">
        <f>"GL"</f>
        <v>GL</v>
      </c>
      <c r="X86" s="27" t="s">
        <v>235</v>
      </c>
      <c r="Y86" s="29" t="str">
        <f t="shared" si="15"/>
        <v>Gronelândia
Greenland</v>
      </c>
    </row>
    <row r="87" spans="22:25" ht="24" x14ac:dyDescent="0.2">
      <c r="V87" s="27" t="s">
        <v>242</v>
      </c>
      <c r="W87" s="26" t="str">
        <f>"GP"</f>
        <v>GP</v>
      </c>
      <c r="X87" s="27" t="s">
        <v>241</v>
      </c>
      <c r="Y87" s="29" t="str">
        <f t="shared" si="15"/>
        <v>Guadalupe
Guadeloupe</v>
      </c>
    </row>
    <row r="88" spans="22:25" x14ac:dyDescent="0.2">
      <c r="V88" s="27" t="s">
        <v>250</v>
      </c>
      <c r="W88" s="26" t="str">
        <f>"GU"</f>
        <v>GU</v>
      </c>
      <c r="X88" s="27" t="s">
        <v>250</v>
      </c>
      <c r="Y88" s="29" t="str">
        <f t="shared" si="15"/>
        <v>Guam</v>
      </c>
    </row>
    <row r="89" spans="22:25" x14ac:dyDescent="0.2">
      <c r="V89" s="27" t="s">
        <v>249</v>
      </c>
      <c r="W89" s="26" t="str">
        <f>"GT"</f>
        <v>GT</v>
      </c>
      <c r="X89" s="27" t="s">
        <v>249</v>
      </c>
      <c r="Y89" s="29" t="str">
        <f t="shared" si="15"/>
        <v>Guatemala</v>
      </c>
    </row>
    <row r="90" spans="22:25" x14ac:dyDescent="0.2">
      <c r="V90" s="27" t="s">
        <v>231</v>
      </c>
      <c r="W90" s="26" t="str">
        <f>"GG"</f>
        <v>GG</v>
      </c>
      <c r="X90" s="27" t="s">
        <v>231</v>
      </c>
      <c r="Y90" s="29" t="str">
        <f t="shared" si="15"/>
        <v>Guernsey</v>
      </c>
    </row>
    <row r="91" spans="22:25" ht="24" x14ac:dyDescent="0.2">
      <c r="V91" s="27" t="s">
        <v>254</v>
      </c>
      <c r="W91" s="26" t="str">
        <f>"GY"</f>
        <v>GY</v>
      </c>
      <c r="X91" s="27" t="s">
        <v>253</v>
      </c>
      <c r="Y91" s="29" t="str">
        <f t="shared" si="15"/>
        <v>Guiana
Guyana</v>
      </c>
    </row>
    <row r="92" spans="22:25" ht="24" x14ac:dyDescent="0.2">
      <c r="V92" s="27" t="s">
        <v>230</v>
      </c>
      <c r="W92" s="26" t="str">
        <f>"GF"</f>
        <v>GF</v>
      </c>
      <c r="X92" s="27" t="s">
        <v>229</v>
      </c>
      <c r="Y92" s="29" t="str">
        <f t="shared" si="15"/>
        <v>Guiana Francesa
French Guiana</v>
      </c>
    </row>
    <row r="93" spans="22:25" ht="24" x14ac:dyDescent="0.2">
      <c r="V93" s="27" t="s">
        <v>240</v>
      </c>
      <c r="W93" s="26" t="str">
        <f>"GN"</f>
        <v>GN</v>
      </c>
      <c r="X93" s="27" t="s">
        <v>239</v>
      </c>
      <c r="Y93" s="29" t="str">
        <f t="shared" si="15"/>
        <v>Guiné
Guinea</v>
      </c>
    </row>
    <row r="94" spans="22:25" ht="24" x14ac:dyDescent="0.2">
      <c r="V94" s="27" t="s">
        <v>244</v>
      </c>
      <c r="W94" s="26" t="str">
        <f>"GQ"</f>
        <v>GQ</v>
      </c>
      <c r="X94" s="27" t="s">
        <v>243</v>
      </c>
      <c r="Y94" s="29" t="str">
        <f t="shared" si="15"/>
        <v>Guiné Equatorial
Equatorial Guinea</v>
      </c>
    </row>
    <row r="95" spans="22:25" ht="24" x14ac:dyDescent="0.2">
      <c r="V95" s="27" t="s">
        <v>252</v>
      </c>
      <c r="W95" s="26" t="str">
        <f>"GW"</f>
        <v>GW</v>
      </c>
      <c r="X95" s="27" t="s">
        <v>251</v>
      </c>
      <c r="Y95" s="29" t="str">
        <f t="shared" si="15"/>
        <v>Guiné-Bissau
Guinea-Bissau</v>
      </c>
    </row>
    <row r="96" spans="22:25" x14ac:dyDescent="0.2">
      <c r="V96" s="27" t="s">
        <v>260</v>
      </c>
      <c r="W96" s="26" t="str">
        <f>"HT"</f>
        <v>HT</v>
      </c>
      <c r="X96" s="27" t="s">
        <v>260</v>
      </c>
      <c r="Y96" s="29" t="str">
        <f t="shared" si="15"/>
        <v>Haiti</v>
      </c>
    </row>
    <row r="97" spans="22:25" x14ac:dyDescent="0.2">
      <c r="V97" s="27" t="s">
        <v>258</v>
      </c>
      <c r="W97" s="26" t="str">
        <f>"HN"</f>
        <v>HN</v>
      </c>
      <c r="X97" s="27" t="s">
        <v>258</v>
      </c>
      <c r="Y97" s="29" t="str">
        <f t="shared" si="15"/>
        <v>Honduras</v>
      </c>
    </row>
    <row r="98" spans="22:25" x14ac:dyDescent="0.2">
      <c r="V98" s="27" t="s">
        <v>255</v>
      </c>
      <c r="W98" s="26" t="str">
        <f>"HK"</f>
        <v>HK</v>
      </c>
      <c r="X98" s="27" t="s">
        <v>255</v>
      </c>
      <c r="Y98" s="29" t="str">
        <f t="shared" si="15"/>
        <v>Hong Kong</v>
      </c>
    </row>
    <row r="99" spans="22:25" ht="24" x14ac:dyDescent="0.2">
      <c r="V99" s="27" t="s">
        <v>262</v>
      </c>
      <c r="W99" s="26" t="str">
        <f>"HU"</f>
        <v>HU</v>
      </c>
      <c r="X99" s="27" t="s">
        <v>261</v>
      </c>
      <c r="Y99" s="29" t="str">
        <f t="shared" si="15"/>
        <v>Hungria
Hungary</v>
      </c>
    </row>
    <row r="100" spans="22:25" ht="24" x14ac:dyDescent="0.2">
      <c r="V100" s="27" t="s">
        <v>506</v>
      </c>
      <c r="W100" s="26" t="str">
        <f>"YE"</f>
        <v>YE</v>
      </c>
      <c r="X100" s="27" t="s">
        <v>505</v>
      </c>
      <c r="Y100" s="29" t="str">
        <f t="shared" si="15"/>
        <v>Iémen
Yemen</v>
      </c>
    </row>
    <row r="101" spans="22:25" ht="24" x14ac:dyDescent="0.2">
      <c r="V101" s="27" t="s">
        <v>154</v>
      </c>
      <c r="W101" s="26" t="str">
        <f>"BV"</f>
        <v>BV</v>
      </c>
      <c r="X101" s="27" t="s">
        <v>153</v>
      </c>
      <c r="Y101" s="29" t="str">
        <f t="shared" si="15"/>
        <v>Ilha Bouvet
Bouvet Island</v>
      </c>
    </row>
    <row r="102" spans="22:25" ht="24" x14ac:dyDescent="0.2">
      <c r="V102" s="27" t="s">
        <v>182</v>
      </c>
      <c r="W102" s="26" t="str">
        <f>"CX"</f>
        <v>CX</v>
      </c>
      <c r="X102" s="27" t="s">
        <v>181</v>
      </c>
      <c r="Y102" s="29" t="str">
        <f t="shared" si="15"/>
        <v>Ilha Christmas
Christmas Island</v>
      </c>
    </row>
    <row r="103" spans="22:25" ht="24" x14ac:dyDescent="0.2">
      <c r="V103" s="27" t="s">
        <v>269</v>
      </c>
      <c r="W103" s="26" t="str">
        <f>"IM"</f>
        <v>IM</v>
      </c>
      <c r="X103" s="27" t="s">
        <v>268</v>
      </c>
      <c r="Y103" s="29" t="str">
        <f t="shared" si="15"/>
        <v>Ilha de Man
Isle of Man</v>
      </c>
    </row>
    <row r="104" spans="22:25" ht="24" x14ac:dyDescent="0.2">
      <c r="V104" s="27" t="s">
        <v>257</v>
      </c>
      <c r="W104" s="26" t="str">
        <f>"HM"</f>
        <v>HM</v>
      </c>
      <c r="X104" s="27" t="s">
        <v>256</v>
      </c>
      <c r="Y104" s="29" t="str">
        <f t="shared" si="15"/>
        <v>Ilha Heard e Ilhas Mcdonald
Heard Island and McDonald Islands</v>
      </c>
    </row>
    <row r="105" spans="22:25" ht="24" x14ac:dyDescent="0.2">
      <c r="V105" s="27" t="s">
        <v>372</v>
      </c>
      <c r="W105" s="26" t="str">
        <f>"NF"</f>
        <v>NF</v>
      </c>
      <c r="X105" s="27" t="s">
        <v>371</v>
      </c>
      <c r="Y105" s="29" t="str">
        <f t="shared" si="15"/>
        <v>Ilha Norfolk
Norfolk Island</v>
      </c>
    </row>
    <row r="106" spans="22:25" ht="24" x14ac:dyDescent="0.2">
      <c r="V106" s="27" t="s">
        <v>128</v>
      </c>
      <c r="W106" s="26" t="str">
        <f>"AX"</f>
        <v>AX</v>
      </c>
      <c r="X106" s="27" t="s">
        <v>127</v>
      </c>
      <c r="Y106" s="29" t="str">
        <f t="shared" si="15"/>
        <v>Ilhas Aland
Aland Islands</v>
      </c>
    </row>
    <row r="107" spans="22:25" ht="24" x14ac:dyDescent="0.2">
      <c r="V107" s="27" t="s">
        <v>304</v>
      </c>
      <c r="W107" s="26" t="str">
        <f>"KY"</f>
        <v>KY</v>
      </c>
      <c r="X107" s="27" t="s">
        <v>303</v>
      </c>
      <c r="Y107" s="29" t="str">
        <f t="shared" si="15"/>
        <v>Ilhas Caimão
Cayman Islands</v>
      </c>
    </row>
    <row r="108" spans="22:25" ht="24" x14ac:dyDescent="0.2">
      <c r="V108" s="27" t="s">
        <v>161</v>
      </c>
      <c r="W108" s="26" t="str">
        <f>"CC"</f>
        <v>CC</v>
      </c>
      <c r="X108" s="27" t="s">
        <v>160</v>
      </c>
      <c r="Y108" s="29" t="str">
        <f t="shared" si="15"/>
        <v>Ilhas Cocos (Keeling)
Cocos (Keeling) Islands</v>
      </c>
    </row>
    <row r="109" spans="22:25" ht="24" x14ac:dyDescent="0.2">
      <c r="V109" s="27" t="s">
        <v>171</v>
      </c>
      <c r="W109" s="26" t="str">
        <f>"CK"</f>
        <v>CK</v>
      </c>
      <c r="X109" s="27" t="s">
        <v>170</v>
      </c>
      <c r="Y109" s="29" t="str">
        <f t="shared" si="15"/>
        <v>Ilhas Cook
Cook Islands</v>
      </c>
    </row>
    <row r="110" spans="22:25" ht="24" x14ac:dyDescent="0.2">
      <c r="V110" s="27" t="s">
        <v>215</v>
      </c>
      <c r="W110" s="26" t="str">
        <f>"FK"</f>
        <v>FK</v>
      </c>
      <c r="X110" s="27" t="s">
        <v>214</v>
      </c>
      <c r="Y110" s="29" t="str">
        <f t="shared" si="15"/>
        <v>Ilhas Falkland (Malvinas)
Falkland Islands (Malvinas)</v>
      </c>
    </row>
    <row r="111" spans="22:25" ht="24" x14ac:dyDescent="0.2">
      <c r="V111" s="27" t="s">
        <v>219</v>
      </c>
      <c r="W111" s="26" t="str">
        <f>"FO"</f>
        <v>FO</v>
      </c>
      <c r="X111" s="27" t="s">
        <v>218</v>
      </c>
      <c r="Y111" s="29" t="str">
        <f t="shared" si="15"/>
        <v>Ilhas Faroé
Faroe Islands</v>
      </c>
    </row>
    <row r="112" spans="22:25" ht="24" x14ac:dyDescent="0.2">
      <c r="V112" s="27" t="s">
        <v>213</v>
      </c>
      <c r="W112" s="26" t="str">
        <f>"FJ"</f>
        <v>FJ</v>
      </c>
      <c r="X112" s="27" t="s">
        <v>212</v>
      </c>
      <c r="Y112" s="29" t="str">
        <f t="shared" si="15"/>
        <v>Ilhas Fiji
Fiji</v>
      </c>
    </row>
    <row r="113" spans="22:25" ht="24" x14ac:dyDescent="0.2">
      <c r="V113" s="27" t="s">
        <v>347</v>
      </c>
      <c r="W113" s="26" t="str">
        <f>"MP"</f>
        <v>MP</v>
      </c>
      <c r="X113" s="27" t="s">
        <v>346</v>
      </c>
      <c r="Y113" s="29" t="str">
        <f t="shared" si="15"/>
        <v>Ilhas Marianas do Norte
Northern Mariana Islands</v>
      </c>
    </row>
    <row r="114" spans="22:25" ht="24" x14ac:dyDescent="0.2">
      <c r="V114" s="27" t="s">
        <v>337</v>
      </c>
      <c r="W114" s="26" t="str">
        <f>"MH"</f>
        <v>MH</v>
      </c>
      <c r="X114" s="27" t="s">
        <v>336</v>
      </c>
      <c r="Y114" s="29" t="str">
        <f t="shared" si="15"/>
        <v>Ilhas Marshall
Marshall Islands</v>
      </c>
    </row>
    <row r="115" spans="22:25" ht="24" x14ac:dyDescent="0.2">
      <c r="V115" s="27" t="s">
        <v>484</v>
      </c>
      <c r="W115" s="26" t="str">
        <f>"UM"</f>
        <v>UM</v>
      </c>
      <c r="X115" s="27" t="s">
        <v>483</v>
      </c>
      <c r="Y115" s="29" t="str">
        <f t="shared" si="15"/>
        <v>Ilhas Menores Distantes dos Estados Unidos
United States Minor Outlying Islands</v>
      </c>
    </row>
    <row r="116" spans="22:25" ht="24" x14ac:dyDescent="0.2">
      <c r="V116" s="27" t="s">
        <v>424</v>
      </c>
      <c r="W116" s="26" t="str">
        <f>"SB"</f>
        <v>SB</v>
      </c>
      <c r="X116" s="27" t="s">
        <v>423</v>
      </c>
      <c r="Y116" s="29" t="str">
        <f t="shared" si="15"/>
        <v>Ilhas Salomão
Solomon Islands</v>
      </c>
    </row>
    <row r="117" spans="22:25" ht="24" x14ac:dyDescent="0.2">
      <c r="V117" s="27" t="s">
        <v>455</v>
      </c>
      <c r="W117" s="26" t="str">
        <f>"TC"</f>
        <v>TC</v>
      </c>
      <c r="X117" s="27" t="s">
        <v>454</v>
      </c>
      <c r="Y117" s="29" t="str">
        <f t="shared" si="15"/>
        <v>Ilhas Turcas e Caicos
Turks and Caicos Islands</v>
      </c>
    </row>
    <row r="118" spans="22:25" ht="24" x14ac:dyDescent="0.2">
      <c r="V118" s="27" t="s">
        <v>496</v>
      </c>
      <c r="W118" s="26" t="str">
        <f>"VG"</f>
        <v>VG</v>
      </c>
      <c r="X118" s="27" t="s">
        <v>495</v>
      </c>
      <c r="Y118" s="29" t="str">
        <f t="shared" si="15"/>
        <v>Ilhas Virgens (Britânicas)
Virgin Islands, British</v>
      </c>
    </row>
    <row r="119" spans="22:25" ht="24" x14ac:dyDescent="0.2">
      <c r="V119" s="27" t="s">
        <v>498</v>
      </c>
      <c r="W119" s="26" t="str">
        <f>"VI"</f>
        <v>VI</v>
      </c>
      <c r="X119" s="27" t="s">
        <v>497</v>
      </c>
      <c r="Y119" s="29" t="str">
        <f t="shared" si="15"/>
        <v>Ilhas Virgens (Estados Unidos)
Virgin Islands, U.S.</v>
      </c>
    </row>
    <row r="120" spans="22:25" ht="24" x14ac:dyDescent="0.2">
      <c r="V120" s="27" t="s">
        <v>271</v>
      </c>
      <c r="W120" s="26" t="str">
        <f>"IN"</f>
        <v>IN</v>
      </c>
      <c r="X120" s="27" t="s">
        <v>270</v>
      </c>
      <c r="Y120" s="29" t="str">
        <f t="shared" si="15"/>
        <v>Índia
India</v>
      </c>
    </row>
    <row r="121" spans="22:25" ht="24" x14ac:dyDescent="0.2">
      <c r="V121" s="27" t="s">
        <v>264</v>
      </c>
      <c r="W121" s="26" t="str">
        <f>"ID"</f>
        <v>ID</v>
      </c>
      <c r="X121" s="27" t="s">
        <v>263</v>
      </c>
      <c r="Y121" s="29" t="str">
        <f t="shared" si="15"/>
        <v>Indonésia
Indonesia</v>
      </c>
    </row>
    <row r="122" spans="22:25" ht="24" x14ac:dyDescent="0.2">
      <c r="V122" s="27" t="s">
        <v>277</v>
      </c>
      <c r="W122" s="26" t="str">
        <f>"IR"</f>
        <v>IR</v>
      </c>
      <c r="X122" s="27" t="s">
        <v>276</v>
      </c>
      <c r="Y122" s="29" t="str">
        <f t="shared" si="15"/>
        <v>Irão (República Islâmica)
Iran, Islamic Republic of</v>
      </c>
    </row>
    <row r="123" spans="22:25" ht="24" x14ac:dyDescent="0.2">
      <c r="V123" s="27" t="s">
        <v>275</v>
      </c>
      <c r="W123" s="26" t="str">
        <f>"IQ"</f>
        <v>IQ</v>
      </c>
      <c r="X123" s="27" t="s">
        <v>274</v>
      </c>
      <c r="Y123" s="29" t="str">
        <f t="shared" si="15"/>
        <v>Iraque
Iraq</v>
      </c>
    </row>
    <row r="124" spans="22:25" ht="24" x14ac:dyDescent="0.2">
      <c r="V124" s="27" t="s">
        <v>266</v>
      </c>
      <c r="W124" s="26" t="str">
        <f>"IE"</f>
        <v>IE</v>
      </c>
      <c r="X124" s="27" t="s">
        <v>265</v>
      </c>
      <c r="Y124" s="29" t="str">
        <f t="shared" si="15"/>
        <v>Irlanda
Ireland</v>
      </c>
    </row>
    <row r="125" spans="22:25" ht="24" x14ac:dyDescent="0.2">
      <c r="V125" s="27" t="s">
        <v>279</v>
      </c>
      <c r="W125" s="26" t="str">
        <f>"IS"</f>
        <v>IS</v>
      </c>
      <c r="X125" s="27" t="s">
        <v>278</v>
      </c>
      <c r="Y125" s="29" t="str">
        <f t="shared" si="15"/>
        <v>Islândia
Iceland</v>
      </c>
    </row>
    <row r="126" spans="22:25" x14ac:dyDescent="0.2">
      <c r="V126" s="27" t="s">
        <v>267</v>
      </c>
      <c r="W126" s="26" t="str">
        <f>"IL"</f>
        <v>IL</v>
      </c>
      <c r="X126" s="27" t="s">
        <v>267</v>
      </c>
      <c r="Y126" s="29" t="str">
        <f t="shared" si="15"/>
        <v>Israel</v>
      </c>
    </row>
    <row r="127" spans="22:25" ht="24" x14ac:dyDescent="0.2">
      <c r="V127" s="27" t="s">
        <v>61</v>
      </c>
      <c r="W127" s="26" t="str">
        <f>"IT"</f>
        <v>IT</v>
      </c>
      <c r="X127" s="27" t="s">
        <v>280</v>
      </c>
      <c r="Y127" s="29" t="str">
        <f t="shared" si="15"/>
        <v>Itália
Italy</v>
      </c>
    </row>
    <row r="128" spans="22:25" x14ac:dyDescent="0.2">
      <c r="V128" s="27" t="s">
        <v>282</v>
      </c>
      <c r="W128" s="26" t="str">
        <f>"JM"</f>
        <v>JM</v>
      </c>
      <c r="X128" s="27" t="s">
        <v>282</v>
      </c>
      <c r="Y128" s="29" t="str">
        <f t="shared" si="15"/>
        <v>Jamaica</v>
      </c>
    </row>
    <row r="129" spans="22:25" ht="24" x14ac:dyDescent="0.2">
      <c r="V129" s="27" t="s">
        <v>286</v>
      </c>
      <c r="W129" s="26" t="str">
        <f>"JP"</f>
        <v>JP</v>
      </c>
      <c r="X129" s="27" t="s">
        <v>285</v>
      </c>
      <c r="Y129" s="29" t="str">
        <f t="shared" si="15"/>
        <v>Japão
Japan</v>
      </c>
    </row>
    <row r="130" spans="22:25" x14ac:dyDescent="0.2">
      <c r="V130" s="27" t="s">
        <v>281</v>
      </c>
      <c r="W130" s="26" t="str">
        <f>"JE"</f>
        <v>JE</v>
      </c>
      <c r="X130" s="27" t="s">
        <v>281</v>
      </c>
      <c r="Y130" s="29" t="str">
        <f t="shared" si="15"/>
        <v>Jersey</v>
      </c>
    </row>
    <row r="131" spans="22:25" ht="24" x14ac:dyDescent="0.2">
      <c r="V131" s="27" t="s">
        <v>188</v>
      </c>
      <c r="W131" s="26" t="str">
        <f>"DJ"</f>
        <v>DJ</v>
      </c>
      <c r="X131" s="27" t="s">
        <v>187</v>
      </c>
      <c r="Y131" s="29" t="str">
        <f t="shared" si="15"/>
        <v>Jibuti
Djibouti</v>
      </c>
    </row>
    <row r="132" spans="22:25" ht="24" x14ac:dyDescent="0.2">
      <c r="V132" s="27" t="s">
        <v>284</v>
      </c>
      <c r="W132" s="26" t="str">
        <f>"JO"</f>
        <v>JO</v>
      </c>
      <c r="X132" s="27" t="s">
        <v>283</v>
      </c>
      <c r="Y132" s="29" t="str">
        <f t="shared" si="15"/>
        <v>Jordânia
Jordan</v>
      </c>
    </row>
    <row r="133" spans="22:25" x14ac:dyDescent="0.2">
      <c r="V133" s="27" t="s">
        <v>293</v>
      </c>
      <c r="W133" s="26" t="str">
        <f>"KI"</f>
        <v>KI</v>
      </c>
      <c r="X133" s="27" t="s">
        <v>293</v>
      </c>
      <c r="Y133" s="29" t="str">
        <f t="shared" ref="Y133:Y196" si="16">IF(V133=X133,V133,V133&amp;CHAR(10)&amp;X133)</f>
        <v>Kiribati</v>
      </c>
    </row>
    <row r="134" spans="22:25" x14ac:dyDescent="0.2">
      <c r="V134" s="27" t="s">
        <v>302</v>
      </c>
      <c r="W134" s="26" t="str">
        <f>"KW"</f>
        <v>KW</v>
      </c>
      <c r="X134" s="27" t="s">
        <v>302</v>
      </c>
      <c r="Y134" s="29" t="str">
        <f t="shared" si="16"/>
        <v>Kuwait</v>
      </c>
    </row>
    <row r="135" spans="22:25" ht="24" x14ac:dyDescent="0.2">
      <c r="V135" s="27" t="s">
        <v>308</v>
      </c>
      <c r="W135" s="26" t="str">
        <f>"LA"</f>
        <v>LA</v>
      </c>
      <c r="X135" s="27" t="s">
        <v>307</v>
      </c>
      <c r="Y135" s="29" t="str">
        <f t="shared" si="16"/>
        <v>Laos (República Popular Democrática do)
Lao People's Democratic Republic</v>
      </c>
    </row>
    <row r="136" spans="22:25" ht="24" x14ac:dyDescent="0.2">
      <c r="V136" s="27" t="s">
        <v>316</v>
      </c>
      <c r="W136" s="26" t="str">
        <f>"LS"</f>
        <v>LS</v>
      </c>
      <c r="X136" s="27" t="s">
        <v>315</v>
      </c>
      <c r="Y136" s="29" t="str">
        <f t="shared" si="16"/>
        <v>Lesoto
Lesotho</v>
      </c>
    </row>
    <row r="137" spans="22:25" ht="24" x14ac:dyDescent="0.2">
      <c r="V137" s="27" t="s">
        <v>322</v>
      </c>
      <c r="W137" s="26" t="str">
        <f>"LV"</f>
        <v>LV</v>
      </c>
      <c r="X137" s="27" t="s">
        <v>321</v>
      </c>
      <c r="Y137" s="29" t="str">
        <f t="shared" si="16"/>
        <v>Letónia
Latvia</v>
      </c>
    </row>
    <row r="138" spans="22:25" ht="24" x14ac:dyDescent="0.2">
      <c r="V138" s="27" t="s">
        <v>91</v>
      </c>
      <c r="W138" s="26" t="str">
        <f>"LB"</f>
        <v>LB</v>
      </c>
      <c r="X138" s="27" t="s">
        <v>309</v>
      </c>
      <c r="Y138" s="29" t="str">
        <f t="shared" si="16"/>
        <v>Líbano
Lebanon</v>
      </c>
    </row>
    <row r="139" spans="22:25" ht="24" x14ac:dyDescent="0.2">
      <c r="V139" s="27" t="s">
        <v>314</v>
      </c>
      <c r="W139" s="26" t="str">
        <f>"LR"</f>
        <v>LR</v>
      </c>
      <c r="X139" s="27" t="s">
        <v>313</v>
      </c>
      <c r="Y139" s="29" t="str">
        <f t="shared" si="16"/>
        <v>Libéria
Liberia</v>
      </c>
    </row>
    <row r="140" spans="22:25" ht="24" x14ac:dyDescent="0.2">
      <c r="V140" s="27" t="s">
        <v>324</v>
      </c>
      <c r="W140" s="26" t="str">
        <f>"LY"</f>
        <v>LY</v>
      </c>
      <c r="X140" s="27" t="s">
        <v>323</v>
      </c>
      <c r="Y140" s="29" t="str">
        <f t="shared" si="16"/>
        <v>Líbia (Jamahiriya Árabe da)
Libyan Arab Jamahiriya</v>
      </c>
    </row>
    <row r="141" spans="22:25" x14ac:dyDescent="0.2">
      <c r="V141" s="27" t="s">
        <v>74</v>
      </c>
      <c r="W141" s="26" t="str">
        <f>"LI"</f>
        <v>LI</v>
      </c>
      <c r="X141" s="27" t="s">
        <v>74</v>
      </c>
      <c r="Y141" s="29" t="str">
        <f t="shared" si="16"/>
        <v>Liechtenstein</v>
      </c>
    </row>
    <row r="142" spans="22:25" ht="24" x14ac:dyDescent="0.2">
      <c r="V142" s="27" t="s">
        <v>318</v>
      </c>
      <c r="W142" s="26" t="str">
        <f>"LT"</f>
        <v>LT</v>
      </c>
      <c r="X142" s="27" t="s">
        <v>317</v>
      </c>
      <c r="Y142" s="29" t="str">
        <f t="shared" si="16"/>
        <v>Lituânia
Lithuania</v>
      </c>
    </row>
    <row r="143" spans="22:25" ht="24" x14ac:dyDescent="0.2">
      <c r="V143" s="27" t="s">
        <v>320</v>
      </c>
      <c r="W143" s="26" t="str">
        <f>"LU"</f>
        <v>LU</v>
      </c>
      <c r="X143" s="27" t="s">
        <v>319</v>
      </c>
      <c r="Y143" s="29" t="str">
        <f t="shared" si="16"/>
        <v>Luxemburgo
Luxembourg</v>
      </c>
    </row>
    <row r="144" spans="22:25" ht="24" x14ac:dyDescent="0.2">
      <c r="V144" s="27" t="s">
        <v>345</v>
      </c>
      <c r="W144" s="26" t="str">
        <f>"MO"</f>
        <v>MO</v>
      </c>
      <c r="X144" s="27" t="s">
        <v>344</v>
      </c>
      <c r="Y144" s="29" t="str">
        <f t="shared" si="16"/>
        <v>Macau
Macao</v>
      </c>
    </row>
    <row r="145" spans="22:25" ht="24" x14ac:dyDescent="0.2">
      <c r="V145" s="27" t="s">
        <v>339</v>
      </c>
      <c r="W145" s="26" t="str">
        <f>"MK"</f>
        <v>MK</v>
      </c>
      <c r="X145" s="27" t="s">
        <v>338</v>
      </c>
      <c r="Y145" s="29" t="str">
        <f t="shared" si="16"/>
        <v>Macedónia (Antiga República Jugoslava da)
Macedonia, the former Yugoslav Republic of</v>
      </c>
    </row>
    <row r="146" spans="22:25" ht="24" x14ac:dyDescent="0.2">
      <c r="V146" s="27" t="s">
        <v>335</v>
      </c>
      <c r="W146" s="26" t="str">
        <f>"MG"</f>
        <v>MG</v>
      </c>
      <c r="X146" s="27" t="s">
        <v>334</v>
      </c>
      <c r="Y146" s="29" t="str">
        <f t="shared" si="16"/>
        <v>Madagáscar
Madagascar</v>
      </c>
    </row>
    <row r="147" spans="22:25" ht="24" x14ac:dyDescent="0.2">
      <c r="V147" s="27" t="s">
        <v>363</v>
      </c>
      <c r="W147" s="26" t="str">
        <f>"MY"</f>
        <v>MY</v>
      </c>
      <c r="X147" s="27" t="s">
        <v>362</v>
      </c>
      <c r="Y147" s="29" t="str">
        <f t="shared" si="16"/>
        <v>Malásia
Malaysia</v>
      </c>
    </row>
    <row r="148" spans="22:25" x14ac:dyDescent="0.2">
      <c r="V148" s="27" t="s">
        <v>359</v>
      </c>
      <c r="W148" s="26" t="str">
        <f>"MW"</f>
        <v>MW</v>
      </c>
      <c r="X148" s="27" t="s">
        <v>359</v>
      </c>
      <c r="Y148" s="29" t="str">
        <f t="shared" si="16"/>
        <v>Malawi</v>
      </c>
    </row>
    <row r="149" spans="22:25" ht="24" x14ac:dyDescent="0.2">
      <c r="V149" s="27" t="s">
        <v>358</v>
      </c>
      <c r="W149" s="26" t="str">
        <f>"MV"</f>
        <v>MV</v>
      </c>
      <c r="X149" s="27" t="s">
        <v>357</v>
      </c>
      <c r="Y149" s="29" t="str">
        <f t="shared" si="16"/>
        <v>Maldivas
Maldives</v>
      </c>
    </row>
    <row r="150" spans="22:25" x14ac:dyDescent="0.2">
      <c r="V150" s="27" t="s">
        <v>340</v>
      </c>
      <c r="W150" s="26" t="str">
        <f>"ML"</f>
        <v>ML</v>
      </c>
      <c r="X150" s="27" t="s">
        <v>340</v>
      </c>
      <c r="Y150" s="29" t="str">
        <f t="shared" si="16"/>
        <v>Mali</v>
      </c>
    </row>
    <row r="151" spans="22:25" x14ac:dyDescent="0.2">
      <c r="V151" s="27" t="s">
        <v>354</v>
      </c>
      <c r="W151" s="26" t="str">
        <f>"MT"</f>
        <v>MT</v>
      </c>
      <c r="X151" s="27" t="s">
        <v>354</v>
      </c>
      <c r="Y151" s="29" t="str">
        <f t="shared" si="16"/>
        <v>Malta</v>
      </c>
    </row>
    <row r="152" spans="22:25" ht="24" x14ac:dyDescent="0.2">
      <c r="V152" s="27" t="s">
        <v>326</v>
      </c>
      <c r="W152" s="26" t="str">
        <f>"MA"</f>
        <v>MA</v>
      </c>
      <c r="X152" s="27" t="s">
        <v>325</v>
      </c>
      <c r="Y152" s="29" t="str">
        <f t="shared" si="16"/>
        <v>Marrocos
Morocco</v>
      </c>
    </row>
    <row r="153" spans="22:25" ht="24" x14ac:dyDescent="0.2">
      <c r="V153" s="27" t="s">
        <v>349</v>
      </c>
      <c r="W153" s="26" t="str">
        <f>"MQ"</f>
        <v>MQ</v>
      </c>
      <c r="X153" s="27" t="s">
        <v>348</v>
      </c>
      <c r="Y153" s="29" t="str">
        <f t="shared" si="16"/>
        <v>Martinica
Martinique</v>
      </c>
    </row>
    <row r="154" spans="22:25" ht="24" x14ac:dyDescent="0.2">
      <c r="V154" s="27" t="s">
        <v>356</v>
      </c>
      <c r="W154" s="26" t="str">
        <f>"MU"</f>
        <v>MU</v>
      </c>
      <c r="X154" s="27" t="s">
        <v>355</v>
      </c>
      <c r="Y154" s="29" t="str">
        <f t="shared" si="16"/>
        <v>Maurícias
Mauritius</v>
      </c>
    </row>
    <row r="155" spans="22:25" ht="24" x14ac:dyDescent="0.2">
      <c r="V155" s="27" t="s">
        <v>351</v>
      </c>
      <c r="W155" s="26" t="str">
        <f>"MR"</f>
        <v>MR</v>
      </c>
      <c r="X155" s="27" t="s">
        <v>350</v>
      </c>
      <c r="Y155" s="29" t="str">
        <f t="shared" si="16"/>
        <v>Mauritânia
Mauritania</v>
      </c>
    </row>
    <row r="156" spans="22:25" x14ac:dyDescent="0.2">
      <c r="V156" s="27" t="s">
        <v>507</v>
      </c>
      <c r="W156" s="26" t="str">
        <f>"YT"</f>
        <v>YT</v>
      </c>
      <c r="X156" s="27" t="s">
        <v>507</v>
      </c>
      <c r="Y156" s="29" t="str">
        <f t="shared" si="16"/>
        <v>Mayotte</v>
      </c>
    </row>
    <row r="157" spans="22:25" ht="24" x14ac:dyDescent="0.2">
      <c r="V157" s="27" t="s">
        <v>361</v>
      </c>
      <c r="W157" s="26" t="str">
        <f>"MX"</f>
        <v>MX</v>
      </c>
      <c r="X157" s="27" t="s">
        <v>360</v>
      </c>
      <c r="Y157" s="29" t="str">
        <f t="shared" si="16"/>
        <v>México
Mexico</v>
      </c>
    </row>
    <row r="158" spans="22:25" ht="24" x14ac:dyDescent="0.2">
      <c r="V158" s="27" t="s">
        <v>217</v>
      </c>
      <c r="W158" s="26" t="str">
        <f>"FM"</f>
        <v>FM</v>
      </c>
      <c r="X158" s="27" t="s">
        <v>216</v>
      </c>
      <c r="Y158" s="29" t="str">
        <f t="shared" si="16"/>
        <v>Micronésia (Estados Federados da)
Micronesia, Federal States of</v>
      </c>
    </row>
    <row r="159" spans="22:25" ht="24" x14ac:dyDescent="0.2">
      <c r="V159" s="27" t="s">
        <v>365</v>
      </c>
      <c r="W159" s="26" t="str">
        <f>"MZ"</f>
        <v>MZ</v>
      </c>
      <c r="X159" s="27" t="s">
        <v>364</v>
      </c>
      <c r="Y159" s="29" t="str">
        <f t="shared" si="16"/>
        <v>Moçambique
Mozambique</v>
      </c>
    </row>
    <row r="160" spans="22:25" ht="24" x14ac:dyDescent="0.2">
      <c r="V160" s="27" t="s">
        <v>330</v>
      </c>
      <c r="W160" s="26" t="str">
        <f>"MD"</f>
        <v>MD</v>
      </c>
      <c r="X160" s="27" t="s">
        <v>329</v>
      </c>
      <c r="Y160" s="29" t="str">
        <f t="shared" si="16"/>
        <v>Moldova, República de
Moldova, Republic of</v>
      </c>
    </row>
    <row r="161" spans="22:25" ht="24" x14ac:dyDescent="0.2">
      <c r="V161" s="27" t="s">
        <v>328</v>
      </c>
      <c r="W161" s="26" t="str">
        <f>"MC"</f>
        <v>MC</v>
      </c>
      <c r="X161" s="27" t="s">
        <v>327</v>
      </c>
      <c r="Y161" s="29" t="str">
        <f t="shared" si="16"/>
        <v>Mónaco
Monaco</v>
      </c>
    </row>
    <row r="162" spans="22:25" ht="24" x14ac:dyDescent="0.2">
      <c r="V162" s="27" t="s">
        <v>343</v>
      </c>
      <c r="W162" s="26" t="str">
        <f>"MN"</f>
        <v>MN</v>
      </c>
      <c r="X162" s="27" t="s">
        <v>342</v>
      </c>
      <c r="Y162" s="29" t="str">
        <f t="shared" si="16"/>
        <v>Mongólia
Mongolia</v>
      </c>
    </row>
    <row r="163" spans="22:25" ht="24" x14ac:dyDescent="0.2">
      <c r="V163" s="27" t="s">
        <v>353</v>
      </c>
      <c r="W163" s="26" t="str">
        <f>"MS"</f>
        <v>MS</v>
      </c>
      <c r="X163" s="27" t="s">
        <v>352</v>
      </c>
      <c r="Y163" s="29" t="str">
        <f t="shared" si="16"/>
        <v>Monserrate
Montserrat</v>
      </c>
    </row>
    <row r="164" spans="22:25" x14ac:dyDescent="0.2">
      <c r="V164" s="27" t="s">
        <v>331</v>
      </c>
      <c r="W164" s="26" t="str">
        <f>"ME"</f>
        <v>ME</v>
      </c>
      <c r="X164" s="27" t="s">
        <v>331</v>
      </c>
      <c r="Y164" s="29" t="str">
        <f t="shared" si="16"/>
        <v>Montenegro</v>
      </c>
    </row>
    <row r="165" spans="22:25" x14ac:dyDescent="0.2">
      <c r="V165" s="27" t="s">
        <v>341</v>
      </c>
      <c r="W165" s="26" t="str">
        <f>"MM"</f>
        <v>MM</v>
      </c>
      <c r="X165" s="27" t="s">
        <v>341</v>
      </c>
      <c r="Y165" s="29" t="str">
        <f t="shared" si="16"/>
        <v>Myanmar</v>
      </c>
    </row>
    <row r="166" spans="22:25" ht="24" x14ac:dyDescent="0.2">
      <c r="V166" s="27" t="s">
        <v>367</v>
      </c>
      <c r="W166" s="26" t="str">
        <f>"NA"</f>
        <v>NA</v>
      </c>
      <c r="X166" s="27" t="s">
        <v>366</v>
      </c>
      <c r="Y166" s="29" t="str">
        <f t="shared" si="16"/>
        <v>Namíbia
Namibia</v>
      </c>
    </row>
    <row r="167" spans="22:25" x14ac:dyDescent="0.2">
      <c r="V167" s="27" t="s">
        <v>382</v>
      </c>
      <c r="W167" s="26" t="str">
        <f>"NR"</f>
        <v>NR</v>
      </c>
      <c r="X167" s="27" t="s">
        <v>382</v>
      </c>
      <c r="Y167" s="29" t="str">
        <f t="shared" si="16"/>
        <v>Nauru</v>
      </c>
    </row>
    <row r="168" spans="22:25" x14ac:dyDescent="0.2">
      <c r="V168" s="27" t="s">
        <v>381</v>
      </c>
      <c r="W168" s="26" t="str">
        <f>"NP"</f>
        <v>NP</v>
      </c>
      <c r="X168" s="27" t="s">
        <v>381</v>
      </c>
      <c r="Y168" s="29" t="str">
        <f t="shared" si="16"/>
        <v>Nepal</v>
      </c>
    </row>
    <row r="169" spans="22:25" ht="24" x14ac:dyDescent="0.2">
      <c r="V169" s="27" t="s">
        <v>376</v>
      </c>
      <c r="W169" s="26" t="str">
        <f>"NI"</f>
        <v>NI</v>
      </c>
      <c r="X169" s="27" t="s">
        <v>375</v>
      </c>
      <c r="Y169" s="29" t="str">
        <f t="shared" si="16"/>
        <v>Nicarágua
Nicaragua</v>
      </c>
    </row>
    <row r="170" spans="22:25" x14ac:dyDescent="0.2">
      <c r="V170" s="27" t="s">
        <v>370</v>
      </c>
      <c r="W170" s="26" t="str">
        <f>"NE"</f>
        <v>NE</v>
      </c>
      <c r="X170" s="27" t="s">
        <v>370</v>
      </c>
      <c r="Y170" s="29" t="str">
        <f t="shared" si="16"/>
        <v>Niger</v>
      </c>
    </row>
    <row r="171" spans="22:25" ht="24" x14ac:dyDescent="0.2">
      <c r="V171" s="27" t="s">
        <v>374</v>
      </c>
      <c r="W171" s="26" t="str">
        <f>"NG"</f>
        <v>NG</v>
      </c>
      <c r="X171" s="27" t="s">
        <v>373</v>
      </c>
      <c r="Y171" s="29" t="str">
        <f t="shared" si="16"/>
        <v>Nigéria
Nigeria</v>
      </c>
    </row>
    <row r="172" spans="22:25" x14ac:dyDescent="0.2">
      <c r="V172" s="27" t="s">
        <v>383</v>
      </c>
      <c r="W172" s="26" t="str">
        <f>"NU"</f>
        <v>NU</v>
      </c>
      <c r="X172" s="27" t="s">
        <v>383</v>
      </c>
      <c r="Y172" s="29" t="str">
        <f t="shared" si="16"/>
        <v>Niue</v>
      </c>
    </row>
    <row r="173" spans="22:25" ht="24" x14ac:dyDescent="0.2">
      <c r="V173" s="27" t="s">
        <v>380</v>
      </c>
      <c r="W173" s="26" t="str">
        <f>"NO"</f>
        <v>NO</v>
      </c>
      <c r="X173" s="27" t="s">
        <v>379</v>
      </c>
      <c r="Y173" s="29" t="str">
        <f t="shared" si="16"/>
        <v>Noruega
Norway</v>
      </c>
    </row>
    <row r="174" spans="22:25" ht="24" x14ac:dyDescent="0.2">
      <c r="V174" s="27" t="s">
        <v>369</v>
      </c>
      <c r="W174" s="26" t="str">
        <f>"NC"</f>
        <v>NC</v>
      </c>
      <c r="X174" s="27" t="s">
        <v>368</v>
      </c>
      <c r="Y174" s="29" t="str">
        <f t="shared" si="16"/>
        <v>Nova Caledónia
New Caledonia</v>
      </c>
    </row>
    <row r="175" spans="22:25" ht="24" x14ac:dyDescent="0.2">
      <c r="V175" s="27" t="s">
        <v>385</v>
      </c>
      <c r="W175" s="26" t="str">
        <f>"NZ"</f>
        <v>NZ</v>
      </c>
      <c r="X175" s="27" t="s">
        <v>384</v>
      </c>
      <c r="Y175" s="29" t="str">
        <f t="shared" si="16"/>
        <v>Nova Zelândia
New Zealand</v>
      </c>
    </row>
    <row r="176" spans="22:25" ht="24" x14ac:dyDescent="0.2">
      <c r="V176" s="27" t="s">
        <v>387</v>
      </c>
      <c r="W176" s="26" t="str">
        <f>"OM"</f>
        <v>OM</v>
      </c>
      <c r="X176" s="27" t="s">
        <v>386</v>
      </c>
      <c r="Y176" s="29" t="str">
        <f t="shared" si="16"/>
        <v>Omã
Oman</v>
      </c>
    </row>
    <row r="177" spans="22:25" ht="24" x14ac:dyDescent="0.2">
      <c r="V177" s="27" t="s">
        <v>378</v>
      </c>
      <c r="W177" s="26" t="str">
        <f>"NL"</f>
        <v>NL</v>
      </c>
      <c r="X177" s="27" t="s">
        <v>377</v>
      </c>
      <c r="Y177" s="29" t="str">
        <f t="shared" si="16"/>
        <v>Países Baixos
Netherlands</v>
      </c>
    </row>
    <row r="178" spans="22:25" x14ac:dyDescent="0.2">
      <c r="V178" s="27" t="s">
        <v>407</v>
      </c>
      <c r="W178" s="26" t="str">
        <f>"PW"</f>
        <v>PW</v>
      </c>
      <c r="X178" s="27" t="s">
        <v>407</v>
      </c>
      <c r="Y178" s="29" t="str">
        <f t="shared" si="16"/>
        <v>Palau</v>
      </c>
    </row>
    <row r="179" spans="22:25" ht="24" x14ac:dyDescent="0.2">
      <c r="V179" s="27" t="s">
        <v>389</v>
      </c>
      <c r="W179" s="26" t="str">
        <f>"PA"</f>
        <v>PA</v>
      </c>
      <c r="X179" s="27" t="s">
        <v>388</v>
      </c>
      <c r="Y179" s="29" t="str">
        <f t="shared" si="16"/>
        <v>Panamá
Panama</v>
      </c>
    </row>
    <row r="180" spans="22:25" ht="24" x14ac:dyDescent="0.2">
      <c r="V180" s="27" t="s">
        <v>394</v>
      </c>
      <c r="W180" s="26" t="str">
        <f>"PG"</f>
        <v>PG</v>
      </c>
      <c r="X180" s="27" t="s">
        <v>393</v>
      </c>
      <c r="Y180" s="29" t="str">
        <f t="shared" si="16"/>
        <v>Papuásia-Nova Guiné
Papua New Guinea</v>
      </c>
    </row>
    <row r="181" spans="22:25" ht="24" x14ac:dyDescent="0.2">
      <c r="V181" s="27" t="s">
        <v>398</v>
      </c>
      <c r="W181" s="26" t="str">
        <f>"PK"</f>
        <v>PK</v>
      </c>
      <c r="X181" s="27" t="s">
        <v>397</v>
      </c>
      <c r="Y181" s="29" t="str">
        <f t="shared" si="16"/>
        <v>Paquistão
Pakistan</v>
      </c>
    </row>
    <row r="182" spans="22:25" ht="24" x14ac:dyDescent="0.2">
      <c r="V182" s="27" t="s">
        <v>409</v>
      </c>
      <c r="W182" s="26" t="str">
        <f>"PY"</f>
        <v>PY</v>
      </c>
      <c r="X182" s="27" t="s">
        <v>408</v>
      </c>
      <c r="Y182" s="29" t="str">
        <f t="shared" si="16"/>
        <v>Paraguai
Paraguay</v>
      </c>
    </row>
    <row r="183" spans="22:25" x14ac:dyDescent="0.2">
      <c r="V183" s="27" t="s">
        <v>390</v>
      </c>
      <c r="W183" s="26" t="str">
        <f>"PE"</f>
        <v>PE</v>
      </c>
      <c r="X183" s="27" t="s">
        <v>390</v>
      </c>
      <c r="Y183" s="29" t="str">
        <f t="shared" si="16"/>
        <v>Peru</v>
      </c>
    </row>
    <row r="184" spans="22:25" x14ac:dyDescent="0.2">
      <c r="V184" s="27" t="s">
        <v>402</v>
      </c>
      <c r="W184" s="26" t="str">
        <f>"PN"</f>
        <v>PN</v>
      </c>
      <c r="X184" s="27" t="s">
        <v>402</v>
      </c>
      <c r="Y184" s="29" t="str">
        <f t="shared" si="16"/>
        <v>Pitcairn</v>
      </c>
    </row>
    <row r="185" spans="22:25" ht="24" x14ac:dyDescent="0.2">
      <c r="V185" s="27" t="s">
        <v>392</v>
      </c>
      <c r="W185" s="26" t="str">
        <f>"PF"</f>
        <v>PF</v>
      </c>
      <c r="X185" s="27" t="s">
        <v>391</v>
      </c>
      <c r="Y185" s="29" t="str">
        <f t="shared" si="16"/>
        <v>Polinésia Francesa
French Polynesia</v>
      </c>
    </row>
    <row r="186" spans="22:25" ht="24" x14ac:dyDescent="0.2">
      <c r="V186" s="27" t="s">
        <v>72</v>
      </c>
      <c r="W186" s="26" t="str">
        <f>"PL"</f>
        <v>PL</v>
      </c>
      <c r="X186" s="27" t="s">
        <v>399</v>
      </c>
      <c r="Y186" s="29" t="str">
        <f t="shared" si="16"/>
        <v>Polónia
Poland</v>
      </c>
    </row>
    <row r="187" spans="22:25" ht="24" x14ac:dyDescent="0.2">
      <c r="V187" s="27" t="s">
        <v>404</v>
      </c>
      <c r="W187" s="26" t="str">
        <f>"PR"</f>
        <v>PR</v>
      </c>
      <c r="X187" s="27" t="s">
        <v>403</v>
      </c>
      <c r="Y187" s="29" t="str">
        <f t="shared" si="16"/>
        <v>Porto Rico
Puerto Rico</v>
      </c>
    </row>
    <row r="188" spans="22:25" x14ac:dyDescent="0.2">
      <c r="V188" s="27" t="s">
        <v>56</v>
      </c>
      <c r="W188" s="26" t="str">
        <f>"PT"</f>
        <v>PT</v>
      </c>
      <c r="X188" s="27" t="s">
        <v>56</v>
      </c>
      <c r="Y188" s="29" t="str">
        <f t="shared" si="16"/>
        <v>Portugal</v>
      </c>
    </row>
    <row r="189" spans="22:25" ht="24" x14ac:dyDescent="0.2">
      <c r="V189" s="27" t="s">
        <v>288</v>
      </c>
      <c r="W189" s="26" t="str">
        <f>"KE"</f>
        <v>KE</v>
      </c>
      <c r="X189" s="27" t="s">
        <v>287</v>
      </c>
      <c r="Y189" s="29" t="str">
        <f t="shared" si="16"/>
        <v>Quénia
Kenya</v>
      </c>
    </row>
    <row r="190" spans="22:25" ht="24" x14ac:dyDescent="0.2">
      <c r="V190" s="27" t="s">
        <v>290</v>
      </c>
      <c r="W190" s="26" t="str">
        <f>"KG"</f>
        <v>KG</v>
      </c>
      <c r="X190" s="27" t="s">
        <v>289</v>
      </c>
      <c r="Y190" s="29" t="str">
        <f t="shared" si="16"/>
        <v>Quirguizistão
Kyrgyzstan</v>
      </c>
    </row>
    <row r="191" spans="22:25" ht="24" x14ac:dyDescent="0.2">
      <c r="V191" s="27" t="s">
        <v>224</v>
      </c>
      <c r="W191" s="26" t="str">
        <f>"GB"</f>
        <v>GB</v>
      </c>
      <c r="X191" s="27" t="s">
        <v>223</v>
      </c>
      <c r="Y191" s="29" t="str">
        <f t="shared" si="16"/>
        <v>Reino Unido
United Kingdom</v>
      </c>
    </row>
    <row r="192" spans="22:25" ht="24" x14ac:dyDescent="0.2">
      <c r="V192" s="27" t="s">
        <v>62</v>
      </c>
      <c r="W192" s="26" t="str">
        <f>"CZ"</f>
        <v>CZ</v>
      </c>
      <c r="X192" s="27" t="s">
        <v>185</v>
      </c>
      <c r="Y192" s="29" t="str">
        <f t="shared" si="16"/>
        <v>República Checa
Czech Republic</v>
      </c>
    </row>
    <row r="193" spans="22:25" ht="24" x14ac:dyDescent="0.2">
      <c r="V193" s="27" t="s">
        <v>194</v>
      </c>
      <c r="W193" s="26" t="str">
        <f>"DO"</f>
        <v>DO</v>
      </c>
      <c r="X193" s="27" t="s">
        <v>193</v>
      </c>
      <c r="Y193" s="29" t="str">
        <f t="shared" si="16"/>
        <v>República Dominicana
Dominican Republic</v>
      </c>
    </row>
    <row r="194" spans="22:25" ht="24" x14ac:dyDescent="0.2">
      <c r="V194" s="27" t="s">
        <v>413</v>
      </c>
      <c r="W194" s="26" t="str">
        <f>"RE"</f>
        <v>RE</v>
      </c>
      <c r="X194" s="27" t="s">
        <v>412</v>
      </c>
      <c r="Y194" s="29" t="str">
        <f t="shared" si="16"/>
        <v>Reunião
Reunion</v>
      </c>
    </row>
    <row r="195" spans="22:25" ht="24" x14ac:dyDescent="0.2">
      <c r="V195" s="27" t="s">
        <v>415</v>
      </c>
      <c r="W195" s="26" t="str">
        <f>"RO"</f>
        <v>RO</v>
      </c>
      <c r="X195" s="27" t="s">
        <v>414</v>
      </c>
      <c r="Y195" s="29" t="str">
        <f t="shared" si="16"/>
        <v>Roménia
Romania</v>
      </c>
    </row>
    <row r="196" spans="22:25" ht="24" x14ac:dyDescent="0.2">
      <c r="V196" s="27" t="s">
        <v>420</v>
      </c>
      <c r="W196" s="26" t="str">
        <f>"RW"</f>
        <v>RW</v>
      </c>
      <c r="X196" s="27" t="s">
        <v>419</v>
      </c>
      <c r="Y196" s="29" t="str">
        <f t="shared" si="16"/>
        <v>Ruanda
Rwanda</v>
      </c>
    </row>
    <row r="197" spans="22:25" ht="24" x14ac:dyDescent="0.2">
      <c r="V197" s="27" t="s">
        <v>76</v>
      </c>
      <c r="W197" s="26" t="str">
        <f>"RU"</f>
        <v>RU</v>
      </c>
      <c r="X197" s="27" t="s">
        <v>418</v>
      </c>
      <c r="Y197" s="29" t="str">
        <f t="shared" ref="Y197:Y250" si="17">IF(V197=X197,V197,V197&amp;CHAR(10)&amp;X197)</f>
        <v>Rússia
Russian Federation</v>
      </c>
    </row>
    <row r="198" spans="22:25" x14ac:dyDescent="0.2">
      <c r="V198" s="27" t="s">
        <v>504</v>
      </c>
      <c r="W198" s="26" t="str">
        <f>"WS"</f>
        <v>WS</v>
      </c>
      <c r="X198" s="27" t="s">
        <v>504</v>
      </c>
      <c r="Y198" s="29" t="str">
        <f t="shared" si="17"/>
        <v>Samoa</v>
      </c>
    </row>
    <row r="199" spans="22:25" ht="24" x14ac:dyDescent="0.2">
      <c r="V199" s="27" t="s">
        <v>121</v>
      </c>
      <c r="W199" s="26" t="str">
        <f>"AS"</f>
        <v>AS</v>
      </c>
      <c r="X199" s="27" t="s">
        <v>120</v>
      </c>
      <c r="Y199" s="29" t="str">
        <f t="shared" si="17"/>
        <v>Samoa Americana
American Samoa</v>
      </c>
    </row>
    <row r="200" spans="22:25" ht="24" x14ac:dyDescent="0.2">
      <c r="V200" s="27" t="s">
        <v>433</v>
      </c>
      <c r="W200" s="26" t="str">
        <f>"SH"</f>
        <v>SH</v>
      </c>
      <c r="X200" s="27" t="s">
        <v>432</v>
      </c>
      <c r="Y200" s="29" t="str">
        <f t="shared" si="17"/>
        <v>Santa Helena
Saint Helena</v>
      </c>
    </row>
    <row r="201" spans="22:25" ht="24" x14ac:dyDescent="0.2">
      <c r="V201" s="27" t="s">
        <v>311</v>
      </c>
      <c r="W201" s="26" t="str">
        <f>"LC"</f>
        <v>LC</v>
      </c>
      <c r="X201" s="27" t="s">
        <v>310</v>
      </c>
      <c r="Y201" s="29" t="str">
        <f t="shared" si="17"/>
        <v>Santa Lúcia
Saint Lucia</v>
      </c>
    </row>
    <row r="202" spans="22:25" ht="24" x14ac:dyDescent="0.2">
      <c r="V202" s="27" t="s">
        <v>490</v>
      </c>
      <c r="W202" s="26" t="str">
        <f>"VA"</f>
        <v>VA</v>
      </c>
      <c r="X202" s="27" t="s">
        <v>489</v>
      </c>
      <c r="Y202" s="29" t="str">
        <f t="shared" si="17"/>
        <v>Santa Sé (Cidade Estado do Vaticano)
Holy See (Vatican City State)</v>
      </c>
    </row>
    <row r="203" spans="22:25" ht="24" x14ac:dyDescent="0.2">
      <c r="V203" s="27" t="s">
        <v>143</v>
      </c>
      <c r="W203" s="26" t="str">
        <f>"BL"</f>
        <v>BL</v>
      </c>
      <c r="X203" s="27" t="s">
        <v>142</v>
      </c>
      <c r="Y203" s="29" t="str">
        <f t="shared" si="17"/>
        <v>São Bartolomeu
Saint Barthélemy</v>
      </c>
    </row>
    <row r="204" spans="22:25" ht="24" x14ac:dyDescent="0.2">
      <c r="V204" s="27" t="s">
        <v>297</v>
      </c>
      <c r="W204" s="26" t="str">
        <f>"KN"</f>
        <v>KN</v>
      </c>
      <c r="X204" s="27" t="s">
        <v>296</v>
      </c>
      <c r="Y204" s="29" t="str">
        <f t="shared" si="17"/>
        <v>São Cristóvão e Nevis
Saint Kitts and Nevis</v>
      </c>
    </row>
    <row r="205" spans="22:25" ht="24" x14ac:dyDescent="0.2">
      <c r="V205" s="27" t="s">
        <v>442</v>
      </c>
      <c r="W205" s="26" t="str">
        <f>"SM"</f>
        <v>SM</v>
      </c>
      <c r="X205" s="27" t="s">
        <v>441</v>
      </c>
      <c r="Y205" s="29" t="str">
        <f t="shared" si="17"/>
        <v>São Marino
San Marino</v>
      </c>
    </row>
    <row r="206" spans="22:25" ht="24" x14ac:dyDescent="0.2">
      <c r="V206" s="27" t="s">
        <v>333</v>
      </c>
      <c r="W206" s="26" t="str">
        <f>"MF"</f>
        <v>MF</v>
      </c>
      <c r="X206" s="27" t="s">
        <v>332</v>
      </c>
      <c r="Y206" s="29" t="str">
        <f t="shared" si="17"/>
        <v>São Martinho (parte francesa)
Saint Martin (French part)</v>
      </c>
    </row>
    <row r="207" spans="22:25" ht="24" x14ac:dyDescent="0.2">
      <c r="V207" s="27" t="s">
        <v>401</v>
      </c>
      <c r="W207" s="26" t="str">
        <f>"PM"</f>
        <v>PM</v>
      </c>
      <c r="X207" s="27" t="s">
        <v>400</v>
      </c>
      <c r="Y207" s="29" t="str">
        <f t="shared" si="17"/>
        <v>São Pedro e Miquelon
Saint Pierre and Miquelon</v>
      </c>
    </row>
    <row r="208" spans="22:25" ht="24" x14ac:dyDescent="0.2">
      <c r="V208" s="27" t="s">
        <v>448</v>
      </c>
      <c r="W208" s="26" t="str">
        <f>"ST"</f>
        <v>ST</v>
      </c>
      <c r="X208" s="27" t="s">
        <v>447</v>
      </c>
      <c r="Y208" s="29" t="str">
        <f t="shared" si="17"/>
        <v>São Tomé e Príncipe
Sao Tome and Principe</v>
      </c>
    </row>
    <row r="209" spans="22:25" ht="24" x14ac:dyDescent="0.2">
      <c r="V209" s="27" t="s">
        <v>492</v>
      </c>
      <c r="W209" s="26" t="str">
        <f>"VC"</f>
        <v>VC</v>
      </c>
      <c r="X209" s="27" t="s">
        <v>491</v>
      </c>
      <c r="Y209" s="29" t="str">
        <f t="shared" si="17"/>
        <v>São Vicente e Granadinas
Saint Vincent and the Grenadines</v>
      </c>
    </row>
    <row r="210" spans="22:25" ht="24" x14ac:dyDescent="0.2">
      <c r="V210" s="27" t="s">
        <v>204</v>
      </c>
      <c r="W210" s="26" t="str">
        <f>"EH"</f>
        <v>EH</v>
      </c>
      <c r="X210" s="27" t="s">
        <v>203</v>
      </c>
      <c r="Y210" s="29" t="str">
        <f t="shared" si="17"/>
        <v>Sara Ocidental
Western Sahara</v>
      </c>
    </row>
    <row r="211" spans="22:25" x14ac:dyDescent="0.2">
      <c r="V211" s="27" t="s">
        <v>443</v>
      </c>
      <c r="W211" s="26" t="str">
        <f>"SN"</f>
        <v>SN</v>
      </c>
      <c r="X211" s="27" t="s">
        <v>443</v>
      </c>
      <c r="Y211" s="29" t="str">
        <f t="shared" si="17"/>
        <v>Senegal</v>
      </c>
    </row>
    <row r="212" spans="22:25" ht="24" x14ac:dyDescent="0.2">
      <c r="V212" s="27" t="s">
        <v>440</v>
      </c>
      <c r="W212" s="26" t="str">
        <f>"SL"</f>
        <v>SL</v>
      </c>
      <c r="X212" s="27" t="s">
        <v>439</v>
      </c>
      <c r="Y212" s="29" t="str">
        <f t="shared" si="17"/>
        <v>Serra Leoa
Sierra Leone</v>
      </c>
    </row>
    <row r="213" spans="22:25" ht="24" x14ac:dyDescent="0.2">
      <c r="V213" s="27" t="s">
        <v>417</v>
      </c>
      <c r="W213" s="26" t="str">
        <f>"RS"</f>
        <v>RS</v>
      </c>
      <c r="X213" s="27" t="s">
        <v>416</v>
      </c>
      <c r="Y213" s="29" t="str">
        <f t="shared" si="17"/>
        <v>Sérvia
Serbia</v>
      </c>
    </row>
    <row r="214" spans="22:25" x14ac:dyDescent="0.2">
      <c r="V214" s="27" t="s">
        <v>425</v>
      </c>
      <c r="W214" s="26" t="str">
        <f>"SC"</f>
        <v>SC</v>
      </c>
      <c r="X214" s="27" t="s">
        <v>425</v>
      </c>
      <c r="Y214" s="29" t="str">
        <f t="shared" si="17"/>
        <v>Seychelles</v>
      </c>
    </row>
    <row r="215" spans="22:25" ht="24" x14ac:dyDescent="0.2">
      <c r="V215" s="27" t="s">
        <v>431</v>
      </c>
      <c r="W215" s="26" t="str">
        <f>"SG"</f>
        <v>SG</v>
      </c>
      <c r="X215" s="27" t="s">
        <v>430</v>
      </c>
      <c r="Y215" s="29" t="str">
        <f t="shared" si="17"/>
        <v>Singapura
Singapore</v>
      </c>
    </row>
    <row r="216" spans="22:25" ht="24" x14ac:dyDescent="0.2">
      <c r="V216" s="27" t="s">
        <v>451</v>
      </c>
      <c r="W216" s="26" t="str">
        <f>"SY"</f>
        <v>SY</v>
      </c>
      <c r="X216" s="27" t="s">
        <v>450</v>
      </c>
      <c r="Y216" s="29" t="str">
        <f t="shared" si="17"/>
        <v>Síria (República Árabe da)
Syrian Arab Republic</v>
      </c>
    </row>
    <row r="217" spans="22:25" ht="24" x14ac:dyDescent="0.2">
      <c r="V217" s="27" t="s">
        <v>445</v>
      </c>
      <c r="W217" s="26" t="str">
        <f>"SO"</f>
        <v>SO</v>
      </c>
      <c r="X217" s="27" t="s">
        <v>444</v>
      </c>
      <c r="Y217" s="29" t="str">
        <f t="shared" si="17"/>
        <v>Somália
Somalia</v>
      </c>
    </row>
    <row r="218" spans="22:25" x14ac:dyDescent="0.2">
      <c r="V218" s="27" t="s">
        <v>312</v>
      </c>
      <c r="W218" s="26" t="str">
        <f>"LK"</f>
        <v>LK</v>
      </c>
      <c r="X218" s="27" t="s">
        <v>312</v>
      </c>
      <c r="Y218" s="29" t="str">
        <f t="shared" si="17"/>
        <v>Sri Lanka</v>
      </c>
    </row>
    <row r="219" spans="22:25" ht="24" x14ac:dyDescent="0.2">
      <c r="V219" s="27" t="s">
        <v>453</v>
      </c>
      <c r="W219" s="26" t="str">
        <f>"SZ"</f>
        <v>SZ</v>
      </c>
      <c r="X219" s="27" t="s">
        <v>452</v>
      </c>
      <c r="Y219" s="29" t="str">
        <f t="shared" si="17"/>
        <v>Suazilândia
Swaziland</v>
      </c>
    </row>
    <row r="220" spans="22:25" ht="24" x14ac:dyDescent="0.2">
      <c r="V220" s="27" t="s">
        <v>427</v>
      </c>
      <c r="W220" s="26" t="str">
        <f>"SD"</f>
        <v>SD</v>
      </c>
      <c r="X220" s="27" t="s">
        <v>426</v>
      </c>
      <c r="Y220" s="29" t="str">
        <f t="shared" si="17"/>
        <v>Sudão
Sudan</v>
      </c>
    </row>
    <row r="221" spans="22:25" ht="24" x14ac:dyDescent="0.2">
      <c r="V221" s="27" t="s">
        <v>429</v>
      </c>
      <c r="W221" s="26" t="str">
        <f>"SE"</f>
        <v>SE</v>
      </c>
      <c r="X221" s="27" t="s">
        <v>428</v>
      </c>
      <c r="Y221" s="29" t="str">
        <f t="shared" si="17"/>
        <v>Suécia
Sweden</v>
      </c>
    </row>
    <row r="222" spans="22:25" ht="24" x14ac:dyDescent="0.2">
      <c r="V222" s="27" t="s">
        <v>64</v>
      </c>
      <c r="W222" s="26" t="str">
        <f>"CH"</f>
        <v>CH</v>
      </c>
      <c r="X222" s="27" t="s">
        <v>167</v>
      </c>
      <c r="Y222" s="29" t="str">
        <f t="shared" si="17"/>
        <v>Suíça
Switzerland</v>
      </c>
    </row>
    <row r="223" spans="22:25" x14ac:dyDescent="0.2">
      <c r="V223" s="27" t="s">
        <v>446</v>
      </c>
      <c r="W223" s="26" t="str">
        <f>"SR"</f>
        <v>SR</v>
      </c>
      <c r="X223" s="27" t="s">
        <v>446</v>
      </c>
      <c r="Y223" s="29" t="str">
        <f t="shared" si="17"/>
        <v>Suriname</v>
      </c>
    </row>
    <row r="224" spans="22:25" ht="24" x14ac:dyDescent="0.2">
      <c r="V224" s="27" t="s">
        <v>436</v>
      </c>
      <c r="W224" s="26" t="str">
        <f>"SJ"</f>
        <v>SJ</v>
      </c>
      <c r="X224" s="27" t="s">
        <v>435</v>
      </c>
      <c r="Y224" s="29" t="str">
        <f t="shared" si="17"/>
        <v>Svalbard e a Ilha de Jan Mayen
Svalbard and Jan Mayen</v>
      </c>
    </row>
    <row r="225" spans="22:25" ht="24" x14ac:dyDescent="0.2">
      <c r="V225" s="27" t="s">
        <v>462</v>
      </c>
      <c r="W225" s="26" t="str">
        <f>"TH"</f>
        <v>TH</v>
      </c>
      <c r="X225" s="27" t="s">
        <v>461</v>
      </c>
      <c r="Y225" s="29" t="str">
        <f t="shared" si="17"/>
        <v>Tailândia
Thailand</v>
      </c>
    </row>
    <row r="226" spans="22:25" ht="24" x14ac:dyDescent="0.2">
      <c r="V226" s="27" t="s">
        <v>478</v>
      </c>
      <c r="W226" s="26" t="str">
        <f>"TW"</f>
        <v>TW</v>
      </c>
      <c r="X226" s="27" t="s">
        <v>477</v>
      </c>
      <c r="Y226" s="29" t="str">
        <f t="shared" si="17"/>
        <v>Taiwan (Província da China)
Taiwan, Province of China</v>
      </c>
    </row>
    <row r="227" spans="22:25" ht="24" x14ac:dyDescent="0.2">
      <c r="V227" s="27" t="s">
        <v>464</v>
      </c>
      <c r="W227" s="26" t="str">
        <f>"TJ"</f>
        <v>TJ</v>
      </c>
      <c r="X227" s="27" t="s">
        <v>463</v>
      </c>
      <c r="Y227" s="29" t="str">
        <f t="shared" si="17"/>
        <v>Tajiquistão
Tajikistan</v>
      </c>
    </row>
    <row r="228" spans="22:25" ht="24" x14ac:dyDescent="0.2">
      <c r="V228" s="27" t="s">
        <v>480</v>
      </c>
      <c r="W228" s="26" t="str">
        <f>"TZ"</f>
        <v>TZ</v>
      </c>
      <c r="X228" s="27" t="s">
        <v>479</v>
      </c>
      <c r="Y228" s="29" t="str">
        <f t="shared" si="17"/>
        <v>Tanzânia, República Unida da
Tanzania, United Republic of</v>
      </c>
    </row>
    <row r="229" spans="22:25" ht="24" x14ac:dyDescent="0.2">
      <c r="V229" s="27" t="s">
        <v>273</v>
      </c>
      <c r="W229" s="26" t="str">
        <f>"IO"</f>
        <v>IO</v>
      </c>
      <c r="X229" s="27" t="s">
        <v>272</v>
      </c>
      <c r="Y229" s="29" t="str">
        <f t="shared" si="17"/>
        <v>Território Britânico do Oceano Índico
British Indian Ocean Territory</v>
      </c>
    </row>
    <row r="230" spans="22:25" ht="24" x14ac:dyDescent="0.2">
      <c r="V230" s="27" t="s">
        <v>406</v>
      </c>
      <c r="W230" s="26" t="str">
        <f>"PS"</f>
        <v>PS</v>
      </c>
      <c r="X230" s="27" t="s">
        <v>405</v>
      </c>
      <c r="Y230" s="29" t="str">
        <f t="shared" si="17"/>
        <v>Território Palestiniano Ocupado
Palestinian Territory, occupied</v>
      </c>
    </row>
    <row r="231" spans="22:25" ht="24" x14ac:dyDescent="0.2">
      <c r="V231" s="27" t="s">
        <v>459</v>
      </c>
      <c r="W231" s="26" t="str">
        <f>"TF"</f>
        <v>TF</v>
      </c>
      <c r="X231" s="27" t="s">
        <v>458</v>
      </c>
      <c r="Y231" s="29" t="str">
        <f t="shared" si="17"/>
        <v>Territórios Franceses do Sul
French Southern Territories</v>
      </c>
    </row>
    <row r="232" spans="22:25" ht="24" x14ac:dyDescent="0.2">
      <c r="V232" s="27" t="s">
        <v>467</v>
      </c>
      <c r="W232" s="26" t="str">
        <f>"TL"</f>
        <v>TL</v>
      </c>
      <c r="X232" s="27" t="s">
        <v>466</v>
      </c>
      <c r="Y232" s="29" t="str">
        <f t="shared" si="17"/>
        <v>Timor Leste
Timor-Leste</v>
      </c>
    </row>
    <row r="233" spans="22:25" x14ac:dyDescent="0.2">
      <c r="V233" s="27" t="s">
        <v>460</v>
      </c>
      <c r="W233" s="26" t="str">
        <f>"TG"</f>
        <v>TG</v>
      </c>
      <c r="X233" s="27" t="s">
        <v>460</v>
      </c>
      <c r="Y233" s="29" t="str">
        <f t="shared" si="17"/>
        <v>Togo</v>
      </c>
    </row>
    <row r="234" spans="22:25" x14ac:dyDescent="0.2">
      <c r="V234" s="27" t="s">
        <v>465</v>
      </c>
      <c r="W234" s="26" t="str">
        <f>"TK"</f>
        <v>TK</v>
      </c>
      <c r="X234" s="27" t="s">
        <v>465</v>
      </c>
      <c r="Y234" s="29" t="str">
        <f t="shared" si="17"/>
        <v>Tokelau</v>
      </c>
    </row>
    <row r="235" spans="22:25" x14ac:dyDescent="0.2">
      <c r="V235" s="27" t="s">
        <v>472</v>
      </c>
      <c r="W235" s="26" t="str">
        <f>"TO"</f>
        <v>TO</v>
      </c>
      <c r="X235" s="27" t="s">
        <v>472</v>
      </c>
      <c r="Y235" s="29" t="str">
        <f t="shared" si="17"/>
        <v>Tonga</v>
      </c>
    </row>
    <row r="236" spans="22:25" ht="24" x14ac:dyDescent="0.2">
      <c r="V236" s="27" t="s">
        <v>475</v>
      </c>
      <c r="W236" s="26" t="str">
        <f>"TT"</f>
        <v>TT</v>
      </c>
      <c r="X236" s="27" t="s">
        <v>474</v>
      </c>
      <c r="Y236" s="29" t="str">
        <f t="shared" si="17"/>
        <v>Trindade e Tobago
Trinidad and Tobago</v>
      </c>
    </row>
    <row r="237" spans="22:25" ht="24" x14ac:dyDescent="0.2">
      <c r="V237" s="27" t="s">
        <v>471</v>
      </c>
      <c r="W237" s="26" t="str">
        <f>"TN"</f>
        <v>TN</v>
      </c>
      <c r="X237" s="27" t="s">
        <v>470</v>
      </c>
      <c r="Y237" s="29" t="str">
        <f t="shared" si="17"/>
        <v>Tunísia
Tunisia</v>
      </c>
    </row>
    <row r="238" spans="22:25" ht="24" x14ac:dyDescent="0.2">
      <c r="V238" s="27" t="s">
        <v>469</v>
      </c>
      <c r="W238" s="26" t="str">
        <f>"TM"</f>
        <v>TM</v>
      </c>
      <c r="X238" s="27" t="s">
        <v>468</v>
      </c>
      <c r="Y238" s="29" t="str">
        <f t="shared" si="17"/>
        <v>Turquemenistão
Turkmenistan</v>
      </c>
    </row>
    <row r="239" spans="22:25" ht="24" x14ac:dyDescent="0.2">
      <c r="V239" s="27" t="s">
        <v>69</v>
      </c>
      <c r="W239" s="26" t="str">
        <f>"TR"</f>
        <v>TR</v>
      </c>
      <c r="X239" s="27" t="s">
        <v>473</v>
      </c>
      <c r="Y239" s="29" t="str">
        <f t="shared" si="17"/>
        <v>Turquia
Turkey</v>
      </c>
    </row>
    <row r="240" spans="22:25" x14ac:dyDescent="0.2">
      <c r="V240" s="27" t="s">
        <v>476</v>
      </c>
      <c r="W240" s="26" t="str">
        <f>"TV"</f>
        <v>TV</v>
      </c>
      <c r="X240" s="27" t="s">
        <v>476</v>
      </c>
      <c r="Y240" s="29" t="str">
        <f t="shared" si="17"/>
        <v>Tuvalu</v>
      </c>
    </row>
    <row r="241" spans="22:25" ht="24" x14ac:dyDescent="0.2">
      <c r="V241" s="27" t="s">
        <v>71</v>
      </c>
      <c r="W241" s="26" t="str">
        <f>"UA"</f>
        <v>UA</v>
      </c>
      <c r="X241" s="27" t="s">
        <v>481</v>
      </c>
      <c r="Y241" s="29" t="str">
        <f t="shared" si="17"/>
        <v>Ucrânia
Ukraine</v>
      </c>
    </row>
    <row r="242" spans="22:25" x14ac:dyDescent="0.2">
      <c r="V242" s="27" t="s">
        <v>482</v>
      </c>
      <c r="W242" s="26" t="str">
        <f>"UG"</f>
        <v>UG</v>
      </c>
      <c r="X242" s="27" t="s">
        <v>482</v>
      </c>
      <c r="Y242" s="29" t="str">
        <f t="shared" si="17"/>
        <v>Uganda</v>
      </c>
    </row>
    <row r="243" spans="22:25" ht="24" x14ac:dyDescent="0.2">
      <c r="V243" s="27" t="s">
        <v>486</v>
      </c>
      <c r="W243" s="26" t="str">
        <f>"UY"</f>
        <v>UY</v>
      </c>
      <c r="X243" s="27" t="s">
        <v>485</v>
      </c>
      <c r="Y243" s="29" t="str">
        <f t="shared" si="17"/>
        <v>Uruguai
Uruguay</v>
      </c>
    </row>
    <row r="244" spans="22:25" ht="24" x14ac:dyDescent="0.2">
      <c r="V244" s="27" t="s">
        <v>488</v>
      </c>
      <c r="W244" s="26" t="str">
        <f>"UZ"</f>
        <v>UZ</v>
      </c>
      <c r="X244" s="27" t="s">
        <v>487</v>
      </c>
      <c r="Y244" s="29" t="str">
        <f t="shared" si="17"/>
        <v>Usbequistão
Uzbekistan</v>
      </c>
    </row>
    <row r="245" spans="22:25" x14ac:dyDescent="0.2">
      <c r="V245" s="27" t="s">
        <v>501</v>
      </c>
      <c r="W245" s="26" t="str">
        <f>"VU"</f>
        <v>VU</v>
      </c>
      <c r="X245" s="27" t="s">
        <v>501</v>
      </c>
      <c r="Y245" s="29" t="str">
        <f t="shared" si="17"/>
        <v>Vanuatu</v>
      </c>
    </row>
    <row r="246" spans="22:25" ht="24" x14ac:dyDescent="0.2">
      <c r="V246" s="27" t="s">
        <v>494</v>
      </c>
      <c r="W246" s="26" t="str">
        <f>"VE"</f>
        <v>VE</v>
      </c>
      <c r="X246" s="27" t="s">
        <v>493</v>
      </c>
      <c r="Y246" s="29" t="str">
        <f t="shared" si="17"/>
        <v>Venezuela, República Bolivariana da
Venezuela, Bolivarian Republic of</v>
      </c>
    </row>
    <row r="247" spans="22:25" ht="24" x14ac:dyDescent="0.2">
      <c r="V247" s="27" t="s">
        <v>500</v>
      </c>
      <c r="W247" s="26" t="str">
        <f>"VN"</f>
        <v>VN</v>
      </c>
      <c r="X247" s="27" t="s">
        <v>499</v>
      </c>
      <c r="Y247" s="29" t="str">
        <f t="shared" si="17"/>
        <v>Vietname
Viet Nam</v>
      </c>
    </row>
    <row r="248" spans="22:25" ht="24" x14ac:dyDescent="0.2">
      <c r="V248" s="27" t="s">
        <v>503</v>
      </c>
      <c r="W248" s="26" t="str">
        <f>"WF"</f>
        <v>WF</v>
      </c>
      <c r="X248" s="27" t="s">
        <v>502</v>
      </c>
      <c r="Y248" s="29" t="str">
        <f t="shared" si="17"/>
        <v>Wallis e Futuna (Ilhas)
Wallis and Futuna</v>
      </c>
    </row>
    <row r="249" spans="22:25" ht="24" x14ac:dyDescent="0.2">
      <c r="V249" s="27" t="s">
        <v>511</v>
      </c>
      <c r="W249" s="26" t="str">
        <f>"ZM"</f>
        <v>ZM</v>
      </c>
      <c r="X249" s="27" t="s">
        <v>510</v>
      </c>
      <c r="Y249" s="29" t="str">
        <f t="shared" si="17"/>
        <v>Zâmbia
Zambia</v>
      </c>
    </row>
    <row r="250" spans="22:25" x14ac:dyDescent="0.2">
      <c r="V250" s="27" t="s">
        <v>512</v>
      </c>
      <c r="W250" s="26" t="str">
        <f>"ZW"</f>
        <v>ZW</v>
      </c>
      <c r="X250" s="27" t="s">
        <v>512</v>
      </c>
      <c r="Y250" s="29" t="str">
        <f t="shared" si="17"/>
        <v>Zimbabwe</v>
      </c>
    </row>
  </sheetData>
  <mergeCells count="9">
    <mergeCell ref="J27:L27"/>
    <mergeCell ref="G27:I27"/>
    <mergeCell ref="C43:H43"/>
    <mergeCell ref="C36:H36"/>
    <mergeCell ref="C25:H25"/>
    <mergeCell ref="C26:H26"/>
    <mergeCell ref="D1:H1"/>
    <mergeCell ref="D15:H15"/>
    <mergeCell ref="D3:H3"/>
  </mergeCells>
  <dataValidations disablePrompts="1" count="2">
    <dataValidation type="list" allowBlank="1" showInputMessage="1" showErrorMessage="1" sqref="B3:B4" xr:uid="{00000000-0002-0000-0D00-000000000000}">
      <mc:AlternateContent xmlns:x12ac="http://schemas.microsoft.com/office/spreadsheetml/2011/1/ac" xmlns:mc="http://schemas.openxmlformats.org/markup-compatibility/2006">
        <mc:Choice Requires="x12ac">
          <x12ac:list>"""""",JANEIRO,FEVEREIRO,MARÇO,ABRIL,MAIO,JUNHO,JULHO,AGOSTO,SETEMBRO,OUTUBRO,NOVEMBRO,DEZEMBRO</x12ac:list>
        </mc:Choice>
        <mc:Fallback>
          <formula1>""""",JANEIRO,FEVEREIRO,MARÇO,ABRIL,MAIO,JUNHO,JULHO,AGOSTO,SETEMBRO,OUTUBRO,NOVEMBRO,DEZEMBRO"</formula1>
        </mc:Fallback>
      </mc:AlternateContent>
    </dataValidation>
    <dataValidation type="list" allowBlank="1" showInputMessage="1" showErrorMessage="1" sqref="B2" xr:uid="{00000000-0002-0000-0D00-000001000000}">
      <formula1>"2011,2012,2013,2014,2015"</formula1>
    </dataValidation>
  </dataValidations>
  <pageMargins left="0.7" right="0.7" top="0.75" bottom="0.75" header="0.3" footer="0.3"/>
  <pageSetup paperSize="9" orientation="portrait" r:id="rId1"/>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B1:N344"/>
  <sheetViews>
    <sheetView zoomScale="85" zoomScaleNormal="85" workbookViewId="0">
      <pane ySplit="12" topLeftCell="A13" activePane="bottomLeft" state="frozen"/>
      <selection pane="bottomLeft" activeCell="C34" sqref="C34"/>
    </sheetView>
  </sheetViews>
  <sheetFormatPr defaultRowHeight="12" x14ac:dyDescent="0.2"/>
  <cols>
    <col min="1" max="1" width="9.140625" style="139"/>
    <col min="2" max="2" width="26.42578125" style="139" bestFit="1" customWidth="1"/>
    <col min="3" max="3" width="44.28515625" style="139" bestFit="1" customWidth="1"/>
    <col min="4" max="4" width="12.28515625" style="139" hidden="1" customWidth="1"/>
    <col min="5" max="5" width="39" style="139" bestFit="1" customWidth="1"/>
    <col min="6" max="6" width="22" style="139" bestFit="1" customWidth="1"/>
    <col min="7" max="7" width="45.28515625" style="139" bestFit="1" customWidth="1"/>
    <col min="8" max="8" width="4.85546875" style="139" bestFit="1" customWidth="1"/>
    <col min="9" max="9" width="6.42578125" style="139" bestFit="1" customWidth="1"/>
    <col min="10" max="10" width="4" style="139" customWidth="1"/>
    <col min="11" max="11" width="24" style="139" bestFit="1" customWidth="1"/>
    <col min="12" max="12" width="13.5703125" style="139" bestFit="1" customWidth="1"/>
    <col min="13" max="13" width="24.28515625" style="139" bestFit="1" customWidth="1"/>
    <col min="14" max="16384" width="9.140625" style="139"/>
  </cols>
  <sheetData>
    <row r="1" spans="2:14" ht="15" x14ac:dyDescent="0.2">
      <c r="K1" s="140" t="s">
        <v>612</v>
      </c>
      <c r="L1" s="141">
        <v>2013</v>
      </c>
    </row>
    <row r="2" spans="2:14" ht="15" x14ac:dyDescent="0.2">
      <c r="K2" s="140" t="s">
        <v>613</v>
      </c>
      <c r="L2" s="140" t="s">
        <v>614</v>
      </c>
    </row>
    <row r="3" spans="2:14" ht="15" x14ac:dyDescent="0.2">
      <c r="K3" s="140" t="s">
        <v>615</v>
      </c>
      <c r="L3" s="140" t="s">
        <v>616</v>
      </c>
    </row>
    <row r="4" spans="2:14" ht="15" x14ac:dyDescent="0.25">
      <c r="K4" s="140"/>
      <c r="L4" s="140"/>
      <c r="N4" s="142"/>
    </row>
    <row r="5" spans="2:14" ht="15" x14ac:dyDescent="0.25">
      <c r="K5" s="140" t="s">
        <v>617</v>
      </c>
      <c r="L5" s="140" t="s">
        <v>618</v>
      </c>
      <c r="N5" s="142"/>
    </row>
    <row r="6" spans="2:14" ht="15" x14ac:dyDescent="0.25">
      <c r="K6" s="141" t="s">
        <v>555</v>
      </c>
      <c r="L6" s="140">
        <v>42</v>
      </c>
      <c r="N6" s="142"/>
    </row>
    <row r="7" spans="2:14" ht="15" x14ac:dyDescent="0.25">
      <c r="K7" s="141" t="s">
        <v>554</v>
      </c>
      <c r="L7" s="140">
        <v>75</v>
      </c>
      <c r="N7" s="142"/>
    </row>
    <row r="8" spans="2:14" ht="15" x14ac:dyDescent="0.25">
      <c r="B8" s="139" t="s">
        <v>612</v>
      </c>
      <c r="C8" s="143">
        <v>2014</v>
      </c>
      <c r="K8" s="141" t="s">
        <v>563</v>
      </c>
      <c r="L8" s="140">
        <v>10</v>
      </c>
      <c r="N8" s="142"/>
    </row>
    <row r="9" spans="2:14" ht="18.75" x14ac:dyDescent="0.25">
      <c r="B9" s="139" t="s">
        <v>613</v>
      </c>
      <c r="C9" s="139" t="s">
        <v>642</v>
      </c>
      <c r="E9" s="144">
        <f>COUNTA(G13:G10003)</f>
        <v>4</v>
      </c>
      <c r="F9" s="144" t="s">
        <v>744</v>
      </c>
      <c r="K9" s="141" t="s">
        <v>553</v>
      </c>
      <c r="L9" s="140">
        <v>116</v>
      </c>
      <c r="N9" s="142"/>
    </row>
    <row r="10" spans="2:14" ht="15" x14ac:dyDescent="0.25">
      <c r="B10" s="139" t="s">
        <v>615</v>
      </c>
      <c r="C10" s="139" t="s">
        <v>616</v>
      </c>
      <c r="K10" s="141" t="s">
        <v>619</v>
      </c>
      <c r="L10" s="140">
        <v>11</v>
      </c>
      <c r="N10" s="142"/>
    </row>
    <row r="11" spans="2:14" ht="46.5" customHeight="1" x14ac:dyDescent="0.25">
      <c r="B11" s="290" t="s">
        <v>745</v>
      </c>
      <c r="C11" s="290"/>
      <c r="D11" s="290"/>
      <c r="E11" s="290"/>
      <c r="F11" s="290"/>
      <c r="G11" s="290"/>
      <c r="H11" s="145"/>
      <c r="K11" s="141" t="s">
        <v>12</v>
      </c>
      <c r="L11" s="140">
        <v>254</v>
      </c>
      <c r="N11" s="142"/>
    </row>
    <row r="12" spans="2:14" ht="24" x14ac:dyDescent="0.25">
      <c r="B12" s="139" t="s">
        <v>92</v>
      </c>
      <c r="C12" s="139" t="s">
        <v>620</v>
      </c>
      <c r="D12" s="139" t="s">
        <v>621</v>
      </c>
      <c r="E12" s="139" t="s">
        <v>521</v>
      </c>
      <c r="F12" s="139" t="s">
        <v>522</v>
      </c>
      <c r="G12" s="139" t="s">
        <v>524</v>
      </c>
      <c r="H12" s="139" t="s">
        <v>622</v>
      </c>
      <c r="I12" s="146" t="s">
        <v>623</v>
      </c>
      <c r="N12" s="142"/>
    </row>
    <row r="13" spans="2:14" ht="24" x14ac:dyDescent="0.25">
      <c r="B13" s="139" t="s">
        <v>519</v>
      </c>
      <c r="C13" s="139" t="s">
        <v>624</v>
      </c>
      <c r="D13" s="147">
        <v>41655</v>
      </c>
      <c r="E13" s="139" t="s">
        <v>746</v>
      </c>
      <c r="F13" s="148" t="s">
        <v>626</v>
      </c>
      <c r="G13" s="139" t="s">
        <v>747</v>
      </c>
      <c r="H13" s="139">
        <v>6434</v>
      </c>
      <c r="I13" s="146">
        <v>1</v>
      </c>
      <c r="N13" s="142"/>
    </row>
    <row r="14" spans="2:14" ht="24" x14ac:dyDescent="0.25">
      <c r="B14" s="139" t="s">
        <v>516</v>
      </c>
      <c r="C14" s="139" t="s">
        <v>748</v>
      </c>
      <c r="D14" s="147">
        <v>41649</v>
      </c>
      <c r="E14" s="139" t="s">
        <v>749</v>
      </c>
      <c r="F14" s="149" t="s">
        <v>56</v>
      </c>
      <c r="G14" s="139" t="s">
        <v>625</v>
      </c>
      <c r="H14" s="139">
        <v>6564</v>
      </c>
      <c r="I14" s="146">
        <v>2</v>
      </c>
      <c r="L14" s="142"/>
      <c r="M14" s="142"/>
      <c r="N14" s="142"/>
    </row>
    <row r="15" spans="2:14" ht="24" x14ac:dyDescent="0.25">
      <c r="C15" s="139" t="s">
        <v>750</v>
      </c>
      <c r="D15" s="147">
        <v>41660</v>
      </c>
      <c r="E15" s="139" t="s">
        <v>751</v>
      </c>
      <c r="F15" s="149" t="s">
        <v>56</v>
      </c>
      <c r="G15" s="139" t="s">
        <v>625</v>
      </c>
      <c r="H15" s="139">
        <v>6471</v>
      </c>
      <c r="I15" s="146">
        <v>3</v>
      </c>
      <c r="L15" s="142"/>
      <c r="M15" s="142"/>
      <c r="N15" s="142"/>
    </row>
    <row r="16" spans="2:14" ht="24" x14ac:dyDescent="0.25">
      <c r="B16" s="139" t="s">
        <v>628</v>
      </c>
      <c r="C16" s="139" t="s">
        <v>629</v>
      </c>
      <c r="D16" s="147">
        <v>41659</v>
      </c>
      <c r="E16" s="139" t="s">
        <v>752</v>
      </c>
      <c r="F16" s="150" t="s">
        <v>627</v>
      </c>
      <c r="G16" s="139" t="s">
        <v>753</v>
      </c>
      <c r="H16" s="139">
        <v>6433</v>
      </c>
      <c r="I16" s="146">
        <v>4</v>
      </c>
      <c r="L16" s="142"/>
      <c r="M16" s="142"/>
      <c r="N16" s="142"/>
    </row>
    <row r="17" spans="2:14" ht="15" x14ac:dyDescent="0.25">
      <c r="B17" s="142"/>
      <c r="C17" s="142"/>
      <c r="D17" s="142"/>
      <c r="E17" s="142"/>
      <c r="F17" s="142"/>
      <c r="G17" s="142"/>
      <c r="H17" s="142"/>
      <c r="I17" s="146">
        <v>5</v>
      </c>
      <c r="L17" s="142"/>
      <c r="M17" s="142"/>
      <c r="N17" s="142"/>
    </row>
    <row r="18" spans="2:14" ht="15" x14ac:dyDescent="0.25">
      <c r="B18" s="142"/>
      <c r="C18" s="142"/>
      <c r="D18" s="142"/>
      <c r="E18" s="142"/>
      <c r="F18" s="142"/>
      <c r="G18" s="142"/>
      <c r="H18" s="142"/>
      <c r="I18" s="146">
        <v>6</v>
      </c>
      <c r="L18" s="142"/>
      <c r="M18" s="142"/>
      <c r="N18" s="142"/>
    </row>
    <row r="19" spans="2:14" ht="15" x14ac:dyDescent="0.25">
      <c r="B19" s="142"/>
      <c r="C19" s="142"/>
      <c r="D19" s="142"/>
      <c r="E19" s="142"/>
      <c r="F19" s="142"/>
      <c r="G19" s="142"/>
      <c r="H19" s="142"/>
      <c r="I19" s="146">
        <v>7</v>
      </c>
      <c r="L19" s="142"/>
      <c r="M19" s="142"/>
      <c r="N19" s="142"/>
    </row>
    <row r="20" spans="2:14" ht="15" x14ac:dyDescent="0.25">
      <c r="B20" s="142"/>
      <c r="C20" s="142"/>
      <c r="D20" s="142"/>
      <c r="E20" s="142"/>
      <c r="F20" s="142"/>
      <c r="G20" s="142"/>
      <c r="H20" s="142"/>
      <c r="I20" s="146">
        <v>8</v>
      </c>
      <c r="L20" s="142"/>
      <c r="M20" s="142"/>
      <c r="N20" s="142"/>
    </row>
    <row r="21" spans="2:14" ht="15" x14ac:dyDescent="0.25">
      <c r="B21" s="142"/>
      <c r="C21" s="142"/>
      <c r="D21" s="142"/>
      <c r="E21" s="142"/>
      <c r="F21" s="142"/>
      <c r="G21" s="142"/>
      <c r="H21" s="142"/>
      <c r="I21" s="146">
        <v>9</v>
      </c>
      <c r="L21" s="142"/>
      <c r="M21" s="142"/>
      <c r="N21" s="142"/>
    </row>
    <row r="22" spans="2:14" ht="15" x14ac:dyDescent="0.25">
      <c r="B22" s="142"/>
      <c r="C22" s="142"/>
      <c r="D22" s="142"/>
      <c r="E22" s="142"/>
      <c r="F22" s="142"/>
      <c r="G22" s="142"/>
      <c r="H22" s="142"/>
      <c r="I22" s="146">
        <v>10</v>
      </c>
    </row>
    <row r="23" spans="2:14" ht="15" x14ac:dyDescent="0.25">
      <c r="B23" s="142"/>
      <c r="C23" s="142"/>
      <c r="D23" s="142"/>
      <c r="E23" s="142"/>
      <c r="F23" s="142"/>
      <c r="G23" s="142"/>
      <c r="H23" s="142"/>
      <c r="I23" s="146">
        <v>11</v>
      </c>
    </row>
    <row r="24" spans="2:14" ht="15" x14ac:dyDescent="0.25">
      <c r="B24" s="142"/>
      <c r="C24" s="142"/>
      <c r="D24" s="142"/>
      <c r="E24" s="142"/>
      <c r="F24" s="142"/>
      <c r="G24" s="142"/>
      <c r="H24" s="142"/>
      <c r="I24" s="146">
        <v>12</v>
      </c>
    </row>
    <row r="25" spans="2:14" ht="15" x14ac:dyDescent="0.25">
      <c r="B25" s="142"/>
      <c r="C25" s="142"/>
      <c r="D25" s="142"/>
      <c r="E25" s="142"/>
      <c r="F25" s="142"/>
      <c r="G25" s="142"/>
      <c r="H25" s="142"/>
      <c r="I25" s="146">
        <v>13</v>
      </c>
    </row>
    <row r="26" spans="2:14" ht="15" x14ac:dyDescent="0.25">
      <c r="B26" s="142"/>
      <c r="C26" s="142"/>
      <c r="D26" s="142"/>
      <c r="E26" s="142"/>
      <c r="F26" s="142"/>
      <c r="G26" s="142"/>
      <c r="H26" s="142"/>
      <c r="I26" s="146">
        <v>14</v>
      </c>
    </row>
    <row r="27" spans="2:14" ht="15" x14ac:dyDescent="0.25">
      <c r="B27" s="142"/>
      <c r="C27" s="142"/>
      <c r="D27" s="142"/>
      <c r="E27" s="142"/>
      <c r="F27" s="142"/>
      <c r="G27" s="142"/>
      <c r="H27" s="142"/>
      <c r="I27" s="146">
        <v>15</v>
      </c>
    </row>
    <row r="28" spans="2:14" ht="15" x14ac:dyDescent="0.25">
      <c r="B28" s="142"/>
      <c r="C28" s="142"/>
      <c r="D28" s="142"/>
      <c r="E28" s="142"/>
      <c r="F28" s="142"/>
      <c r="G28" s="142"/>
      <c r="H28" s="142"/>
      <c r="I28" s="146">
        <v>16</v>
      </c>
    </row>
    <row r="29" spans="2:14" ht="15" x14ac:dyDescent="0.25">
      <c r="B29" s="142"/>
      <c r="C29" s="142"/>
      <c r="D29" s="142"/>
      <c r="E29" s="142"/>
      <c r="F29" s="142"/>
      <c r="G29" s="142"/>
      <c r="H29" s="142"/>
      <c r="I29" s="146">
        <v>17</v>
      </c>
    </row>
    <row r="30" spans="2:14" ht="15" x14ac:dyDescent="0.25">
      <c r="B30" s="142"/>
      <c r="C30" s="142"/>
      <c r="D30" s="142"/>
      <c r="E30" s="142"/>
      <c r="F30" s="142"/>
      <c r="G30" s="142"/>
      <c r="H30" s="142"/>
      <c r="I30" s="146">
        <v>18</v>
      </c>
    </row>
    <row r="31" spans="2:14" ht="15" x14ac:dyDescent="0.25">
      <c r="B31" s="142"/>
      <c r="C31" s="142"/>
      <c r="D31" s="142"/>
      <c r="E31" s="142"/>
      <c r="F31" s="142"/>
      <c r="G31" s="142"/>
      <c r="H31" s="142"/>
      <c r="I31" s="146">
        <v>19</v>
      </c>
    </row>
    <row r="32" spans="2:14" ht="15" x14ac:dyDescent="0.25">
      <c r="B32" s="142"/>
      <c r="C32" s="142"/>
      <c r="D32" s="142"/>
      <c r="E32" s="142"/>
      <c r="F32" s="142"/>
      <c r="G32" s="142"/>
      <c r="H32" s="142"/>
      <c r="I32" s="146">
        <v>20</v>
      </c>
    </row>
    <row r="33" spans="2:9" ht="15" x14ac:dyDescent="0.25">
      <c r="B33" s="142"/>
      <c r="C33" s="142"/>
      <c r="D33" s="142"/>
      <c r="E33" s="142"/>
      <c r="F33" s="142"/>
      <c r="G33" s="142"/>
      <c r="H33" s="142"/>
      <c r="I33" s="146">
        <v>21</v>
      </c>
    </row>
    <row r="34" spans="2:9" ht="15" x14ac:dyDescent="0.25">
      <c r="B34" s="142"/>
      <c r="C34" s="142"/>
      <c r="D34" s="142"/>
      <c r="E34" s="142"/>
      <c r="F34" s="142"/>
      <c r="G34" s="142"/>
      <c r="H34" s="142"/>
      <c r="I34" s="146">
        <v>22</v>
      </c>
    </row>
    <row r="35" spans="2:9" ht="15" x14ac:dyDescent="0.25">
      <c r="B35" s="142"/>
      <c r="C35" s="142"/>
      <c r="D35" s="142"/>
      <c r="E35" s="142"/>
      <c r="F35" s="142"/>
      <c r="G35" s="142"/>
      <c r="H35" s="142"/>
      <c r="I35" s="146">
        <v>23</v>
      </c>
    </row>
    <row r="36" spans="2:9" ht="15" x14ac:dyDescent="0.25">
      <c r="B36" s="142"/>
      <c r="C36" s="142"/>
      <c r="D36" s="142"/>
      <c r="E36" s="142"/>
      <c r="F36" s="142"/>
      <c r="G36" s="142"/>
      <c r="H36" s="142"/>
      <c r="I36" s="146">
        <v>24</v>
      </c>
    </row>
    <row r="37" spans="2:9" ht="15" x14ac:dyDescent="0.25">
      <c r="B37" s="142"/>
      <c r="C37" s="142"/>
      <c r="D37" s="142"/>
      <c r="E37" s="142"/>
      <c r="F37" s="142"/>
      <c r="G37" s="142"/>
      <c r="H37" s="142"/>
      <c r="I37" s="146">
        <v>25</v>
      </c>
    </row>
    <row r="38" spans="2:9" ht="15" x14ac:dyDescent="0.25">
      <c r="B38" s="142"/>
      <c r="C38" s="142"/>
      <c r="D38" s="142"/>
      <c r="E38" s="142"/>
      <c r="F38" s="142"/>
      <c r="G38" s="142"/>
      <c r="H38" s="142"/>
      <c r="I38" s="146">
        <v>26</v>
      </c>
    </row>
    <row r="39" spans="2:9" ht="15" x14ac:dyDescent="0.25">
      <c r="B39" s="142"/>
      <c r="C39" s="142"/>
      <c r="D39" s="142"/>
      <c r="E39" s="142"/>
      <c r="F39" s="142"/>
      <c r="G39" s="142"/>
      <c r="H39" s="142"/>
      <c r="I39" s="146">
        <v>27</v>
      </c>
    </row>
    <row r="40" spans="2:9" ht="15" x14ac:dyDescent="0.25">
      <c r="B40" s="142"/>
      <c r="C40" s="142"/>
      <c r="D40" s="142"/>
      <c r="E40" s="142"/>
      <c r="F40" s="142"/>
      <c r="G40" s="142"/>
      <c r="H40" s="142"/>
      <c r="I40" s="146">
        <v>28</v>
      </c>
    </row>
    <row r="41" spans="2:9" ht="15" x14ac:dyDescent="0.25">
      <c r="B41" s="142"/>
      <c r="C41" s="142"/>
      <c r="D41" s="142"/>
      <c r="E41" s="142"/>
      <c r="F41" s="142"/>
      <c r="G41" s="142"/>
      <c r="H41" s="142"/>
      <c r="I41" s="146">
        <v>29</v>
      </c>
    </row>
    <row r="42" spans="2:9" ht="15" x14ac:dyDescent="0.25">
      <c r="B42" s="142"/>
      <c r="C42" s="142"/>
      <c r="D42" s="142"/>
      <c r="E42" s="142"/>
      <c r="F42" s="142"/>
      <c r="G42" s="142"/>
      <c r="H42" s="142"/>
      <c r="I42" s="146">
        <v>30</v>
      </c>
    </row>
    <row r="43" spans="2:9" ht="15" x14ac:dyDescent="0.25">
      <c r="B43" s="142"/>
      <c r="C43" s="142"/>
      <c r="D43" s="142"/>
      <c r="E43" s="142"/>
      <c r="F43" s="142"/>
      <c r="G43" s="142"/>
      <c r="H43" s="142"/>
      <c r="I43" s="146">
        <v>31</v>
      </c>
    </row>
    <row r="44" spans="2:9" ht="15" x14ac:dyDescent="0.25">
      <c r="B44" s="142"/>
      <c r="C44" s="142"/>
      <c r="D44" s="142"/>
      <c r="E44" s="142"/>
      <c r="F44" s="142"/>
      <c r="G44" s="142"/>
      <c r="H44" s="142"/>
      <c r="I44" s="146">
        <v>32</v>
      </c>
    </row>
    <row r="45" spans="2:9" ht="15" x14ac:dyDescent="0.25">
      <c r="B45" s="142"/>
      <c r="C45" s="142"/>
      <c r="D45" s="142"/>
      <c r="E45" s="142"/>
      <c r="F45" s="142"/>
      <c r="G45" s="142"/>
      <c r="H45" s="142"/>
      <c r="I45" s="146">
        <v>33</v>
      </c>
    </row>
    <row r="46" spans="2:9" ht="15" x14ac:dyDescent="0.25">
      <c r="B46" s="142"/>
      <c r="C46" s="142"/>
      <c r="D46" s="142"/>
      <c r="E46" s="142"/>
      <c r="F46" s="142"/>
      <c r="G46" s="142"/>
      <c r="H46" s="142"/>
      <c r="I46" s="146">
        <v>34</v>
      </c>
    </row>
    <row r="47" spans="2:9" ht="15" x14ac:dyDescent="0.25">
      <c r="B47" s="142"/>
      <c r="C47" s="142"/>
      <c r="D47" s="142"/>
      <c r="E47" s="142"/>
      <c r="F47" s="142"/>
      <c r="G47" s="142"/>
      <c r="H47" s="142"/>
      <c r="I47" s="146">
        <v>35</v>
      </c>
    </row>
    <row r="48" spans="2:9" ht="15" x14ac:dyDescent="0.25">
      <c r="B48" s="142"/>
      <c r="C48" s="142"/>
      <c r="D48" s="142"/>
      <c r="E48" s="142"/>
      <c r="F48" s="142"/>
      <c r="G48" s="142"/>
      <c r="H48" s="142"/>
      <c r="I48" s="146">
        <v>36</v>
      </c>
    </row>
    <row r="49" spans="2:9" ht="15" x14ac:dyDescent="0.25">
      <c r="B49" s="142"/>
      <c r="C49" s="142"/>
      <c r="D49" s="142"/>
      <c r="E49" s="142"/>
      <c r="F49" s="142"/>
      <c r="G49" s="142"/>
      <c r="H49" s="142"/>
      <c r="I49" s="146">
        <v>37</v>
      </c>
    </row>
    <row r="50" spans="2:9" ht="15" x14ac:dyDescent="0.25">
      <c r="B50" s="142"/>
      <c r="C50" s="142"/>
      <c r="D50" s="142"/>
      <c r="E50" s="142"/>
      <c r="F50" s="142"/>
      <c r="G50" s="142"/>
      <c r="H50" s="142"/>
      <c r="I50" s="146">
        <v>38</v>
      </c>
    </row>
    <row r="51" spans="2:9" ht="15" x14ac:dyDescent="0.25">
      <c r="B51" s="142"/>
      <c r="C51" s="142"/>
      <c r="D51" s="142"/>
      <c r="E51" s="142"/>
      <c r="F51" s="142"/>
      <c r="G51" s="142"/>
      <c r="H51" s="142"/>
      <c r="I51" s="146">
        <v>39</v>
      </c>
    </row>
    <row r="52" spans="2:9" ht="15" x14ac:dyDescent="0.25">
      <c r="B52" s="142"/>
      <c r="C52" s="142"/>
      <c r="D52" s="142"/>
      <c r="E52" s="142"/>
      <c r="F52" s="142"/>
      <c r="G52" s="142"/>
      <c r="H52" s="142"/>
      <c r="I52" s="146">
        <v>40</v>
      </c>
    </row>
    <row r="53" spans="2:9" ht="15" x14ac:dyDescent="0.25">
      <c r="B53" s="142"/>
      <c r="C53" s="142"/>
      <c r="D53" s="142"/>
      <c r="E53" s="142"/>
      <c r="F53" s="142"/>
      <c r="G53" s="142"/>
      <c r="H53" s="142"/>
      <c r="I53" s="146">
        <v>41</v>
      </c>
    </row>
    <row r="54" spans="2:9" ht="15" x14ac:dyDescent="0.25">
      <c r="B54" s="142"/>
      <c r="C54" s="142"/>
      <c r="D54" s="142"/>
      <c r="E54" s="142"/>
      <c r="F54" s="142"/>
      <c r="G54" s="142"/>
      <c r="H54" s="142"/>
      <c r="I54" s="146">
        <v>42</v>
      </c>
    </row>
    <row r="55" spans="2:9" ht="15" x14ac:dyDescent="0.25">
      <c r="B55" s="142"/>
      <c r="C55" s="142"/>
      <c r="D55" s="142"/>
      <c r="E55" s="142"/>
      <c r="F55" s="142"/>
      <c r="G55" s="142"/>
      <c r="H55" s="142"/>
      <c r="I55" s="146">
        <v>43</v>
      </c>
    </row>
    <row r="56" spans="2:9" ht="15" x14ac:dyDescent="0.25">
      <c r="B56" s="142"/>
      <c r="C56" s="142"/>
      <c r="D56" s="142"/>
      <c r="E56" s="142"/>
      <c r="F56" s="142"/>
      <c r="G56" s="142"/>
      <c r="H56" s="142"/>
      <c r="I56" s="146">
        <v>44</v>
      </c>
    </row>
    <row r="57" spans="2:9" ht="15" x14ac:dyDescent="0.25">
      <c r="B57" s="142"/>
      <c r="C57" s="142"/>
      <c r="D57" s="142"/>
      <c r="E57" s="142"/>
      <c r="F57" s="142"/>
      <c r="G57" s="142"/>
      <c r="H57" s="142"/>
      <c r="I57" s="146">
        <v>45</v>
      </c>
    </row>
    <row r="58" spans="2:9" ht="15" x14ac:dyDescent="0.25">
      <c r="B58" s="142"/>
      <c r="C58" s="142"/>
      <c r="D58" s="142"/>
      <c r="E58" s="142"/>
      <c r="F58" s="142"/>
      <c r="G58" s="142"/>
      <c r="H58" s="142"/>
      <c r="I58" s="146">
        <v>46</v>
      </c>
    </row>
    <row r="59" spans="2:9" ht="15" x14ac:dyDescent="0.25">
      <c r="B59" s="142"/>
      <c r="C59" s="142"/>
      <c r="D59" s="142"/>
      <c r="E59" s="142"/>
      <c r="F59" s="142"/>
      <c r="G59" s="142"/>
      <c r="H59" s="142"/>
      <c r="I59" s="146">
        <v>47</v>
      </c>
    </row>
    <row r="60" spans="2:9" ht="15" x14ac:dyDescent="0.25">
      <c r="B60" s="142"/>
      <c r="C60" s="142"/>
      <c r="D60" s="142"/>
      <c r="E60" s="142"/>
      <c r="F60" s="142"/>
      <c r="G60" s="142"/>
      <c r="H60" s="142"/>
      <c r="I60" s="146">
        <v>48</v>
      </c>
    </row>
    <row r="61" spans="2:9" ht="15" x14ac:dyDescent="0.25">
      <c r="B61" s="142"/>
      <c r="C61" s="142"/>
      <c r="D61" s="142"/>
      <c r="E61" s="142"/>
      <c r="F61" s="142"/>
      <c r="G61" s="142"/>
      <c r="H61" s="142"/>
      <c r="I61" s="146">
        <v>49</v>
      </c>
    </row>
    <row r="62" spans="2:9" ht="15" x14ac:dyDescent="0.25">
      <c r="B62" s="142"/>
      <c r="C62" s="142"/>
      <c r="D62" s="142"/>
      <c r="E62" s="142"/>
      <c r="F62" s="142"/>
      <c r="G62" s="142"/>
      <c r="H62" s="142"/>
      <c r="I62" s="146">
        <v>50</v>
      </c>
    </row>
    <row r="63" spans="2:9" ht="15" x14ac:dyDescent="0.25">
      <c r="B63" s="142"/>
      <c r="C63" s="142"/>
      <c r="D63" s="142"/>
      <c r="E63" s="142"/>
      <c r="F63" s="142"/>
      <c r="G63" s="142"/>
      <c r="H63" s="142"/>
      <c r="I63" s="146">
        <v>51</v>
      </c>
    </row>
    <row r="64" spans="2:9" ht="15" x14ac:dyDescent="0.25">
      <c r="B64" s="142"/>
      <c r="C64" s="142"/>
      <c r="D64" s="142"/>
      <c r="E64" s="142"/>
      <c r="F64" s="142"/>
      <c r="G64" s="142"/>
      <c r="H64" s="142"/>
      <c r="I64" s="146">
        <v>52</v>
      </c>
    </row>
    <row r="65" spans="2:9" ht="15" x14ac:dyDescent="0.25">
      <c r="B65" s="142"/>
      <c r="C65" s="142"/>
      <c r="D65" s="142"/>
      <c r="E65" s="142"/>
      <c r="F65" s="142"/>
      <c r="G65" s="142"/>
      <c r="H65" s="142"/>
      <c r="I65" s="146">
        <v>53</v>
      </c>
    </row>
    <row r="66" spans="2:9" ht="15" x14ac:dyDescent="0.25">
      <c r="B66" s="142"/>
      <c r="C66" s="142"/>
      <c r="D66" s="142"/>
      <c r="E66" s="142"/>
      <c r="F66" s="142"/>
      <c r="G66" s="142"/>
      <c r="H66" s="142"/>
      <c r="I66" s="146">
        <v>54</v>
      </c>
    </row>
    <row r="67" spans="2:9" ht="15" x14ac:dyDescent="0.25">
      <c r="B67" s="142"/>
      <c r="C67" s="142"/>
      <c r="D67" s="142"/>
      <c r="E67" s="142"/>
      <c r="F67" s="142"/>
      <c r="G67" s="142"/>
      <c r="H67" s="142"/>
      <c r="I67" s="146">
        <v>55</v>
      </c>
    </row>
    <row r="68" spans="2:9" ht="15" x14ac:dyDescent="0.25">
      <c r="B68" s="142"/>
      <c r="C68" s="142"/>
      <c r="D68" s="142"/>
      <c r="E68" s="142"/>
      <c r="F68" s="142"/>
      <c r="G68" s="142"/>
      <c r="H68" s="142"/>
      <c r="I68" s="146">
        <v>56</v>
      </c>
    </row>
    <row r="69" spans="2:9" ht="15" x14ac:dyDescent="0.25">
      <c r="B69" s="142"/>
      <c r="C69" s="142"/>
      <c r="D69" s="142"/>
      <c r="E69" s="142"/>
      <c r="F69" s="142"/>
      <c r="G69" s="142"/>
      <c r="H69" s="142"/>
      <c r="I69" s="146">
        <v>57</v>
      </c>
    </row>
    <row r="70" spans="2:9" ht="15" x14ac:dyDescent="0.25">
      <c r="B70" s="142"/>
      <c r="C70" s="142"/>
      <c r="D70" s="142"/>
      <c r="E70" s="142"/>
      <c r="F70" s="142"/>
      <c r="G70" s="142"/>
      <c r="H70" s="142"/>
      <c r="I70" s="146">
        <v>58</v>
      </c>
    </row>
    <row r="71" spans="2:9" ht="15" x14ac:dyDescent="0.25">
      <c r="B71" s="142"/>
      <c r="C71" s="142"/>
      <c r="D71" s="142"/>
      <c r="E71" s="142"/>
      <c r="F71" s="142"/>
      <c r="G71" s="142"/>
      <c r="H71" s="142"/>
      <c r="I71" s="146">
        <v>59</v>
      </c>
    </row>
    <row r="72" spans="2:9" ht="15" x14ac:dyDescent="0.25">
      <c r="B72" s="142"/>
      <c r="C72" s="142"/>
      <c r="D72" s="142"/>
      <c r="E72" s="142"/>
      <c r="F72" s="142"/>
      <c r="G72" s="142"/>
      <c r="H72" s="142"/>
      <c r="I72" s="146">
        <v>60</v>
      </c>
    </row>
    <row r="73" spans="2:9" ht="15" x14ac:dyDescent="0.25">
      <c r="B73" s="142"/>
      <c r="C73" s="142"/>
      <c r="D73" s="142"/>
      <c r="E73" s="142"/>
      <c r="F73" s="142"/>
      <c r="G73" s="142"/>
      <c r="H73" s="142"/>
      <c r="I73" s="146">
        <v>61</v>
      </c>
    </row>
    <row r="74" spans="2:9" ht="15" x14ac:dyDescent="0.25">
      <c r="B74" s="142"/>
      <c r="C74" s="142"/>
      <c r="D74" s="142"/>
      <c r="E74" s="142"/>
      <c r="F74" s="142"/>
      <c r="G74" s="142"/>
      <c r="H74" s="142"/>
      <c r="I74" s="146">
        <v>62</v>
      </c>
    </row>
    <row r="75" spans="2:9" ht="15" x14ac:dyDescent="0.25">
      <c r="B75" s="142"/>
      <c r="C75" s="142"/>
      <c r="D75" s="142"/>
      <c r="E75" s="142"/>
      <c r="F75" s="142"/>
      <c r="G75" s="142"/>
      <c r="H75" s="142"/>
      <c r="I75" s="146">
        <v>63</v>
      </c>
    </row>
    <row r="76" spans="2:9" ht="15" x14ac:dyDescent="0.25">
      <c r="B76" s="142"/>
      <c r="C76" s="142"/>
      <c r="D76" s="142"/>
      <c r="E76" s="142"/>
      <c r="F76" s="142"/>
      <c r="G76" s="142"/>
      <c r="H76" s="142"/>
      <c r="I76" s="146">
        <v>64</v>
      </c>
    </row>
    <row r="77" spans="2:9" ht="15" x14ac:dyDescent="0.25">
      <c r="B77" s="142"/>
      <c r="C77" s="142"/>
      <c r="D77" s="142"/>
      <c r="E77" s="142"/>
      <c r="F77" s="142"/>
      <c r="G77" s="142"/>
      <c r="H77" s="142"/>
      <c r="I77" s="146">
        <v>65</v>
      </c>
    </row>
    <row r="78" spans="2:9" ht="15" x14ac:dyDescent="0.25">
      <c r="B78" s="142"/>
      <c r="C78" s="142"/>
      <c r="D78" s="142"/>
      <c r="E78" s="142"/>
      <c r="F78" s="142"/>
      <c r="G78" s="142"/>
      <c r="H78" s="142"/>
      <c r="I78" s="146">
        <v>66</v>
      </c>
    </row>
    <row r="79" spans="2:9" ht="15" x14ac:dyDescent="0.25">
      <c r="B79" s="142"/>
      <c r="C79" s="142"/>
      <c r="D79" s="142"/>
      <c r="E79" s="142"/>
      <c r="F79" s="142"/>
      <c r="G79" s="142"/>
      <c r="H79" s="142"/>
      <c r="I79" s="146">
        <v>67</v>
      </c>
    </row>
    <row r="80" spans="2:9" ht="15" x14ac:dyDescent="0.25">
      <c r="B80" s="142"/>
      <c r="C80" s="142"/>
      <c r="D80" s="142"/>
      <c r="E80" s="142"/>
      <c r="F80" s="142"/>
      <c r="G80" s="142"/>
      <c r="H80" s="142"/>
      <c r="I80" s="146">
        <v>68</v>
      </c>
    </row>
    <row r="81" spans="2:9" ht="15" x14ac:dyDescent="0.25">
      <c r="B81" s="142"/>
      <c r="C81" s="142"/>
      <c r="D81" s="142"/>
      <c r="E81" s="142"/>
      <c r="F81" s="142"/>
      <c r="G81" s="142"/>
      <c r="H81" s="142"/>
      <c r="I81" s="146">
        <v>69</v>
      </c>
    </row>
    <row r="82" spans="2:9" ht="15" x14ac:dyDescent="0.25">
      <c r="B82" s="142"/>
      <c r="C82" s="142"/>
      <c r="D82" s="142"/>
      <c r="E82" s="142"/>
      <c r="F82" s="142"/>
      <c r="G82" s="142"/>
      <c r="H82" s="142"/>
      <c r="I82" s="146">
        <v>70</v>
      </c>
    </row>
    <row r="83" spans="2:9" ht="15" x14ac:dyDescent="0.25">
      <c r="B83" s="142"/>
      <c r="C83" s="142"/>
      <c r="D83" s="142"/>
      <c r="E83" s="142"/>
      <c r="F83" s="142"/>
      <c r="G83" s="142"/>
      <c r="H83" s="142"/>
      <c r="I83" s="146">
        <v>71</v>
      </c>
    </row>
    <row r="84" spans="2:9" ht="15" x14ac:dyDescent="0.25">
      <c r="B84" s="142"/>
      <c r="C84" s="142"/>
      <c r="D84" s="142"/>
      <c r="E84" s="142"/>
      <c r="F84" s="142"/>
      <c r="G84" s="142"/>
      <c r="H84" s="142"/>
      <c r="I84" s="146">
        <v>72</v>
      </c>
    </row>
    <row r="85" spans="2:9" ht="15" x14ac:dyDescent="0.25">
      <c r="B85" s="142"/>
      <c r="C85" s="142"/>
      <c r="D85" s="142"/>
      <c r="E85" s="142"/>
      <c r="F85" s="142"/>
      <c r="G85" s="142"/>
      <c r="H85" s="142"/>
      <c r="I85" s="146">
        <v>73</v>
      </c>
    </row>
    <row r="86" spans="2:9" ht="15" x14ac:dyDescent="0.25">
      <c r="B86" s="142"/>
      <c r="C86" s="142"/>
      <c r="D86" s="142"/>
      <c r="E86" s="142"/>
      <c r="F86" s="142"/>
      <c r="G86" s="142"/>
      <c r="H86" s="142"/>
      <c r="I86" s="146">
        <v>74</v>
      </c>
    </row>
    <row r="87" spans="2:9" ht="15" x14ac:dyDescent="0.25">
      <c r="B87" s="142"/>
      <c r="C87" s="142"/>
      <c r="D87" s="142"/>
      <c r="E87" s="142"/>
      <c r="F87" s="142"/>
      <c r="G87" s="142"/>
      <c r="H87" s="142"/>
      <c r="I87" s="146">
        <v>75</v>
      </c>
    </row>
    <row r="88" spans="2:9" ht="15" x14ac:dyDescent="0.25">
      <c r="B88" s="142"/>
      <c r="C88" s="142"/>
      <c r="D88" s="142"/>
      <c r="E88" s="142"/>
      <c r="F88" s="142"/>
      <c r="G88" s="142"/>
      <c r="H88" s="142"/>
      <c r="I88" s="146">
        <v>76</v>
      </c>
    </row>
    <row r="89" spans="2:9" ht="15" x14ac:dyDescent="0.25">
      <c r="B89" s="142"/>
      <c r="C89" s="142"/>
      <c r="D89" s="142"/>
      <c r="E89" s="142"/>
      <c r="F89" s="142"/>
      <c r="G89" s="142"/>
      <c r="H89" s="142"/>
      <c r="I89" s="146">
        <v>77</v>
      </c>
    </row>
    <row r="90" spans="2:9" ht="15" x14ac:dyDescent="0.25">
      <c r="B90" s="142"/>
      <c r="C90" s="142"/>
      <c r="D90" s="142"/>
      <c r="E90" s="142"/>
      <c r="F90" s="142"/>
      <c r="G90" s="142"/>
      <c r="H90" s="142"/>
      <c r="I90" s="146">
        <v>78</v>
      </c>
    </row>
    <row r="91" spans="2:9" ht="15" x14ac:dyDescent="0.25">
      <c r="B91" s="142"/>
      <c r="C91" s="142"/>
      <c r="D91" s="142"/>
      <c r="E91" s="142"/>
      <c r="F91" s="142"/>
      <c r="G91" s="142"/>
      <c r="H91" s="142"/>
      <c r="I91" s="146">
        <v>79</v>
      </c>
    </row>
    <row r="92" spans="2:9" ht="15" x14ac:dyDescent="0.25">
      <c r="B92" s="142"/>
      <c r="C92" s="142"/>
      <c r="D92" s="142"/>
      <c r="E92" s="142"/>
      <c r="F92" s="142"/>
      <c r="G92" s="142"/>
      <c r="H92" s="142"/>
      <c r="I92" s="146">
        <v>80</v>
      </c>
    </row>
    <row r="93" spans="2:9" ht="15" x14ac:dyDescent="0.25">
      <c r="B93" s="142"/>
      <c r="C93" s="142"/>
      <c r="D93" s="142"/>
      <c r="E93" s="142"/>
      <c r="F93" s="142"/>
      <c r="G93" s="142"/>
      <c r="H93" s="142"/>
      <c r="I93" s="146">
        <v>81</v>
      </c>
    </row>
    <row r="94" spans="2:9" ht="15" x14ac:dyDescent="0.25">
      <c r="B94" s="142"/>
      <c r="C94" s="142"/>
      <c r="D94" s="142"/>
      <c r="E94" s="142"/>
      <c r="F94" s="142"/>
      <c r="G94" s="142"/>
      <c r="H94" s="142"/>
      <c r="I94" s="146">
        <v>82</v>
      </c>
    </row>
    <row r="95" spans="2:9" ht="15" x14ac:dyDescent="0.25">
      <c r="B95" s="142"/>
      <c r="C95" s="142"/>
      <c r="D95" s="142"/>
      <c r="E95" s="142"/>
      <c r="F95" s="142"/>
      <c r="G95" s="142"/>
      <c r="H95" s="142"/>
      <c r="I95" s="146">
        <v>83</v>
      </c>
    </row>
    <row r="96" spans="2:9" ht="15" x14ac:dyDescent="0.25">
      <c r="B96" s="142"/>
      <c r="C96" s="142"/>
      <c r="D96" s="142"/>
      <c r="E96" s="142"/>
      <c r="F96" s="142"/>
      <c r="G96" s="142"/>
      <c r="H96" s="142"/>
      <c r="I96" s="146">
        <v>84</v>
      </c>
    </row>
    <row r="97" spans="2:9" ht="15" x14ac:dyDescent="0.25">
      <c r="B97" s="142"/>
      <c r="C97" s="142"/>
      <c r="D97" s="142"/>
      <c r="E97" s="142"/>
      <c r="F97" s="142"/>
      <c r="G97" s="142"/>
      <c r="H97" s="142"/>
      <c r="I97" s="146">
        <v>85</v>
      </c>
    </row>
    <row r="98" spans="2:9" ht="15" x14ac:dyDescent="0.25">
      <c r="B98" s="142"/>
      <c r="C98" s="142"/>
      <c r="D98" s="142"/>
      <c r="E98" s="142"/>
      <c r="F98" s="142"/>
      <c r="G98" s="142"/>
      <c r="H98" s="142"/>
      <c r="I98" s="146">
        <v>86</v>
      </c>
    </row>
    <row r="99" spans="2:9" ht="15" x14ac:dyDescent="0.25">
      <c r="B99" s="142"/>
      <c r="C99" s="142"/>
      <c r="D99" s="142"/>
      <c r="E99" s="142"/>
      <c r="F99" s="142"/>
      <c r="G99" s="142"/>
      <c r="H99" s="142"/>
      <c r="I99" s="146">
        <v>87</v>
      </c>
    </row>
    <row r="100" spans="2:9" ht="15" x14ac:dyDescent="0.25">
      <c r="B100" s="142"/>
      <c r="C100" s="142"/>
      <c r="D100" s="142"/>
      <c r="E100" s="142"/>
      <c r="F100" s="142"/>
      <c r="G100" s="142"/>
      <c r="H100" s="142"/>
      <c r="I100" s="146">
        <v>88</v>
      </c>
    </row>
    <row r="101" spans="2:9" ht="15" x14ac:dyDescent="0.25">
      <c r="B101" s="142"/>
      <c r="C101" s="142"/>
      <c r="D101" s="142"/>
      <c r="E101" s="142"/>
      <c r="F101" s="142"/>
      <c r="G101" s="142"/>
      <c r="H101" s="142"/>
      <c r="I101" s="146">
        <v>89</v>
      </c>
    </row>
    <row r="102" spans="2:9" ht="15" x14ac:dyDescent="0.25">
      <c r="B102" s="142"/>
      <c r="C102" s="142"/>
      <c r="D102" s="142"/>
      <c r="E102" s="142"/>
      <c r="F102" s="142"/>
      <c r="G102" s="142"/>
      <c r="H102" s="142"/>
      <c r="I102" s="146">
        <v>90</v>
      </c>
    </row>
    <row r="103" spans="2:9" ht="15" x14ac:dyDescent="0.25">
      <c r="B103" s="142"/>
      <c r="C103" s="142"/>
      <c r="D103" s="142"/>
      <c r="E103" s="142"/>
      <c r="F103" s="142"/>
      <c r="G103" s="142"/>
      <c r="H103" s="142"/>
      <c r="I103" s="146">
        <v>91</v>
      </c>
    </row>
    <row r="104" spans="2:9" ht="15" x14ac:dyDescent="0.25">
      <c r="B104" s="142"/>
      <c r="C104" s="142"/>
      <c r="D104" s="142"/>
      <c r="E104" s="142"/>
      <c r="F104" s="142"/>
      <c r="G104" s="142"/>
      <c r="H104" s="142"/>
      <c r="I104" s="146">
        <v>92</v>
      </c>
    </row>
    <row r="105" spans="2:9" ht="15" x14ac:dyDescent="0.25">
      <c r="B105" s="142"/>
      <c r="C105" s="142"/>
      <c r="D105" s="142"/>
      <c r="E105" s="142"/>
      <c r="F105" s="142"/>
      <c r="G105" s="142"/>
      <c r="H105" s="142"/>
      <c r="I105" s="146">
        <v>93</v>
      </c>
    </row>
    <row r="106" spans="2:9" ht="15" x14ac:dyDescent="0.25">
      <c r="B106" s="142"/>
      <c r="C106" s="142"/>
      <c r="D106" s="142"/>
      <c r="E106" s="142"/>
      <c r="F106" s="142"/>
      <c r="G106" s="142"/>
      <c r="H106" s="142"/>
      <c r="I106" s="146">
        <v>94</v>
      </c>
    </row>
    <row r="107" spans="2:9" ht="15" x14ac:dyDescent="0.25">
      <c r="B107" s="142"/>
      <c r="C107" s="142"/>
      <c r="D107" s="142"/>
      <c r="E107" s="142"/>
      <c r="F107" s="142"/>
      <c r="G107" s="142"/>
      <c r="H107" s="142"/>
      <c r="I107" s="146">
        <v>95</v>
      </c>
    </row>
    <row r="108" spans="2:9" ht="15" x14ac:dyDescent="0.25">
      <c r="B108" s="142"/>
      <c r="C108" s="142"/>
      <c r="D108" s="142"/>
      <c r="E108" s="142"/>
      <c r="F108" s="142"/>
      <c r="G108" s="142"/>
      <c r="H108" s="142"/>
      <c r="I108" s="146">
        <v>96</v>
      </c>
    </row>
    <row r="109" spans="2:9" ht="15" x14ac:dyDescent="0.25">
      <c r="B109" s="142"/>
      <c r="C109" s="142"/>
      <c r="D109" s="142"/>
      <c r="E109" s="142"/>
      <c r="F109" s="142"/>
      <c r="G109" s="142"/>
      <c r="H109" s="142"/>
      <c r="I109" s="146">
        <v>97</v>
      </c>
    </row>
    <row r="110" spans="2:9" ht="15" x14ac:dyDescent="0.25">
      <c r="B110" s="142"/>
      <c r="C110" s="142"/>
      <c r="D110" s="142"/>
      <c r="E110" s="142"/>
      <c r="F110" s="142"/>
      <c r="G110" s="142"/>
      <c r="H110" s="142"/>
      <c r="I110" s="146">
        <v>98</v>
      </c>
    </row>
    <row r="111" spans="2:9" ht="15" x14ac:dyDescent="0.25">
      <c r="B111" s="142"/>
      <c r="C111" s="142"/>
      <c r="D111" s="142"/>
      <c r="E111" s="142"/>
      <c r="F111" s="142"/>
      <c r="G111" s="142"/>
      <c r="H111" s="142"/>
      <c r="I111" s="146">
        <v>99</v>
      </c>
    </row>
    <row r="112" spans="2:9" ht="15" x14ac:dyDescent="0.25">
      <c r="B112" s="142"/>
      <c r="C112" s="142"/>
      <c r="D112" s="142"/>
      <c r="E112" s="142"/>
      <c r="F112" s="142"/>
      <c r="G112" s="142"/>
      <c r="H112" s="142"/>
      <c r="I112" s="146">
        <v>100</v>
      </c>
    </row>
    <row r="113" spans="2:9" ht="15" x14ac:dyDescent="0.25">
      <c r="B113" s="142"/>
      <c r="C113" s="142"/>
      <c r="D113" s="142"/>
      <c r="E113" s="142"/>
      <c r="F113" s="142"/>
      <c r="G113" s="142"/>
      <c r="H113" s="142"/>
      <c r="I113" s="146">
        <v>101</v>
      </c>
    </row>
    <row r="114" spans="2:9" ht="15" x14ac:dyDescent="0.25">
      <c r="B114" s="142"/>
      <c r="C114" s="142"/>
      <c r="D114" s="142"/>
      <c r="E114" s="142"/>
      <c r="F114" s="142"/>
      <c r="G114" s="142"/>
      <c r="H114" s="142"/>
      <c r="I114" s="146">
        <v>102</v>
      </c>
    </row>
    <row r="115" spans="2:9" ht="15" x14ac:dyDescent="0.25">
      <c r="B115" s="142"/>
      <c r="C115" s="142"/>
      <c r="D115" s="142"/>
      <c r="E115" s="142"/>
      <c r="F115" s="142"/>
      <c r="G115" s="142"/>
      <c r="H115" s="142"/>
      <c r="I115" s="146">
        <v>103</v>
      </c>
    </row>
    <row r="116" spans="2:9" ht="15" x14ac:dyDescent="0.25">
      <c r="B116" s="142"/>
      <c r="C116" s="142"/>
      <c r="D116" s="142"/>
      <c r="E116" s="142"/>
      <c r="F116" s="142"/>
      <c r="G116" s="142"/>
      <c r="H116" s="142"/>
      <c r="I116" s="146">
        <v>104</v>
      </c>
    </row>
    <row r="117" spans="2:9" ht="15" x14ac:dyDescent="0.25">
      <c r="B117" s="142"/>
      <c r="C117" s="142"/>
      <c r="D117" s="142"/>
      <c r="E117" s="142"/>
      <c r="F117" s="142"/>
      <c r="G117" s="142"/>
      <c r="H117" s="142"/>
      <c r="I117" s="146">
        <v>105</v>
      </c>
    </row>
    <row r="118" spans="2:9" ht="15" x14ac:dyDescent="0.25">
      <c r="B118" s="142"/>
      <c r="C118" s="142"/>
      <c r="D118" s="142"/>
      <c r="E118" s="142"/>
      <c r="F118" s="142"/>
      <c r="G118" s="142"/>
      <c r="H118" s="142"/>
      <c r="I118" s="146">
        <v>106</v>
      </c>
    </row>
    <row r="119" spans="2:9" ht="15" x14ac:dyDescent="0.25">
      <c r="B119" s="142"/>
      <c r="C119" s="142"/>
      <c r="D119" s="142"/>
      <c r="E119" s="142"/>
      <c r="F119" s="142"/>
      <c r="G119" s="142"/>
      <c r="H119" s="142"/>
      <c r="I119" s="146">
        <v>107</v>
      </c>
    </row>
    <row r="120" spans="2:9" ht="15" x14ac:dyDescent="0.25">
      <c r="B120" s="142"/>
      <c r="C120" s="142"/>
      <c r="D120" s="142"/>
      <c r="E120" s="142"/>
      <c r="F120" s="142"/>
      <c r="G120" s="142"/>
      <c r="H120" s="142"/>
      <c r="I120" s="146">
        <v>108</v>
      </c>
    </row>
    <row r="121" spans="2:9" ht="15" x14ac:dyDescent="0.25">
      <c r="B121" s="142"/>
      <c r="C121" s="142"/>
      <c r="D121" s="142"/>
      <c r="E121" s="142"/>
      <c r="F121" s="142"/>
      <c r="G121" s="142"/>
      <c r="H121" s="142"/>
      <c r="I121" s="146">
        <v>109</v>
      </c>
    </row>
    <row r="122" spans="2:9" ht="15" x14ac:dyDescent="0.25">
      <c r="B122" s="142"/>
      <c r="C122" s="142"/>
      <c r="D122" s="142"/>
      <c r="E122" s="142"/>
      <c r="F122" s="142"/>
      <c r="G122" s="142"/>
      <c r="H122" s="142"/>
      <c r="I122" s="146">
        <v>110</v>
      </c>
    </row>
    <row r="123" spans="2:9" ht="15" x14ac:dyDescent="0.25">
      <c r="B123" s="142"/>
      <c r="C123" s="142"/>
      <c r="D123" s="142"/>
      <c r="E123" s="142"/>
      <c r="F123" s="142"/>
      <c r="G123" s="142"/>
      <c r="H123" s="142"/>
      <c r="I123" s="146">
        <v>111</v>
      </c>
    </row>
    <row r="124" spans="2:9" ht="15" x14ac:dyDescent="0.25">
      <c r="B124" s="142"/>
      <c r="C124" s="142"/>
      <c r="D124" s="142"/>
      <c r="E124" s="142"/>
      <c r="F124" s="142"/>
      <c r="G124" s="142"/>
      <c r="H124" s="142"/>
      <c r="I124" s="146">
        <v>112</v>
      </c>
    </row>
    <row r="125" spans="2:9" ht="15" x14ac:dyDescent="0.25">
      <c r="B125" s="142"/>
      <c r="C125" s="142"/>
      <c r="D125" s="142"/>
      <c r="E125" s="142"/>
      <c r="F125" s="142"/>
      <c r="G125" s="142"/>
      <c r="H125" s="142"/>
      <c r="I125" s="146">
        <v>113</v>
      </c>
    </row>
    <row r="126" spans="2:9" ht="15" x14ac:dyDescent="0.25">
      <c r="B126" s="142"/>
      <c r="C126" s="142"/>
      <c r="D126" s="142"/>
      <c r="E126" s="142"/>
      <c r="F126" s="142"/>
      <c r="G126" s="142"/>
      <c r="H126" s="142"/>
      <c r="I126" s="146">
        <v>114</v>
      </c>
    </row>
    <row r="127" spans="2:9" ht="15" x14ac:dyDescent="0.25">
      <c r="B127" s="142"/>
      <c r="C127" s="142"/>
      <c r="D127" s="142"/>
      <c r="E127" s="142"/>
      <c r="F127" s="142"/>
      <c r="G127" s="142"/>
      <c r="H127" s="142"/>
      <c r="I127" s="146">
        <v>115</v>
      </c>
    </row>
    <row r="128" spans="2:9" ht="15" x14ac:dyDescent="0.25">
      <c r="B128" s="142"/>
      <c r="C128" s="142"/>
      <c r="D128" s="142"/>
      <c r="E128" s="142"/>
      <c r="F128" s="142"/>
      <c r="G128" s="142"/>
      <c r="H128" s="142"/>
      <c r="I128" s="146">
        <v>116</v>
      </c>
    </row>
    <row r="129" spans="2:9" ht="15" x14ac:dyDescent="0.25">
      <c r="B129" s="142"/>
      <c r="C129" s="142"/>
      <c r="D129" s="142"/>
      <c r="E129" s="142"/>
      <c r="F129" s="142"/>
      <c r="G129" s="142"/>
      <c r="H129" s="142"/>
      <c r="I129" s="146">
        <v>117</v>
      </c>
    </row>
    <row r="130" spans="2:9" ht="15" x14ac:dyDescent="0.25">
      <c r="B130" s="142"/>
      <c r="C130" s="142"/>
      <c r="D130" s="142"/>
      <c r="E130" s="142"/>
      <c r="F130" s="142"/>
      <c r="G130" s="142"/>
      <c r="H130" s="142"/>
      <c r="I130" s="146">
        <v>118</v>
      </c>
    </row>
    <row r="131" spans="2:9" ht="15" x14ac:dyDescent="0.25">
      <c r="B131" s="142"/>
      <c r="C131" s="142"/>
      <c r="D131" s="142"/>
      <c r="E131" s="142"/>
      <c r="F131" s="142"/>
      <c r="G131" s="142"/>
      <c r="H131" s="142"/>
      <c r="I131" s="146">
        <v>119</v>
      </c>
    </row>
    <row r="132" spans="2:9" ht="15" x14ac:dyDescent="0.25">
      <c r="B132" s="142"/>
      <c r="C132" s="142"/>
      <c r="D132" s="142"/>
      <c r="E132" s="142"/>
      <c r="F132" s="142"/>
      <c r="G132" s="142"/>
      <c r="H132" s="142"/>
      <c r="I132" s="146">
        <v>120</v>
      </c>
    </row>
    <row r="133" spans="2:9" ht="15" x14ac:dyDescent="0.25">
      <c r="B133" s="142"/>
      <c r="C133" s="142"/>
      <c r="D133" s="142"/>
      <c r="E133" s="142"/>
      <c r="F133" s="142"/>
      <c r="G133" s="142"/>
      <c r="H133" s="142"/>
      <c r="I133" s="146">
        <v>121</v>
      </c>
    </row>
    <row r="134" spans="2:9" ht="15" x14ac:dyDescent="0.25">
      <c r="B134" s="142"/>
      <c r="C134" s="142"/>
      <c r="D134" s="142"/>
      <c r="E134" s="142"/>
      <c r="F134" s="142"/>
      <c r="G134" s="142"/>
      <c r="H134" s="142"/>
      <c r="I134" s="146">
        <v>122</v>
      </c>
    </row>
    <row r="135" spans="2:9" ht="15" x14ac:dyDescent="0.25">
      <c r="B135" s="142"/>
      <c r="C135" s="142"/>
      <c r="D135" s="142"/>
      <c r="E135" s="142"/>
      <c r="F135" s="142"/>
      <c r="G135" s="142"/>
      <c r="H135" s="142"/>
      <c r="I135" s="146">
        <v>123</v>
      </c>
    </row>
    <row r="136" spans="2:9" ht="15" x14ac:dyDescent="0.25">
      <c r="B136" s="142"/>
      <c r="C136" s="142"/>
      <c r="D136" s="142"/>
      <c r="E136" s="142"/>
      <c r="F136" s="142"/>
      <c r="G136" s="142"/>
      <c r="H136" s="142"/>
      <c r="I136" s="146">
        <v>124</v>
      </c>
    </row>
    <row r="137" spans="2:9" ht="15" x14ac:dyDescent="0.25">
      <c r="B137" s="142"/>
      <c r="C137" s="142"/>
      <c r="D137" s="142"/>
      <c r="E137" s="142"/>
      <c r="F137" s="142"/>
      <c r="G137" s="142"/>
      <c r="H137" s="142"/>
      <c r="I137" s="146">
        <v>125</v>
      </c>
    </row>
    <row r="138" spans="2:9" ht="15" x14ac:dyDescent="0.25">
      <c r="B138" s="142"/>
      <c r="C138" s="142"/>
      <c r="D138" s="142"/>
      <c r="E138" s="142"/>
      <c r="F138" s="142"/>
      <c r="G138" s="142"/>
      <c r="H138" s="142"/>
      <c r="I138" s="146">
        <v>126</v>
      </c>
    </row>
    <row r="139" spans="2:9" ht="15" x14ac:dyDescent="0.25">
      <c r="B139" s="142"/>
      <c r="C139" s="142"/>
      <c r="D139" s="142"/>
      <c r="E139" s="142"/>
      <c r="F139" s="142"/>
      <c r="G139" s="142"/>
      <c r="H139" s="142"/>
      <c r="I139" s="146">
        <v>127</v>
      </c>
    </row>
    <row r="140" spans="2:9" ht="15" x14ac:dyDescent="0.25">
      <c r="B140" s="142"/>
      <c r="C140" s="142"/>
      <c r="D140" s="142"/>
      <c r="E140" s="142"/>
      <c r="F140" s="142"/>
      <c r="G140" s="142"/>
      <c r="H140" s="142"/>
      <c r="I140" s="146">
        <v>128</v>
      </c>
    </row>
    <row r="141" spans="2:9" ht="15" x14ac:dyDescent="0.25">
      <c r="B141" s="142"/>
      <c r="C141" s="142"/>
      <c r="D141" s="142"/>
      <c r="E141" s="142"/>
      <c r="F141" s="142"/>
      <c r="G141" s="142"/>
      <c r="H141" s="142"/>
      <c r="I141" s="146">
        <v>129</v>
      </c>
    </row>
    <row r="142" spans="2:9" ht="15" x14ac:dyDescent="0.25">
      <c r="B142" s="142"/>
      <c r="C142" s="142"/>
      <c r="D142" s="142"/>
      <c r="E142" s="142"/>
      <c r="F142" s="142"/>
      <c r="G142" s="142"/>
      <c r="H142" s="142"/>
      <c r="I142" s="146">
        <v>130</v>
      </c>
    </row>
    <row r="143" spans="2:9" ht="15" x14ac:dyDescent="0.25">
      <c r="B143" s="142"/>
      <c r="C143" s="142"/>
      <c r="D143" s="142"/>
      <c r="E143" s="142"/>
      <c r="F143" s="142"/>
      <c r="G143" s="142"/>
      <c r="H143" s="142"/>
      <c r="I143" s="146">
        <v>131</v>
      </c>
    </row>
    <row r="144" spans="2:9" ht="15" x14ac:dyDescent="0.25">
      <c r="B144" s="142"/>
      <c r="C144" s="142"/>
      <c r="D144" s="142"/>
      <c r="E144" s="142"/>
      <c r="F144" s="142"/>
      <c r="G144" s="142"/>
      <c r="H144" s="142"/>
      <c r="I144" s="146">
        <v>132</v>
      </c>
    </row>
    <row r="145" spans="2:9" ht="15" x14ac:dyDescent="0.25">
      <c r="B145" s="142"/>
      <c r="C145" s="142"/>
      <c r="D145" s="142"/>
      <c r="E145" s="142"/>
      <c r="F145" s="142"/>
      <c r="G145" s="142"/>
      <c r="H145" s="142"/>
      <c r="I145" s="146">
        <v>133</v>
      </c>
    </row>
    <row r="146" spans="2:9" ht="15" x14ac:dyDescent="0.25">
      <c r="B146" s="142"/>
      <c r="C146" s="142"/>
      <c r="D146" s="142"/>
      <c r="E146" s="142"/>
      <c r="F146" s="142"/>
      <c r="G146" s="142"/>
      <c r="H146" s="142"/>
      <c r="I146" s="146">
        <v>134</v>
      </c>
    </row>
    <row r="147" spans="2:9" ht="15" x14ac:dyDescent="0.25">
      <c r="B147" s="142"/>
      <c r="C147" s="142"/>
      <c r="D147" s="142"/>
      <c r="E147" s="142"/>
      <c r="F147" s="142"/>
      <c r="G147" s="142"/>
      <c r="H147" s="142"/>
      <c r="I147" s="146">
        <v>135</v>
      </c>
    </row>
    <row r="148" spans="2:9" ht="15" x14ac:dyDescent="0.25">
      <c r="B148" s="142"/>
      <c r="C148" s="142"/>
      <c r="D148" s="142"/>
      <c r="E148" s="142"/>
      <c r="F148" s="142"/>
      <c r="G148" s="142"/>
      <c r="H148" s="142"/>
      <c r="I148" s="146">
        <v>136</v>
      </c>
    </row>
    <row r="149" spans="2:9" ht="15" x14ac:dyDescent="0.25">
      <c r="B149" s="142"/>
      <c r="C149" s="142"/>
      <c r="D149" s="142"/>
      <c r="E149" s="142"/>
      <c r="F149" s="142"/>
      <c r="G149" s="142"/>
      <c r="H149" s="142"/>
      <c r="I149" s="146">
        <v>137</v>
      </c>
    </row>
    <row r="150" spans="2:9" ht="15" x14ac:dyDescent="0.25">
      <c r="B150" s="142"/>
      <c r="C150" s="142"/>
      <c r="D150" s="142"/>
      <c r="E150" s="142"/>
      <c r="F150" s="142"/>
      <c r="G150" s="142"/>
      <c r="H150" s="142"/>
      <c r="I150" s="146">
        <v>138</v>
      </c>
    </row>
    <row r="151" spans="2:9" ht="15" x14ac:dyDescent="0.25">
      <c r="B151" s="142"/>
      <c r="C151" s="142"/>
      <c r="D151" s="142"/>
      <c r="E151" s="142"/>
      <c r="F151" s="142"/>
      <c r="G151" s="142"/>
      <c r="H151" s="142"/>
      <c r="I151" s="146">
        <v>139</v>
      </c>
    </row>
    <row r="152" spans="2:9" ht="15" x14ac:dyDescent="0.25">
      <c r="B152" s="142"/>
      <c r="C152" s="142"/>
      <c r="D152" s="142"/>
      <c r="E152" s="142"/>
      <c r="F152" s="142"/>
      <c r="G152" s="142"/>
      <c r="H152" s="142"/>
      <c r="I152" s="146">
        <v>140</v>
      </c>
    </row>
    <row r="153" spans="2:9" ht="15" x14ac:dyDescent="0.25">
      <c r="B153" s="142"/>
      <c r="C153" s="142"/>
      <c r="D153" s="142"/>
      <c r="E153" s="142"/>
      <c r="F153" s="142"/>
      <c r="G153" s="142"/>
      <c r="H153" s="142"/>
      <c r="I153" s="146">
        <v>141</v>
      </c>
    </row>
    <row r="154" spans="2:9" ht="15" x14ac:dyDescent="0.25">
      <c r="B154" s="142"/>
      <c r="C154" s="142"/>
      <c r="D154" s="142"/>
      <c r="E154" s="142"/>
      <c r="F154" s="142"/>
      <c r="G154" s="142"/>
      <c r="H154" s="142"/>
      <c r="I154" s="151"/>
    </row>
    <row r="155" spans="2:9" ht="15" x14ac:dyDescent="0.25">
      <c r="B155" s="142"/>
      <c r="C155" s="142"/>
      <c r="D155" s="142"/>
      <c r="E155" s="142"/>
      <c r="F155" s="142"/>
      <c r="G155" s="142"/>
      <c r="H155" s="142"/>
      <c r="I155" s="151"/>
    </row>
    <row r="156" spans="2:9" ht="15" x14ac:dyDescent="0.25">
      <c r="B156" s="142"/>
      <c r="C156" s="142"/>
      <c r="D156" s="142"/>
      <c r="E156" s="142"/>
      <c r="F156" s="142"/>
      <c r="G156" s="142"/>
      <c r="H156" s="142"/>
      <c r="I156" s="151"/>
    </row>
    <row r="157" spans="2:9" ht="15" x14ac:dyDescent="0.25">
      <c r="B157" s="142"/>
      <c r="C157" s="142"/>
      <c r="D157" s="142"/>
      <c r="E157" s="142"/>
      <c r="F157" s="142"/>
      <c r="G157" s="142"/>
      <c r="H157" s="142"/>
      <c r="I157" s="151"/>
    </row>
    <row r="158" spans="2:9" ht="15" x14ac:dyDescent="0.25">
      <c r="B158" s="142"/>
      <c r="C158" s="142"/>
      <c r="D158" s="142"/>
      <c r="E158" s="142"/>
      <c r="F158" s="142"/>
      <c r="G158" s="142"/>
      <c r="H158" s="142"/>
      <c r="I158" s="151"/>
    </row>
    <row r="159" spans="2:9" ht="15" x14ac:dyDescent="0.25">
      <c r="B159" s="142"/>
      <c r="C159" s="142"/>
      <c r="D159" s="142"/>
      <c r="E159" s="142"/>
      <c r="F159" s="142"/>
      <c r="G159" s="142"/>
      <c r="H159" s="142"/>
      <c r="I159" s="151"/>
    </row>
    <row r="160" spans="2:9" ht="15" x14ac:dyDescent="0.25">
      <c r="B160" s="142"/>
      <c r="C160" s="142"/>
      <c r="D160" s="142"/>
      <c r="E160" s="142"/>
      <c r="F160" s="142"/>
      <c r="G160" s="142"/>
      <c r="H160" s="142"/>
      <c r="I160" s="151"/>
    </row>
    <row r="161" spans="2:9" ht="15" x14ac:dyDescent="0.25">
      <c r="B161" s="142"/>
      <c r="C161" s="142"/>
      <c r="D161" s="142"/>
      <c r="E161" s="142"/>
      <c r="F161" s="142"/>
      <c r="G161" s="142"/>
      <c r="H161" s="142"/>
      <c r="I161" s="151"/>
    </row>
    <row r="162" spans="2:9" ht="15" x14ac:dyDescent="0.25">
      <c r="B162" s="142"/>
      <c r="C162" s="142"/>
      <c r="D162" s="142"/>
      <c r="E162" s="142"/>
      <c r="F162" s="142"/>
      <c r="G162" s="142"/>
      <c r="H162" s="142"/>
      <c r="I162" s="151"/>
    </row>
    <row r="163" spans="2:9" ht="15" x14ac:dyDescent="0.25">
      <c r="B163" s="142"/>
      <c r="C163" s="142"/>
      <c r="D163" s="142"/>
      <c r="E163" s="142"/>
      <c r="F163" s="142"/>
      <c r="G163" s="142"/>
      <c r="H163" s="142"/>
      <c r="I163" s="151"/>
    </row>
    <row r="164" spans="2:9" ht="15" x14ac:dyDescent="0.25">
      <c r="B164" s="142"/>
      <c r="C164" s="142"/>
      <c r="D164" s="142"/>
      <c r="E164" s="142"/>
      <c r="F164" s="142"/>
      <c r="G164" s="142"/>
      <c r="H164" s="142"/>
      <c r="I164" s="151"/>
    </row>
    <row r="165" spans="2:9" ht="15" x14ac:dyDescent="0.25">
      <c r="B165" s="142"/>
      <c r="C165" s="142"/>
      <c r="D165" s="142"/>
      <c r="E165" s="142"/>
      <c r="F165" s="142"/>
      <c r="G165" s="142"/>
      <c r="H165" s="142"/>
      <c r="I165" s="151"/>
    </row>
    <row r="166" spans="2:9" ht="15" x14ac:dyDescent="0.25">
      <c r="B166" s="142"/>
      <c r="C166" s="142"/>
      <c r="D166" s="142"/>
      <c r="E166" s="142"/>
      <c r="F166" s="142"/>
      <c r="G166" s="142"/>
      <c r="H166" s="142"/>
      <c r="I166" s="151"/>
    </row>
    <row r="167" spans="2:9" ht="15" x14ac:dyDescent="0.25">
      <c r="B167" s="142"/>
      <c r="C167" s="142"/>
      <c r="D167" s="142"/>
      <c r="E167" s="142"/>
      <c r="F167" s="142"/>
      <c r="G167" s="142"/>
      <c r="H167" s="142"/>
      <c r="I167" s="151"/>
    </row>
    <row r="168" spans="2:9" ht="15" x14ac:dyDescent="0.25">
      <c r="B168" s="142"/>
      <c r="C168" s="142"/>
      <c r="D168" s="142"/>
      <c r="E168" s="142"/>
      <c r="F168" s="142"/>
      <c r="G168" s="142"/>
      <c r="H168" s="142"/>
      <c r="I168" s="151"/>
    </row>
    <row r="169" spans="2:9" ht="15" x14ac:dyDescent="0.25">
      <c r="B169" s="142"/>
      <c r="C169" s="142"/>
      <c r="D169" s="142"/>
      <c r="E169" s="142"/>
      <c r="F169" s="142"/>
      <c r="G169" s="142"/>
      <c r="H169" s="142"/>
      <c r="I169" s="151"/>
    </row>
    <row r="170" spans="2:9" ht="15" x14ac:dyDescent="0.25">
      <c r="B170" s="142"/>
      <c r="C170" s="142"/>
      <c r="D170" s="142"/>
      <c r="E170" s="142"/>
      <c r="F170" s="142"/>
      <c r="G170" s="142"/>
      <c r="H170" s="142"/>
      <c r="I170" s="151"/>
    </row>
    <row r="171" spans="2:9" ht="15" x14ac:dyDescent="0.25">
      <c r="B171" s="142"/>
      <c r="C171" s="142"/>
      <c r="D171" s="142"/>
      <c r="E171" s="142"/>
      <c r="F171" s="142"/>
      <c r="G171" s="142"/>
      <c r="H171" s="142"/>
      <c r="I171" s="151"/>
    </row>
    <row r="172" spans="2:9" ht="15" x14ac:dyDescent="0.25">
      <c r="B172" s="142"/>
      <c r="C172" s="142"/>
      <c r="D172" s="142"/>
      <c r="E172" s="142"/>
      <c r="F172" s="142"/>
      <c r="G172" s="142"/>
      <c r="H172" s="142"/>
      <c r="I172" s="151"/>
    </row>
    <row r="173" spans="2:9" ht="15" x14ac:dyDescent="0.25">
      <c r="B173" s="142"/>
      <c r="C173" s="142"/>
      <c r="D173" s="142"/>
      <c r="E173" s="142"/>
      <c r="F173" s="142"/>
      <c r="G173" s="142"/>
      <c r="H173" s="142"/>
      <c r="I173" s="151"/>
    </row>
    <row r="174" spans="2:9" ht="15" x14ac:dyDescent="0.25">
      <c r="B174" s="142"/>
      <c r="C174" s="142"/>
      <c r="D174" s="142"/>
      <c r="E174" s="142"/>
      <c r="F174" s="142"/>
      <c r="G174" s="142"/>
      <c r="H174" s="142"/>
      <c r="I174" s="151"/>
    </row>
    <row r="175" spans="2:9" ht="15" x14ac:dyDescent="0.25">
      <c r="B175" s="142"/>
      <c r="C175" s="142"/>
      <c r="D175" s="142"/>
      <c r="E175" s="142"/>
      <c r="F175" s="142"/>
      <c r="G175" s="142"/>
      <c r="H175" s="142"/>
      <c r="I175" s="151"/>
    </row>
    <row r="176" spans="2:9" ht="15" x14ac:dyDescent="0.25">
      <c r="B176" s="142"/>
      <c r="C176" s="142"/>
      <c r="D176" s="142"/>
      <c r="E176" s="142"/>
      <c r="F176" s="142"/>
      <c r="G176" s="142"/>
      <c r="H176" s="142"/>
      <c r="I176" s="151"/>
    </row>
    <row r="177" spans="2:9" ht="15" x14ac:dyDescent="0.25">
      <c r="B177" s="142"/>
      <c r="C177" s="142"/>
      <c r="D177" s="142"/>
      <c r="E177" s="142"/>
      <c r="F177" s="142"/>
      <c r="G177" s="142"/>
      <c r="H177" s="142"/>
      <c r="I177" s="151"/>
    </row>
    <row r="178" spans="2:9" ht="15" x14ac:dyDescent="0.25">
      <c r="B178" s="142"/>
      <c r="C178" s="142"/>
      <c r="D178" s="142"/>
      <c r="E178" s="142"/>
      <c r="F178" s="142"/>
      <c r="G178" s="142"/>
      <c r="H178" s="142"/>
      <c r="I178" s="151"/>
    </row>
    <row r="179" spans="2:9" ht="15" x14ac:dyDescent="0.25">
      <c r="B179" s="142"/>
      <c r="C179" s="142"/>
      <c r="D179" s="142"/>
      <c r="E179" s="142"/>
      <c r="F179" s="142"/>
      <c r="G179" s="142"/>
      <c r="H179" s="142"/>
      <c r="I179" s="151"/>
    </row>
    <row r="180" spans="2:9" ht="15" x14ac:dyDescent="0.25">
      <c r="B180" s="142"/>
      <c r="C180" s="142"/>
      <c r="D180" s="142"/>
      <c r="E180" s="142"/>
      <c r="F180" s="142"/>
      <c r="G180" s="142"/>
      <c r="H180" s="142"/>
      <c r="I180" s="151"/>
    </row>
    <row r="181" spans="2:9" ht="15" x14ac:dyDescent="0.25">
      <c r="B181" s="142"/>
      <c r="C181" s="142"/>
      <c r="D181" s="142"/>
      <c r="E181" s="142"/>
      <c r="F181" s="142"/>
      <c r="G181" s="142"/>
      <c r="H181" s="142"/>
      <c r="I181" s="151"/>
    </row>
    <row r="182" spans="2:9" ht="15" x14ac:dyDescent="0.25">
      <c r="B182" s="142"/>
      <c r="C182" s="142"/>
      <c r="D182" s="142"/>
      <c r="E182" s="142"/>
      <c r="F182" s="142"/>
      <c r="G182" s="142"/>
      <c r="H182" s="142"/>
      <c r="I182" s="151"/>
    </row>
    <row r="183" spans="2:9" ht="15" x14ac:dyDescent="0.25">
      <c r="B183" s="142"/>
      <c r="C183" s="142"/>
      <c r="D183" s="142"/>
      <c r="E183" s="142"/>
      <c r="F183" s="142"/>
      <c r="G183" s="142"/>
      <c r="H183" s="142"/>
      <c r="I183" s="151"/>
    </row>
    <row r="184" spans="2:9" ht="15" x14ac:dyDescent="0.25">
      <c r="B184" s="142"/>
      <c r="C184" s="142"/>
      <c r="D184" s="142"/>
      <c r="E184" s="142"/>
      <c r="F184" s="142"/>
      <c r="G184" s="142"/>
      <c r="H184" s="142"/>
    </row>
    <row r="185" spans="2:9" ht="15" x14ac:dyDescent="0.25">
      <c r="B185" s="142"/>
      <c r="C185" s="142"/>
      <c r="D185" s="142"/>
      <c r="E185" s="142"/>
      <c r="F185" s="142"/>
      <c r="G185" s="142"/>
      <c r="H185" s="142"/>
    </row>
    <row r="186" spans="2:9" ht="15" x14ac:dyDescent="0.25">
      <c r="B186" s="142"/>
      <c r="C186" s="142"/>
      <c r="D186" s="142"/>
      <c r="E186" s="142"/>
      <c r="F186" s="142"/>
      <c r="G186" s="142"/>
      <c r="H186" s="142"/>
    </row>
    <row r="187" spans="2:9" ht="15" x14ac:dyDescent="0.25">
      <c r="B187" s="142"/>
      <c r="C187" s="142"/>
      <c r="D187" s="142"/>
      <c r="E187" s="142"/>
      <c r="F187" s="142"/>
      <c r="G187" s="142"/>
      <c r="H187" s="142"/>
    </row>
    <row r="188" spans="2:9" ht="15" x14ac:dyDescent="0.25">
      <c r="B188" s="142"/>
      <c r="C188" s="142"/>
      <c r="D188" s="142"/>
      <c r="E188" s="142"/>
      <c r="F188" s="142"/>
      <c r="G188" s="142"/>
      <c r="H188" s="142"/>
    </row>
    <row r="189" spans="2:9" ht="15" x14ac:dyDescent="0.25">
      <c r="B189" s="142"/>
      <c r="C189" s="142"/>
      <c r="D189" s="142"/>
      <c r="E189" s="142"/>
      <c r="F189" s="142"/>
      <c r="G189" s="142"/>
      <c r="H189" s="142"/>
    </row>
    <row r="190" spans="2:9" ht="15" x14ac:dyDescent="0.25">
      <c r="B190" s="142"/>
      <c r="C190" s="142"/>
      <c r="D190" s="142"/>
      <c r="E190" s="142"/>
      <c r="F190" s="142"/>
      <c r="G190" s="142"/>
      <c r="H190" s="142"/>
    </row>
    <row r="191" spans="2:9" ht="15" x14ac:dyDescent="0.25">
      <c r="B191" s="142"/>
      <c r="C191" s="142"/>
      <c r="D191" s="142"/>
      <c r="E191" s="142"/>
      <c r="F191" s="142"/>
      <c r="G191" s="142"/>
      <c r="H191" s="142"/>
    </row>
    <row r="192" spans="2:9" ht="15" x14ac:dyDescent="0.25">
      <c r="B192" s="142"/>
      <c r="C192" s="142"/>
      <c r="D192" s="142"/>
      <c r="E192" s="142"/>
      <c r="F192" s="142"/>
      <c r="G192" s="142"/>
      <c r="H192" s="142"/>
    </row>
    <row r="193" spans="2:8" ht="15" x14ac:dyDescent="0.25">
      <c r="B193" s="142"/>
      <c r="C193" s="142"/>
      <c r="D193" s="142"/>
      <c r="E193" s="142"/>
      <c r="F193" s="142"/>
      <c r="G193" s="142"/>
      <c r="H193" s="142"/>
    </row>
    <row r="194" spans="2:8" ht="15" x14ac:dyDescent="0.25">
      <c r="B194" s="142"/>
      <c r="C194" s="142"/>
      <c r="D194" s="142"/>
      <c r="E194" s="142"/>
      <c r="F194" s="142"/>
      <c r="G194" s="142"/>
      <c r="H194" s="142"/>
    </row>
    <row r="195" spans="2:8" ht="15" x14ac:dyDescent="0.25">
      <c r="B195" s="142"/>
      <c r="C195" s="142"/>
      <c r="D195" s="142"/>
      <c r="E195" s="142"/>
      <c r="F195" s="142"/>
      <c r="G195" s="142"/>
      <c r="H195" s="142"/>
    </row>
    <row r="196" spans="2:8" ht="15" x14ac:dyDescent="0.25">
      <c r="B196" s="142"/>
      <c r="C196" s="142"/>
      <c r="D196" s="142"/>
      <c r="E196" s="142"/>
      <c r="F196" s="142"/>
      <c r="G196" s="142"/>
      <c r="H196" s="142"/>
    </row>
    <row r="197" spans="2:8" ht="15" x14ac:dyDescent="0.25">
      <c r="B197" s="142"/>
      <c r="C197" s="142"/>
      <c r="D197" s="142"/>
      <c r="E197" s="142"/>
      <c r="F197" s="142"/>
      <c r="G197" s="142"/>
      <c r="H197" s="142"/>
    </row>
    <row r="198" spans="2:8" ht="15" x14ac:dyDescent="0.25">
      <c r="B198" s="142"/>
      <c r="C198" s="142"/>
      <c r="D198" s="142"/>
      <c r="E198" s="142"/>
      <c r="F198" s="142"/>
      <c r="G198" s="142"/>
      <c r="H198" s="142"/>
    </row>
    <row r="199" spans="2:8" ht="15" x14ac:dyDescent="0.25">
      <c r="B199" s="142"/>
      <c r="C199" s="142"/>
      <c r="D199" s="142"/>
      <c r="E199" s="142"/>
      <c r="F199" s="142"/>
      <c r="G199" s="142"/>
      <c r="H199" s="142"/>
    </row>
    <row r="200" spans="2:8" ht="15" x14ac:dyDescent="0.25">
      <c r="B200" s="142"/>
      <c r="C200" s="142"/>
      <c r="D200" s="142"/>
      <c r="E200" s="142"/>
      <c r="F200" s="142"/>
      <c r="G200" s="142"/>
      <c r="H200" s="142"/>
    </row>
    <row r="201" spans="2:8" ht="15" x14ac:dyDescent="0.25">
      <c r="B201" s="142"/>
      <c r="C201" s="142"/>
      <c r="D201" s="142"/>
      <c r="E201" s="142"/>
      <c r="F201" s="142"/>
      <c r="G201" s="142"/>
      <c r="H201" s="142"/>
    </row>
    <row r="202" spans="2:8" ht="15" x14ac:dyDescent="0.25">
      <c r="B202" s="142"/>
      <c r="C202" s="142"/>
      <c r="D202" s="142"/>
      <c r="E202" s="142"/>
      <c r="F202" s="142"/>
      <c r="G202" s="142"/>
      <c r="H202" s="142"/>
    </row>
    <row r="203" spans="2:8" ht="15" x14ac:dyDescent="0.25">
      <c r="B203" s="142"/>
      <c r="C203" s="142"/>
      <c r="D203" s="142"/>
      <c r="E203" s="142"/>
      <c r="F203" s="142"/>
      <c r="G203" s="142"/>
      <c r="H203" s="142"/>
    </row>
    <row r="204" spans="2:8" ht="15" x14ac:dyDescent="0.25">
      <c r="B204" s="142"/>
      <c r="C204" s="142"/>
      <c r="D204" s="142"/>
      <c r="E204" s="142"/>
      <c r="F204" s="142"/>
      <c r="G204" s="142"/>
      <c r="H204" s="142"/>
    </row>
    <row r="205" spans="2:8" ht="15" x14ac:dyDescent="0.25">
      <c r="B205" s="142"/>
      <c r="C205" s="142"/>
      <c r="D205" s="142"/>
      <c r="E205" s="142"/>
      <c r="F205" s="142"/>
      <c r="G205" s="142"/>
      <c r="H205" s="142"/>
    </row>
    <row r="206" spans="2:8" ht="15" x14ac:dyDescent="0.25">
      <c r="B206" s="142"/>
      <c r="C206" s="142"/>
      <c r="D206" s="142"/>
      <c r="E206" s="142"/>
      <c r="F206" s="142"/>
      <c r="G206" s="142"/>
      <c r="H206" s="142"/>
    </row>
    <row r="207" spans="2:8" ht="15" x14ac:dyDescent="0.25">
      <c r="B207" s="142"/>
      <c r="C207" s="142"/>
      <c r="D207" s="142"/>
      <c r="E207" s="142"/>
      <c r="F207" s="142"/>
      <c r="G207" s="142"/>
      <c r="H207" s="142"/>
    </row>
    <row r="208" spans="2:8" ht="15" x14ac:dyDescent="0.25">
      <c r="B208" s="142"/>
      <c r="C208" s="142"/>
      <c r="D208" s="142"/>
      <c r="E208" s="142"/>
      <c r="F208" s="142"/>
      <c r="G208" s="142"/>
      <c r="H208" s="142"/>
    </row>
    <row r="209" spans="2:8" ht="15" x14ac:dyDescent="0.25">
      <c r="B209" s="142"/>
      <c r="C209" s="142"/>
      <c r="D209" s="142"/>
      <c r="E209" s="142"/>
      <c r="F209" s="142"/>
      <c r="G209" s="142"/>
      <c r="H209" s="142"/>
    </row>
    <row r="210" spans="2:8" ht="15" x14ac:dyDescent="0.25">
      <c r="B210" s="142"/>
      <c r="C210" s="142"/>
      <c r="D210" s="142"/>
      <c r="E210" s="142"/>
      <c r="F210" s="142"/>
      <c r="G210" s="142"/>
      <c r="H210" s="142"/>
    </row>
    <row r="211" spans="2:8" ht="15" x14ac:dyDescent="0.25">
      <c r="B211" s="142"/>
      <c r="C211" s="142"/>
      <c r="D211" s="142"/>
      <c r="E211" s="142"/>
      <c r="F211" s="142"/>
      <c r="G211" s="142"/>
      <c r="H211" s="142"/>
    </row>
    <row r="212" spans="2:8" ht="15" x14ac:dyDescent="0.25">
      <c r="B212" s="142"/>
      <c r="C212" s="142"/>
      <c r="D212" s="142"/>
      <c r="E212" s="142"/>
      <c r="F212" s="142"/>
      <c r="G212" s="142"/>
      <c r="H212" s="142"/>
    </row>
    <row r="213" spans="2:8" ht="15" x14ac:dyDescent="0.25">
      <c r="B213" s="142"/>
      <c r="C213" s="142"/>
      <c r="D213" s="142"/>
      <c r="E213" s="142"/>
      <c r="F213" s="142"/>
      <c r="G213" s="142"/>
      <c r="H213" s="142"/>
    </row>
    <row r="214" spans="2:8" ht="15" x14ac:dyDescent="0.25">
      <c r="B214" s="142"/>
      <c r="C214" s="142"/>
      <c r="D214" s="142"/>
      <c r="E214" s="142"/>
      <c r="F214" s="142"/>
      <c r="G214" s="142"/>
      <c r="H214" s="142"/>
    </row>
    <row r="215" spans="2:8" ht="15" x14ac:dyDescent="0.25">
      <c r="B215" s="142"/>
      <c r="C215" s="142"/>
      <c r="D215" s="142"/>
      <c r="E215" s="142"/>
      <c r="F215" s="142"/>
      <c r="G215" s="142"/>
      <c r="H215" s="142"/>
    </row>
    <row r="216" spans="2:8" ht="15" x14ac:dyDescent="0.25">
      <c r="B216" s="142"/>
      <c r="C216" s="142"/>
      <c r="D216" s="142"/>
      <c r="E216" s="142"/>
      <c r="F216" s="142"/>
      <c r="G216" s="142"/>
      <c r="H216" s="142"/>
    </row>
    <row r="217" spans="2:8" ht="15" x14ac:dyDescent="0.25">
      <c r="B217" s="142"/>
      <c r="C217" s="142"/>
      <c r="D217" s="142"/>
      <c r="E217" s="142"/>
      <c r="F217" s="142"/>
      <c r="G217" s="142"/>
      <c r="H217" s="142"/>
    </row>
    <row r="218" spans="2:8" ht="15" x14ac:dyDescent="0.25">
      <c r="B218" s="142"/>
      <c r="C218" s="142"/>
      <c r="D218" s="142"/>
      <c r="E218" s="142"/>
      <c r="F218" s="142"/>
      <c r="G218" s="142"/>
      <c r="H218" s="142"/>
    </row>
    <row r="219" spans="2:8" ht="15" x14ac:dyDescent="0.25">
      <c r="B219" s="142"/>
      <c r="C219" s="142"/>
      <c r="D219" s="142"/>
      <c r="E219" s="142"/>
      <c r="F219" s="142"/>
      <c r="G219" s="142"/>
      <c r="H219" s="142"/>
    </row>
    <row r="220" spans="2:8" ht="15" x14ac:dyDescent="0.25">
      <c r="B220" s="142"/>
      <c r="C220" s="142"/>
      <c r="D220" s="142"/>
      <c r="E220" s="142"/>
      <c r="F220" s="142"/>
      <c r="G220" s="142"/>
      <c r="H220" s="142"/>
    </row>
    <row r="221" spans="2:8" ht="15" x14ac:dyDescent="0.25">
      <c r="B221" s="142"/>
      <c r="C221" s="142"/>
      <c r="D221" s="142"/>
      <c r="E221" s="142"/>
      <c r="F221" s="142"/>
      <c r="G221" s="142"/>
      <c r="H221" s="142"/>
    </row>
    <row r="222" spans="2:8" ht="15" x14ac:dyDescent="0.25">
      <c r="B222" s="142"/>
      <c r="C222" s="142"/>
      <c r="D222" s="142"/>
      <c r="E222" s="142"/>
      <c r="F222" s="142"/>
      <c r="G222" s="142"/>
      <c r="H222" s="142"/>
    </row>
    <row r="223" spans="2:8" ht="15" x14ac:dyDescent="0.25">
      <c r="B223" s="142"/>
      <c r="C223" s="142"/>
      <c r="D223" s="142"/>
      <c r="E223" s="142"/>
      <c r="F223" s="142"/>
      <c r="G223" s="142"/>
      <c r="H223" s="142"/>
    </row>
    <row r="224" spans="2:8" ht="15" x14ac:dyDescent="0.25">
      <c r="B224" s="142"/>
      <c r="C224" s="142"/>
      <c r="D224" s="142"/>
      <c r="E224" s="142"/>
      <c r="F224" s="142"/>
      <c r="G224" s="142"/>
      <c r="H224" s="142"/>
    </row>
    <row r="225" spans="2:8" ht="15" x14ac:dyDescent="0.25">
      <c r="B225" s="142"/>
      <c r="C225" s="142"/>
      <c r="D225" s="142"/>
      <c r="E225" s="142"/>
      <c r="F225" s="142"/>
      <c r="G225" s="142"/>
      <c r="H225" s="142"/>
    </row>
    <row r="226" spans="2:8" ht="15" x14ac:dyDescent="0.25">
      <c r="B226" s="142"/>
      <c r="C226" s="142"/>
      <c r="D226" s="142"/>
      <c r="E226" s="142"/>
      <c r="F226" s="142"/>
      <c r="G226" s="142"/>
      <c r="H226" s="142"/>
    </row>
    <row r="227" spans="2:8" ht="15" x14ac:dyDescent="0.25">
      <c r="B227" s="142"/>
      <c r="C227" s="142"/>
      <c r="D227" s="142"/>
      <c r="E227" s="142"/>
      <c r="F227" s="142"/>
      <c r="G227" s="142"/>
      <c r="H227" s="142"/>
    </row>
    <row r="228" spans="2:8" ht="15" x14ac:dyDescent="0.25">
      <c r="B228" s="142"/>
      <c r="C228" s="142"/>
      <c r="D228" s="142"/>
      <c r="E228" s="142"/>
      <c r="F228" s="142"/>
      <c r="G228" s="142"/>
      <c r="H228" s="142"/>
    </row>
    <row r="229" spans="2:8" ht="15" x14ac:dyDescent="0.25">
      <c r="B229" s="142"/>
      <c r="C229" s="142"/>
      <c r="D229" s="142"/>
      <c r="E229" s="142"/>
      <c r="F229" s="142"/>
      <c r="G229" s="142"/>
      <c r="H229" s="142"/>
    </row>
    <row r="230" spans="2:8" ht="15" x14ac:dyDescent="0.25">
      <c r="B230" s="142"/>
      <c r="C230" s="142"/>
      <c r="D230" s="142"/>
      <c r="E230" s="142"/>
      <c r="F230" s="142"/>
      <c r="G230" s="142"/>
      <c r="H230" s="142"/>
    </row>
    <row r="231" spans="2:8" ht="15" x14ac:dyDescent="0.25">
      <c r="B231" s="142"/>
      <c r="C231" s="142"/>
      <c r="D231" s="142"/>
      <c r="E231" s="142"/>
      <c r="F231" s="142"/>
      <c r="G231" s="142"/>
      <c r="H231" s="142"/>
    </row>
    <row r="232" spans="2:8" ht="15" x14ac:dyDescent="0.25">
      <c r="B232" s="142"/>
      <c r="C232" s="142"/>
      <c r="D232" s="142"/>
      <c r="E232" s="142"/>
      <c r="F232" s="142"/>
      <c r="G232" s="142"/>
      <c r="H232" s="142"/>
    </row>
    <row r="233" spans="2:8" ht="15" x14ac:dyDescent="0.25">
      <c r="B233" s="142"/>
      <c r="C233" s="142"/>
      <c r="D233" s="142"/>
      <c r="E233" s="142"/>
      <c r="F233" s="142"/>
      <c r="G233" s="142"/>
      <c r="H233" s="142"/>
    </row>
    <row r="234" spans="2:8" ht="15" x14ac:dyDescent="0.25">
      <c r="B234" s="142"/>
      <c r="C234" s="142"/>
      <c r="D234" s="142"/>
      <c r="E234" s="142"/>
      <c r="F234" s="142"/>
      <c r="G234" s="142"/>
      <c r="H234" s="142"/>
    </row>
    <row r="235" spans="2:8" ht="15" x14ac:dyDescent="0.25">
      <c r="B235" s="142"/>
      <c r="C235" s="142"/>
      <c r="D235" s="142"/>
      <c r="E235" s="142"/>
      <c r="F235" s="142"/>
      <c r="G235" s="142"/>
      <c r="H235" s="142"/>
    </row>
    <row r="236" spans="2:8" ht="15" x14ac:dyDescent="0.25">
      <c r="B236" s="142"/>
      <c r="C236" s="142"/>
      <c r="D236" s="142"/>
      <c r="E236" s="142"/>
      <c r="F236" s="142"/>
      <c r="G236" s="142"/>
      <c r="H236" s="142"/>
    </row>
    <row r="237" spans="2:8" ht="15" x14ac:dyDescent="0.25">
      <c r="B237" s="142"/>
      <c r="C237" s="142"/>
      <c r="D237" s="142"/>
      <c r="E237" s="142"/>
      <c r="F237" s="142"/>
      <c r="G237" s="142"/>
      <c r="H237" s="142"/>
    </row>
    <row r="238" spans="2:8" ht="15" x14ac:dyDescent="0.25">
      <c r="B238" s="142"/>
      <c r="C238" s="142"/>
      <c r="D238" s="142"/>
      <c r="E238" s="142"/>
      <c r="F238" s="142"/>
      <c r="G238" s="142"/>
      <c r="H238" s="142"/>
    </row>
    <row r="239" spans="2:8" ht="15" x14ac:dyDescent="0.25">
      <c r="B239" s="142"/>
      <c r="C239" s="142"/>
      <c r="D239" s="142"/>
      <c r="E239" s="142"/>
      <c r="F239" s="142"/>
      <c r="G239" s="142"/>
      <c r="H239" s="142"/>
    </row>
    <row r="240" spans="2:8" ht="15" x14ac:dyDescent="0.25">
      <c r="B240" s="142"/>
      <c r="C240" s="142"/>
      <c r="D240" s="142"/>
      <c r="E240" s="142"/>
      <c r="F240" s="142"/>
      <c r="G240" s="142"/>
      <c r="H240" s="142"/>
    </row>
    <row r="241" spans="2:8" ht="15" x14ac:dyDescent="0.25">
      <c r="B241" s="142"/>
      <c r="C241" s="142"/>
      <c r="D241" s="142"/>
      <c r="E241" s="142"/>
      <c r="F241" s="142"/>
      <c r="G241" s="142"/>
      <c r="H241" s="142"/>
    </row>
    <row r="242" spans="2:8" ht="15" x14ac:dyDescent="0.25">
      <c r="B242" s="142"/>
      <c r="C242" s="142"/>
      <c r="D242" s="142"/>
      <c r="E242" s="142"/>
      <c r="F242" s="142"/>
      <c r="G242" s="142"/>
      <c r="H242" s="142"/>
    </row>
    <row r="243" spans="2:8" ht="15" x14ac:dyDescent="0.25">
      <c r="B243" s="142"/>
      <c r="C243" s="142"/>
      <c r="D243" s="142"/>
      <c r="E243" s="142"/>
      <c r="F243" s="142"/>
      <c r="G243" s="142"/>
      <c r="H243" s="142"/>
    </row>
    <row r="244" spans="2:8" ht="15" x14ac:dyDescent="0.25">
      <c r="B244" s="142"/>
      <c r="C244" s="142"/>
      <c r="D244" s="142"/>
      <c r="E244" s="142"/>
      <c r="F244" s="142"/>
      <c r="G244" s="142"/>
      <c r="H244" s="142"/>
    </row>
    <row r="245" spans="2:8" ht="15" x14ac:dyDescent="0.25">
      <c r="B245" s="142"/>
      <c r="C245" s="142"/>
      <c r="D245" s="142"/>
      <c r="E245" s="142"/>
      <c r="F245" s="142"/>
      <c r="G245" s="142"/>
      <c r="H245" s="142"/>
    </row>
    <row r="246" spans="2:8" ht="15" x14ac:dyDescent="0.25">
      <c r="B246" s="142"/>
      <c r="C246" s="142"/>
      <c r="D246" s="142"/>
      <c r="E246" s="142"/>
      <c r="F246" s="142"/>
      <c r="G246" s="142"/>
      <c r="H246" s="142"/>
    </row>
    <row r="247" spans="2:8" ht="15" x14ac:dyDescent="0.25">
      <c r="B247" s="142"/>
      <c r="C247" s="142"/>
      <c r="D247" s="142"/>
      <c r="E247" s="142"/>
      <c r="F247" s="142"/>
      <c r="G247" s="142"/>
      <c r="H247" s="142"/>
    </row>
    <row r="248" spans="2:8" ht="15" x14ac:dyDescent="0.25">
      <c r="B248" s="142"/>
      <c r="C248" s="142"/>
      <c r="D248" s="142"/>
      <c r="E248" s="142"/>
      <c r="F248" s="142"/>
      <c r="G248" s="142"/>
      <c r="H248" s="142"/>
    </row>
    <row r="249" spans="2:8" ht="15" x14ac:dyDescent="0.25">
      <c r="B249" s="142"/>
      <c r="C249" s="142"/>
      <c r="D249" s="142"/>
      <c r="E249" s="142"/>
      <c r="F249" s="142"/>
      <c r="G249" s="142"/>
      <c r="H249" s="142"/>
    </row>
    <row r="250" spans="2:8" ht="15" x14ac:dyDescent="0.25">
      <c r="B250" s="142"/>
      <c r="C250" s="142"/>
      <c r="D250" s="142"/>
      <c r="E250" s="142"/>
      <c r="F250" s="142"/>
      <c r="G250" s="142"/>
      <c r="H250" s="142"/>
    </row>
    <row r="251" spans="2:8" ht="15" x14ac:dyDescent="0.25">
      <c r="B251" s="142"/>
      <c r="C251" s="142"/>
      <c r="D251" s="142"/>
      <c r="E251" s="142"/>
      <c r="F251" s="142"/>
      <c r="G251" s="142"/>
      <c r="H251" s="142"/>
    </row>
    <row r="252" spans="2:8" ht="15" x14ac:dyDescent="0.25">
      <c r="B252" s="142"/>
      <c r="C252" s="142"/>
      <c r="D252" s="142"/>
      <c r="E252" s="142"/>
      <c r="F252" s="142"/>
      <c r="G252" s="142"/>
      <c r="H252" s="142"/>
    </row>
    <row r="253" spans="2:8" ht="15" x14ac:dyDescent="0.25">
      <c r="B253" s="142"/>
      <c r="C253" s="142"/>
      <c r="D253" s="142"/>
      <c r="E253" s="142"/>
      <c r="F253" s="142"/>
      <c r="G253" s="142"/>
      <c r="H253" s="142"/>
    </row>
    <row r="254" spans="2:8" ht="15" x14ac:dyDescent="0.25">
      <c r="B254" s="142"/>
      <c r="C254" s="142"/>
      <c r="D254" s="142"/>
      <c r="E254" s="142"/>
      <c r="F254" s="142"/>
      <c r="G254" s="142"/>
      <c r="H254" s="142"/>
    </row>
    <row r="255" spans="2:8" ht="15" x14ac:dyDescent="0.25">
      <c r="B255" s="142"/>
      <c r="C255" s="142"/>
      <c r="D255" s="142"/>
      <c r="E255" s="142"/>
      <c r="F255" s="142"/>
      <c r="G255" s="142"/>
      <c r="H255" s="142"/>
    </row>
    <row r="256" spans="2:8" ht="15" x14ac:dyDescent="0.25">
      <c r="B256" s="142"/>
      <c r="C256" s="142"/>
      <c r="D256" s="142"/>
      <c r="E256" s="142"/>
      <c r="F256" s="142"/>
      <c r="G256" s="142"/>
      <c r="H256" s="142"/>
    </row>
    <row r="257" spans="2:8" ht="15" x14ac:dyDescent="0.25">
      <c r="B257" s="142"/>
      <c r="C257" s="142"/>
      <c r="D257" s="142"/>
      <c r="E257" s="142"/>
      <c r="F257" s="142"/>
      <c r="G257" s="142"/>
      <c r="H257" s="142"/>
    </row>
    <row r="258" spans="2:8" ht="15" x14ac:dyDescent="0.25">
      <c r="B258" s="142"/>
      <c r="C258" s="142"/>
      <c r="D258" s="142"/>
      <c r="E258" s="142"/>
      <c r="F258" s="142"/>
      <c r="G258" s="142"/>
      <c r="H258" s="142"/>
    </row>
    <row r="259" spans="2:8" ht="15" x14ac:dyDescent="0.25">
      <c r="B259" s="142"/>
      <c r="C259" s="142"/>
      <c r="D259" s="142"/>
      <c r="E259" s="142"/>
      <c r="F259" s="142"/>
      <c r="G259" s="142"/>
      <c r="H259" s="142"/>
    </row>
    <row r="260" spans="2:8" ht="15" x14ac:dyDescent="0.25">
      <c r="B260" s="142"/>
      <c r="C260" s="142"/>
      <c r="D260" s="142"/>
      <c r="E260" s="142"/>
      <c r="F260" s="142"/>
      <c r="G260" s="142"/>
      <c r="H260" s="142"/>
    </row>
    <row r="261" spans="2:8" ht="15" x14ac:dyDescent="0.25">
      <c r="B261" s="142"/>
      <c r="C261" s="142"/>
      <c r="D261" s="142"/>
      <c r="E261" s="142"/>
      <c r="F261" s="142"/>
      <c r="G261" s="142"/>
      <c r="H261" s="142"/>
    </row>
    <row r="262" spans="2:8" ht="15" x14ac:dyDescent="0.25">
      <c r="B262" s="142"/>
      <c r="C262" s="142"/>
      <c r="D262" s="142"/>
      <c r="E262" s="142"/>
      <c r="F262" s="142"/>
      <c r="G262" s="142"/>
      <c r="H262" s="142"/>
    </row>
    <row r="263" spans="2:8" ht="15" x14ac:dyDescent="0.25">
      <c r="B263" s="142"/>
      <c r="C263" s="142"/>
      <c r="D263" s="142"/>
      <c r="E263" s="142"/>
      <c r="F263" s="142"/>
      <c r="G263" s="142"/>
      <c r="H263" s="142"/>
    </row>
    <row r="264" spans="2:8" ht="15" x14ac:dyDescent="0.25">
      <c r="B264" s="142"/>
      <c r="C264" s="142"/>
      <c r="D264" s="142"/>
      <c r="E264" s="142"/>
      <c r="F264" s="142"/>
      <c r="G264" s="142"/>
      <c r="H264" s="142"/>
    </row>
    <row r="265" spans="2:8" ht="15" x14ac:dyDescent="0.25">
      <c r="B265" s="142"/>
      <c r="C265" s="142"/>
      <c r="D265" s="142"/>
      <c r="E265" s="142"/>
      <c r="F265" s="142"/>
      <c r="G265" s="142"/>
      <c r="H265" s="142"/>
    </row>
    <row r="266" spans="2:8" x14ac:dyDescent="0.2">
      <c r="B266" s="151"/>
      <c r="C266" s="151"/>
      <c r="D266" s="151"/>
      <c r="E266" s="151"/>
      <c r="F266" s="151"/>
      <c r="G266" s="151"/>
      <c r="H266" s="151"/>
    </row>
    <row r="267" spans="2:8" x14ac:dyDescent="0.2">
      <c r="B267" s="151"/>
      <c r="C267" s="151"/>
      <c r="D267" s="151"/>
      <c r="E267" s="151"/>
      <c r="F267" s="151"/>
      <c r="G267" s="151"/>
      <c r="H267" s="151"/>
    </row>
    <row r="268" spans="2:8" x14ac:dyDescent="0.2">
      <c r="B268" s="151"/>
      <c r="C268" s="151"/>
      <c r="D268" s="151"/>
      <c r="E268" s="151"/>
      <c r="F268" s="151"/>
      <c r="G268" s="151"/>
      <c r="H268" s="151"/>
    </row>
    <row r="269" spans="2:8" x14ac:dyDescent="0.2">
      <c r="B269" s="151"/>
      <c r="C269" s="151"/>
      <c r="D269" s="151"/>
      <c r="E269" s="151"/>
      <c r="F269" s="151"/>
      <c r="G269" s="151"/>
      <c r="H269" s="151"/>
    </row>
    <row r="270" spans="2:8" x14ac:dyDescent="0.2">
      <c r="B270" s="151"/>
      <c r="C270" s="151"/>
      <c r="D270" s="151"/>
      <c r="E270" s="151"/>
      <c r="F270" s="151"/>
      <c r="G270" s="151"/>
      <c r="H270" s="151"/>
    </row>
    <row r="271" spans="2:8" x14ac:dyDescent="0.2">
      <c r="B271" s="151"/>
      <c r="C271" s="151"/>
      <c r="D271" s="151"/>
      <c r="E271" s="151"/>
      <c r="F271" s="151"/>
      <c r="G271" s="151"/>
      <c r="H271" s="151"/>
    </row>
    <row r="272" spans="2:8" x14ac:dyDescent="0.2">
      <c r="B272" s="151"/>
      <c r="C272" s="151"/>
      <c r="D272" s="151"/>
      <c r="E272" s="151"/>
      <c r="F272" s="151"/>
      <c r="G272" s="151"/>
      <c r="H272" s="151"/>
    </row>
    <row r="273" spans="2:8" x14ac:dyDescent="0.2">
      <c r="B273" s="151"/>
      <c r="C273" s="151"/>
      <c r="D273" s="151"/>
      <c r="E273" s="151"/>
      <c r="F273" s="151"/>
      <c r="G273" s="151"/>
      <c r="H273" s="151"/>
    </row>
    <row r="274" spans="2:8" x14ac:dyDescent="0.2">
      <c r="B274" s="151"/>
      <c r="C274" s="151"/>
      <c r="D274" s="151"/>
      <c r="E274" s="151"/>
      <c r="F274" s="151"/>
      <c r="G274" s="151"/>
      <c r="H274" s="151"/>
    </row>
    <row r="275" spans="2:8" x14ac:dyDescent="0.2">
      <c r="B275" s="151"/>
      <c r="C275" s="151"/>
      <c r="D275" s="151"/>
      <c r="E275" s="151"/>
      <c r="F275" s="151"/>
      <c r="G275" s="151"/>
      <c r="H275" s="151"/>
    </row>
    <row r="276" spans="2:8" x14ac:dyDescent="0.2">
      <c r="B276" s="151"/>
      <c r="C276" s="151"/>
      <c r="D276" s="151"/>
      <c r="E276" s="151"/>
      <c r="F276" s="151"/>
      <c r="G276" s="151"/>
      <c r="H276" s="151"/>
    </row>
    <row r="277" spans="2:8" x14ac:dyDescent="0.2">
      <c r="B277" s="151"/>
      <c r="C277" s="151"/>
      <c r="D277" s="151"/>
      <c r="E277" s="151"/>
      <c r="F277" s="151"/>
      <c r="G277" s="151"/>
      <c r="H277" s="151"/>
    </row>
    <row r="278" spans="2:8" x14ac:dyDescent="0.2">
      <c r="B278" s="151"/>
      <c r="C278" s="151"/>
      <c r="D278" s="151"/>
      <c r="E278" s="151"/>
      <c r="F278" s="151"/>
      <c r="G278" s="151"/>
      <c r="H278" s="151"/>
    </row>
    <row r="279" spans="2:8" x14ac:dyDescent="0.2">
      <c r="B279" s="151"/>
      <c r="C279" s="151"/>
      <c r="D279" s="151"/>
      <c r="E279" s="151"/>
      <c r="F279" s="151"/>
      <c r="G279" s="151"/>
      <c r="H279" s="151"/>
    </row>
    <row r="280" spans="2:8" x14ac:dyDescent="0.2">
      <c r="B280" s="151"/>
      <c r="C280" s="151"/>
      <c r="D280" s="151"/>
      <c r="E280" s="151"/>
      <c r="F280" s="151"/>
      <c r="G280" s="151"/>
      <c r="H280" s="151"/>
    </row>
    <row r="281" spans="2:8" x14ac:dyDescent="0.2">
      <c r="B281" s="151"/>
      <c r="C281" s="151"/>
      <c r="D281" s="151"/>
      <c r="E281" s="151"/>
      <c r="F281" s="151"/>
      <c r="G281" s="151"/>
      <c r="H281" s="151"/>
    </row>
    <row r="282" spans="2:8" x14ac:dyDescent="0.2">
      <c r="B282" s="151"/>
      <c r="C282" s="151"/>
      <c r="D282" s="151"/>
      <c r="E282" s="151"/>
      <c r="F282" s="151"/>
      <c r="G282" s="151"/>
      <c r="H282" s="151"/>
    </row>
    <row r="283" spans="2:8" x14ac:dyDescent="0.2">
      <c r="B283" s="151"/>
      <c r="C283" s="151"/>
      <c r="D283" s="151"/>
      <c r="E283" s="151"/>
      <c r="F283" s="151"/>
      <c r="G283" s="151"/>
      <c r="H283" s="151"/>
    </row>
    <row r="284" spans="2:8" x14ac:dyDescent="0.2">
      <c r="B284" s="151"/>
      <c r="C284" s="151"/>
      <c r="D284" s="151"/>
      <c r="E284" s="151"/>
      <c r="F284" s="151"/>
      <c r="G284" s="151"/>
      <c r="H284" s="151"/>
    </row>
    <row r="285" spans="2:8" x14ac:dyDescent="0.2">
      <c r="B285" s="151"/>
      <c r="C285" s="151"/>
      <c r="D285" s="151"/>
      <c r="E285" s="151"/>
      <c r="F285" s="151"/>
      <c r="G285" s="151"/>
      <c r="H285" s="151"/>
    </row>
    <row r="286" spans="2:8" x14ac:dyDescent="0.2">
      <c r="B286" s="151"/>
      <c r="C286" s="151"/>
      <c r="D286" s="151"/>
      <c r="E286" s="151"/>
      <c r="F286" s="151"/>
      <c r="G286" s="151"/>
      <c r="H286" s="151"/>
    </row>
    <row r="287" spans="2:8" x14ac:dyDescent="0.2">
      <c r="B287" s="151"/>
      <c r="C287" s="151"/>
      <c r="D287" s="151"/>
      <c r="E287" s="151"/>
      <c r="F287" s="151"/>
      <c r="G287" s="151"/>
      <c r="H287" s="151"/>
    </row>
    <row r="288" spans="2:8" x14ac:dyDescent="0.2">
      <c r="B288" s="151"/>
      <c r="C288" s="151"/>
      <c r="D288" s="151"/>
      <c r="E288" s="151"/>
      <c r="F288" s="151"/>
      <c r="G288" s="151"/>
      <c r="H288" s="151"/>
    </row>
    <row r="289" spans="2:8" x14ac:dyDescent="0.2">
      <c r="B289" s="151"/>
      <c r="C289" s="151"/>
      <c r="D289" s="151"/>
      <c r="E289" s="151"/>
      <c r="F289" s="151"/>
      <c r="G289" s="151"/>
      <c r="H289" s="151"/>
    </row>
    <row r="290" spans="2:8" x14ac:dyDescent="0.2">
      <c r="B290" s="151"/>
      <c r="C290" s="151"/>
      <c r="D290" s="151"/>
      <c r="E290" s="151"/>
      <c r="F290" s="151"/>
      <c r="G290" s="151"/>
      <c r="H290" s="151"/>
    </row>
    <row r="291" spans="2:8" x14ac:dyDescent="0.2">
      <c r="B291" s="151"/>
      <c r="C291" s="151"/>
      <c r="D291" s="151"/>
      <c r="E291" s="151"/>
      <c r="F291" s="151"/>
      <c r="G291" s="151"/>
      <c r="H291" s="151"/>
    </row>
    <row r="292" spans="2:8" x14ac:dyDescent="0.2">
      <c r="B292" s="151"/>
      <c r="C292" s="151"/>
      <c r="D292" s="151"/>
      <c r="E292" s="151"/>
      <c r="F292" s="151"/>
      <c r="G292" s="151"/>
      <c r="H292" s="151"/>
    </row>
    <row r="293" spans="2:8" x14ac:dyDescent="0.2">
      <c r="B293" s="151"/>
      <c r="C293" s="151"/>
      <c r="D293" s="151"/>
      <c r="E293" s="151"/>
      <c r="F293" s="151"/>
      <c r="G293" s="151"/>
      <c r="H293" s="151"/>
    </row>
    <row r="294" spans="2:8" x14ac:dyDescent="0.2">
      <c r="B294" s="151"/>
      <c r="C294" s="151"/>
      <c r="D294" s="151"/>
      <c r="E294" s="151"/>
      <c r="F294" s="151"/>
      <c r="G294" s="151"/>
      <c r="H294" s="151"/>
    </row>
    <row r="295" spans="2:8" x14ac:dyDescent="0.2">
      <c r="B295" s="151"/>
      <c r="C295" s="151"/>
      <c r="D295" s="151"/>
      <c r="E295" s="151"/>
      <c r="F295" s="151"/>
      <c r="G295" s="151"/>
      <c r="H295" s="151"/>
    </row>
    <row r="296" spans="2:8" x14ac:dyDescent="0.2">
      <c r="B296" s="151"/>
      <c r="C296" s="151"/>
      <c r="D296" s="151"/>
      <c r="E296" s="151"/>
      <c r="F296" s="151"/>
      <c r="G296" s="151"/>
      <c r="H296" s="151"/>
    </row>
    <row r="297" spans="2:8" x14ac:dyDescent="0.2">
      <c r="B297" s="151"/>
      <c r="C297" s="151"/>
      <c r="D297" s="151"/>
      <c r="E297" s="151"/>
      <c r="F297" s="151"/>
      <c r="G297" s="151"/>
      <c r="H297" s="151"/>
    </row>
    <row r="298" spans="2:8" x14ac:dyDescent="0.2">
      <c r="B298" s="151"/>
      <c r="C298" s="151"/>
      <c r="D298" s="151"/>
      <c r="E298" s="151"/>
      <c r="F298" s="151"/>
      <c r="G298" s="151"/>
      <c r="H298" s="151"/>
    </row>
    <row r="299" spans="2:8" x14ac:dyDescent="0.2">
      <c r="B299" s="151"/>
      <c r="C299" s="151"/>
      <c r="D299" s="151"/>
      <c r="E299" s="151"/>
      <c r="F299" s="151"/>
      <c r="G299" s="151"/>
      <c r="H299" s="151"/>
    </row>
    <row r="300" spans="2:8" x14ac:dyDescent="0.2">
      <c r="B300" s="151"/>
      <c r="C300" s="151"/>
      <c r="D300" s="151"/>
      <c r="E300" s="151"/>
      <c r="F300" s="151"/>
      <c r="G300" s="151"/>
      <c r="H300" s="151"/>
    </row>
    <row r="301" spans="2:8" x14ac:dyDescent="0.2">
      <c r="B301" s="151"/>
      <c r="C301" s="151"/>
      <c r="D301" s="151"/>
      <c r="E301" s="151"/>
      <c r="F301" s="151"/>
      <c r="G301" s="151"/>
      <c r="H301" s="151"/>
    </row>
    <row r="302" spans="2:8" x14ac:dyDescent="0.2">
      <c r="B302" s="151"/>
      <c r="C302" s="151"/>
      <c r="D302" s="151"/>
      <c r="E302" s="151"/>
      <c r="F302" s="151"/>
      <c r="G302" s="151"/>
      <c r="H302" s="151"/>
    </row>
    <row r="303" spans="2:8" x14ac:dyDescent="0.2">
      <c r="B303" s="151"/>
      <c r="C303" s="151"/>
      <c r="D303" s="151"/>
      <c r="E303" s="151"/>
      <c r="F303" s="151"/>
      <c r="G303" s="151"/>
      <c r="H303" s="151"/>
    </row>
    <row r="304" spans="2:8" x14ac:dyDescent="0.2">
      <c r="B304" s="151"/>
      <c r="C304" s="151"/>
      <c r="D304" s="151"/>
      <c r="E304" s="151"/>
      <c r="F304" s="151"/>
      <c r="G304" s="151"/>
      <c r="H304" s="151"/>
    </row>
    <row r="305" spans="2:8" x14ac:dyDescent="0.2">
      <c r="B305" s="151"/>
      <c r="C305" s="151"/>
      <c r="D305" s="151"/>
      <c r="E305" s="151"/>
      <c r="F305" s="151"/>
      <c r="G305" s="151"/>
      <c r="H305" s="151"/>
    </row>
    <row r="306" spans="2:8" x14ac:dyDescent="0.2">
      <c r="B306" s="151"/>
      <c r="C306" s="151"/>
      <c r="D306" s="151"/>
      <c r="E306" s="151"/>
      <c r="F306" s="151"/>
      <c r="G306" s="151"/>
      <c r="H306" s="151"/>
    </row>
    <row r="307" spans="2:8" x14ac:dyDescent="0.2">
      <c r="B307" s="151"/>
      <c r="C307" s="151"/>
      <c r="D307" s="151"/>
      <c r="E307" s="151"/>
      <c r="F307" s="151"/>
      <c r="G307" s="151"/>
      <c r="H307" s="151"/>
    </row>
    <row r="308" spans="2:8" x14ac:dyDescent="0.2">
      <c r="B308" s="151"/>
      <c r="C308" s="151"/>
      <c r="D308" s="151"/>
      <c r="E308" s="151"/>
      <c r="F308" s="151"/>
      <c r="G308" s="151"/>
      <c r="H308" s="151"/>
    </row>
    <row r="309" spans="2:8" x14ac:dyDescent="0.2">
      <c r="B309" s="151"/>
      <c r="C309" s="151"/>
      <c r="D309" s="151"/>
      <c r="E309" s="151"/>
      <c r="F309" s="151"/>
      <c r="G309" s="151"/>
      <c r="H309" s="151"/>
    </row>
    <row r="310" spans="2:8" x14ac:dyDescent="0.2">
      <c r="B310" s="151"/>
      <c r="C310" s="151"/>
      <c r="D310" s="151"/>
      <c r="E310" s="151"/>
      <c r="F310" s="151"/>
      <c r="G310" s="151"/>
      <c r="H310" s="151"/>
    </row>
    <row r="311" spans="2:8" x14ac:dyDescent="0.2">
      <c r="B311" s="151"/>
      <c r="C311" s="151"/>
      <c r="D311" s="151"/>
      <c r="E311" s="151"/>
      <c r="F311" s="151"/>
      <c r="G311" s="151"/>
      <c r="H311" s="151"/>
    </row>
    <row r="312" spans="2:8" x14ac:dyDescent="0.2">
      <c r="B312" s="151"/>
      <c r="C312" s="151"/>
      <c r="D312" s="151"/>
      <c r="E312" s="151"/>
      <c r="F312" s="151"/>
      <c r="G312" s="151"/>
      <c r="H312" s="151"/>
    </row>
    <row r="313" spans="2:8" x14ac:dyDescent="0.2">
      <c r="B313" s="151"/>
      <c r="C313" s="151"/>
      <c r="D313" s="151"/>
      <c r="E313" s="151"/>
      <c r="F313" s="151"/>
      <c r="G313" s="151"/>
      <c r="H313" s="151"/>
    </row>
    <row r="314" spans="2:8" x14ac:dyDescent="0.2">
      <c r="B314" s="151"/>
      <c r="C314" s="151"/>
      <c r="D314" s="151"/>
      <c r="E314" s="151"/>
      <c r="F314" s="151"/>
      <c r="G314" s="151"/>
      <c r="H314" s="151"/>
    </row>
    <row r="315" spans="2:8" x14ac:dyDescent="0.2">
      <c r="B315" s="151"/>
      <c r="C315" s="151"/>
      <c r="D315" s="151"/>
      <c r="E315" s="151"/>
      <c r="F315" s="151"/>
      <c r="G315" s="151"/>
      <c r="H315" s="151"/>
    </row>
    <row r="316" spans="2:8" x14ac:dyDescent="0.2">
      <c r="B316" s="151"/>
      <c r="C316" s="151"/>
      <c r="D316" s="151"/>
      <c r="E316" s="151"/>
      <c r="F316" s="151"/>
      <c r="G316" s="151"/>
      <c r="H316" s="151"/>
    </row>
    <row r="317" spans="2:8" x14ac:dyDescent="0.2">
      <c r="B317" s="151"/>
      <c r="C317" s="151"/>
      <c r="D317" s="151"/>
      <c r="E317" s="151"/>
      <c r="F317" s="151"/>
      <c r="G317" s="151"/>
      <c r="H317" s="151"/>
    </row>
    <row r="318" spans="2:8" x14ac:dyDescent="0.2">
      <c r="B318" s="151"/>
      <c r="C318" s="151"/>
      <c r="D318" s="151"/>
      <c r="E318" s="151"/>
      <c r="F318" s="151"/>
      <c r="G318" s="151"/>
      <c r="H318" s="151"/>
    </row>
    <row r="319" spans="2:8" x14ac:dyDescent="0.2">
      <c r="B319" s="151"/>
      <c r="C319" s="151"/>
      <c r="D319" s="151"/>
      <c r="E319" s="151"/>
      <c r="F319" s="151"/>
      <c r="G319" s="151"/>
      <c r="H319" s="151"/>
    </row>
    <row r="320" spans="2:8" x14ac:dyDescent="0.2">
      <c r="B320" s="151"/>
      <c r="C320" s="151"/>
      <c r="D320" s="151"/>
      <c r="E320" s="151"/>
      <c r="F320" s="151"/>
      <c r="G320" s="151"/>
      <c r="H320" s="151"/>
    </row>
    <row r="321" spans="2:8" x14ac:dyDescent="0.2">
      <c r="B321" s="151"/>
      <c r="C321" s="151"/>
      <c r="D321" s="151"/>
      <c r="E321" s="151"/>
      <c r="F321" s="151"/>
      <c r="G321" s="151"/>
      <c r="H321" s="151"/>
    </row>
    <row r="322" spans="2:8" x14ac:dyDescent="0.2">
      <c r="B322" s="151"/>
      <c r="C322" s="151"/>
      <c r="D322" s="151"/>
      <c r="E322" s="151"/>
      <c r="F322" s="151"/>
      <c r="G322" s="151"/>
      <c r="H322" s="151"/>
    </row>
    <row r="323" spans="2:8" x14ac:dyDescent="0.2">
      <c r="B323" s="151"/>
      <c r="C323" s="151"/>
      <c r="D323" s="151"/>
      <c r="E323" s="151"/>
      <c r="F323" s="151"/>
      <c r="G323" s="151"/>
      <c r="H323" s="151"/>
    </row>
    <row r="324" spans="2:8" x14ac:dyDescent="0.2">
      <c r="B324" s="151"/>
      <c r="C324" s="151"/>
      <c r="D324" s="151"/>
      <c r="E324" s="151"/>
      <c r="F324" s="151"/>
      <c r="G324" s="151"/>
      <c r="H324" s="151"/>
    </row>
    <row r="325" spans="2:8" x14ac:dyDescent="0.2">
      <c r="B325" s="151"/>
      <c r="C325" s="151"/>
      <c r="D325" s="151"/>
      <c r="E325" s="151"/>
      <c r="F325" s="151"/>
      <c r="G325" s="151"/>
      <c r="H325" s="151"/>
    </row>
    <row r="326" spans="2:8" x14ac:dyDescent="0.2">
      <c r="B326" s="151"/>
      <c r="C326" s="151"/>
      <c r="D326" s="151"/>
      <c r="E326" s="151"/>
      <c r="F326" s="151"/>
      <c r="G326" s="151"/>
      <c r="H326" s="151"/>
    </row>
    <row r="327" spans="2:8" x14ac:dyDescent="0.2">
      <c r="B327" s="151"/>
      <c r="C327" s="151"/>
      <c r="D327" s="151"/>
      <c r="E327" s="151"/>
      <c r="F327" s="151"/>
      <c r="G327" s="151"/>
      <c r="H327" s="151"/>
    </row>
    <row r="328" spans="2:8" x14ac:dyDescent="0.2">
      <c r="B328" s="151"/>
      <c r="C328" s="151"/>
      <c r="D328" s="151"/>
      <c r="E328" s="151"/>
      <c r="F328" s="151"/>
      <c r="G328" s="151"/>
      <c r="H328" s="151"/>
    </row>
    <row r="329" spans="2:8" x14ac:dyDescent="0.2">
      <c r="B329" s="151"/>
      <c r="C329" s="151"/>
      <c r="D329" s="151"/>
      <c r="E329" s="151"/>
      <c r="F329" s="151"/>
      <c r="G329" s="151"/>
      <c r="H329" s="151"/>
    </row>
    <row r="330" spans="2:8" x14ac:dyDescent="0.2">
      <c r="B330" s="151"/>
      <c r="C330" s="151"/>
      <c r="D330" s="151"/>
      <c r="E330" s="151"/>
      <c r="F330" s="151"/>
      <c r="G330" s="151"/>
      <c r="H330" s="151"/>
    </row>
    <row r="331" spans="2:8" x14ac:dyDescent="0.2">
      <c r="B331" s="151"/>
      <c r="C331" s="151"/>
      <c r="D331" s="151"/>
      <c r="E331" s="151"/>
      <c r="F331" s="151"/>
      <c r="G331" s="151"/>
      <c r="H331" s="151"/>
    </row>
    <row r="332" spans="2:8" x14ac:dyDescent="0.2">
      <c r="B332" s="151"/>
      <c r="C332" s="151"/>
      <c r="D332" s="151"/>
      <c r="E332" s="151"/>
      <c r="F332" s="151"/>
      <c r="G332" s="151"/>
      <c r="H332" s="151"/>
    </row>
    <row r="333" spans="2:8" x14ac:dyDescent="0.2">
      <c r="B333" s="151"/>
      <c r="C333" s="151"/>
      <c r="D333" s="151"/>
      <c r="E333" s="151"/>
      <c r="F333" s="151"/>
      <c r="G333" s="151"/>
      <c r="H333" s="151"/>
    </row>
    <row r="334" spans="2:8" x14ac:dyDescent="0.2">
      <c r="B334" s="151"/>
      <c r="C334" s="151"/>
      <c r="D334" s="151"/>
      <c r="E334" s="151"/>
      <c r="F334" s="151"/>
      <c r="G334" s="151"/>
      <c r="H334" s="151"/>
    </row>
    <row r="335" spans="2:8" x14ac:dyDescent="0.2">
      <c r="B335" s="151"/>
      <c r="C335" s="151"/>
      <c r="D335" s="151"/>
      <c r="E335" s="151"/>
      <c r="F335" s="151"/>
      <c r="G335" s="151"/>
      <c r="H335" s="151"/>
    </row>
    <row r="336" spans="2:8" x14ac:dyDescent="0.2">
      <c r="B336" s="151"/>
      <c r="C336" s="151"/>
      <c r="D336" s="151"/>
      <c r="E336" s="151"/>
      <c r="F336" s="151"/>
      <c r="G336" s="151"/>
      <c r="H336" s="151"/>
    </row>
    <row r="337" spans="2:8" x14ac:dyDescent="0.2">
      <c r="B337" s="151"/>
      <c r="C337" s="151"/>
      <c r="D337" s="151"/>
      <c r="E337" s="151"/>
      <c r="F337" s="151"/>
      <c r="G337" s="151"/>
      <c r="H337" s="151"/>
    </row>
    <row r="338" spans="2:8" x14ac:dyDescent="0.2">
      <c r="B338" s="151"/>
      <c r="C338" s="151"/>
      <c r="D338" s="151"/>
      <c r="E338" s="151"/>
      <c r="F338" s="151"/>
      <c r="G338" s="151"/>
      <c r="H338" s="151"/>
    </row>
    <row r="339" spans="2:8" x14ac:dyDescent="0.2">
      <c r="B339" s="151"/>
      <c r="C339" s="151"/>
      <c r="D339" s="151"/>
      <c r="E339" s="151"/>
      <c r="F339" s="151"/>
      <c r="G339" s="151"/>
      <c r="H339" s="151"/>
    </row>
    <row r="340" spans="2:8" x14ac:dyDescent="0.2">
      <c r="B340" s="151"/>
      <c r="C340" s="151"/>
      <c r="D340" s="151"/>
      <c r="E340" s="151"/>
      <c r="F340" s="151"/>
      <c r="G340" s="151"/>
      <c r="H340" s="151"/>
    </row>
    <row r="341" spans="2:8" x14ac:dyDescent="0.2">
      <c r="B341" s="151"/>
      <c r="C341" s="151"/>
      <c r="D341" s="151"/>
      <c r="E341" s="151"/>
      <c r="F341" s="151"/>
      <c r="G341" s="151"/>
      <c r="H341" s="151"/>
    </row>
    <row r="342" spans="2:8" x14ac:dyDescent="0.2">
      <c r="B342" s="151"/>
      <c r="C342" s="151"/>
      <c r="D342" s="151"/>
      <c r="E342" s="151"/>
      <c r="F342" s="151"/>
      <c r="G342" s="151"/>
      <c r="H342" s="151"/>
    </row>
    <row r="343" spans="2:8" x14ac:dyDescent="0.2">
      <c r="B343" s="151"/>
      <c r="C343" s="151"/>
      <c r="D343" s="151"/>
      <c r="E343" s="151"/>
      <c r="F343" s="151"/>
      <c r="G343" s="151"/>
      <c r="H343" s="151"/>
    </row>
    <row r="344" spans="2:8" x14ac:dyDescent="0.2">
      <c r="B344" s="151"/>
      <c r="C344" s="151"/>
      <c r="D344" s="151"/>
      <c r="E344" s="151"/>
      <c r="F344" s="151"/>
      <c r="G344" s="151"/>
      <c r="H344" s="151"/>
    </row>
  </sheetData>
  <mergeCells count="1">
    <mergeCell ref="B11:G11"/>
  </mergeCells>
  <pageMargins left="0.7" right="0.7" top="0.75" bottom="0.75" header="0.3" footer="0.3"/>
  <pageSetup paperSize="9" orientation="portrait"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H24"/>
  <sheetViews>
    <sheetView view="pageBreakPreview" topLeftCell="B1" zoomScale="60" zoomScaleNormal="100" workbookViewId="0">
      <selection activeCell="C5" sqref="C5"/>
    </sheetView>
  </sheetViews>
  <sheetFormatPr defaultColWidth="0" defaultRowHeight="30.75" x14ac:dyDescent="0.2"/>
  <cols>
    <col min="1" max="1" width="16.140625" style="24" hidden="1" customWidth="1"/>
    <col min="2" max="2" width="20.7109375" style="8" customWidth="1"/>
    <col min="3" max="3" width="84" style="6" customWidth="1"/>
    <col min="4" max="4" width="41.85546875" style="7" hidden="1" customWidth="1"/>
    <col min="5" max="5" width="9.140625" style="6" hidden="1" customWidth="1"/>
    <col min="6" max="6" width="3.7109375" style="6" customWidth="1"/>
    <col min="7" max="257" width="9.140625" style="6" hidden="1" customWidth="1"/>
    <col min="258" max="16384" width="9.140625" style="6" hidden="1"/>
  </cols>
  <sheetData>
    <row r="1" spans="1:4" x14ac:dyDescent="0.2">
      <c r="A1" s="23">
        <f>TABELAS!B2</f>
        <v>2015</v>
      </c>
      <c r="B1" s="3"/>
      <c r="C1" s="5"/>
    </row>
    <row r="2" spans="1:4" s="177" customFormat="1" ht="15.75" x14ac:dyDescent="0.2">
      <c r="A2" s="178" t="str">
        <f>TABELAS!B4</f>
        <v>JANEIRO</v>
      </c>
      <c r="B2" s="264" t="s">
        <v>51</v>
      </c>
      <c r="C2" s="264"/>
    </row>
    <row r="3" spans="1:4" s="177" customFormat="1" ht="15.75" x14ac:dyDescent="0.2">
      <c r="A3" s="179"/>
      <c r="B3" s="264" t="str">
        <f>"JANEIRO"&amp;" A "&amp;$A$2&amp;" "&amp;$A$1</f>
        <v>JANEIRO A JANEIRO 2015</v>
      </c>
      <c r="C3" s="264"/>
    </row>
    <row r="4" spans="1:4" x14ac:dyDescent="0.2">
      <c r="B4" s="265" t="s">
        <v>611</v>
      </c>
      <c r="C4" s="265"/>
    </row>
    <row r="5" spans="1:4" ht="12.75" x14ac:dyDescent="0.2">
      <c r="B5" s="3"/>
      <c r="C5" s="180"/>
      <c r="D5" s="6"/>
    </row>
    <row r="6" spans="1:4" ht="12.75" x14ac:dyDescent="0.2">
      <c r="B6" s="266" t="s">
        <v>31</v>
      </c>
      <c r="C6" s="266"/>
      <c r="D6" s="6"/>
    </row>
    <row r="7" spans="1:4" ht="25.5" x14ac:dyDescent="0.2">
      <c r="B7" s="3">
        <v>1</v>
      </c>
      <c r="C7" s="181" t="s">
        <v>836</v>
      </c>
      <c r="D7" s="6"/>
    </row>
    <row r="8" spans="1:4" ht="25.5" x14ac:dyDescent="0.2">
      <c r="B8" s="182">
        <v>2</v>
      </c>
      <c r="C8" s="183" t="s">
        <v>837</v>
      </c>
      <c r="D8" s="6"/>
    </row>
    <row r="9" spans="1:4" ht="25.5" x14ac:dyDescent="0.2">
      <c r="B9" s="3">
        <v>3</v>
      </c>
      <c r="C9" s="181" t="s">
        <v>838</v>
      </c>
      <c r="D9" s="6"/>
    </row>
    <row r="10" spans="1:4" ht="25.5" x14ac:dyDescent="0.2">
      <c r="B10" s="182">
        <v>4</v>
      </c>
      <c r="C10" s="183" t="s">
        <v>839</v>
      </c>
      <c r="D10" s="6"/>
    </row>
    <row r="11" spans="1:4" ht="25.5" x14ac:dyDescent="0.2">
      <c r="B11" s="3">
        <v>5</v>
      </c>
      <c r="C11" s="184" t="s">
        <v>840</v>
      </c>
      <c r="D11" s="6"/>
    </row>
    <row r="12" spans="1:4" ht="25.5" x14ac:dyDescent="0.2">
      <c r="B12" s="182">
        <v>6</v>
      </c>
      <c r="C12" s="183" t="s">
        <v>841</v>
      </c>
      <c r="D12" s="6"/>
    </row>
    <row r="13" spans="1:4" ht="25.5" x14ac:dyDescent="0.2">
      <c r="B13" s="3">
        <v>7</v>
      </c>
      <c r="C13" s="184" t="s">
        <v>842</v>
      </c>
      <c r="D13" s="6"/>
    </row>
    <row r="14" spans="1:4" ht="25.5" x14ac:dyDescent="0.2">
      <c r="B14" s="182">
        <v>8</v>
      </c>
      <c r="C14" s="183" t="s">
        <v>843</v>
      </c>
      <c r="D14" s="6"/>
    </row>
    <row r="15" spans="1:4" ht="25.5" x14ac:dyDescent="0.2">
      <c r="B15" s="3">
        <v>9</v>
      </c>
      <c r="C15" s="185" t="s">
        <v>844</v>
      </c>
      <c r="D15" s="6"/>
    </row>
    <row r="16" spans="1:4" ht="25.5" x14ac:dyDescent="0.2">
      <c r="B16" s="182">
        <v>10</v>
      </c>
      <c r="C16" s="186" t="s">
        <v>845</v>
      </c>
      <c r="D16" s="6"/>
    </row>
    <row r="17" spans="2:8" ht="25.5" x14ac:dyDescent="0.2">
      <c r="B17" s="3">
        <v>11</v>
      </c>
      <c r="C17" s="185" t="s">
        <v>846</v>
      </c>
      <c r="D17" s="6"/>
    </row>
    <row r="18" spans="2:8" ht="25.5" x14ac:dyDescent="0.2">
      <c r="B18" s="182">
        <v>12</v>
      </c>
      <c r="C18" s="186" t="s">
        <v>847</v>
      </c>
      <c r="D18" s="6"/>
    </row>
    <row r="19" spans="2:8" ht="25.5" x14ac:dyDescent="0.2">
      <c r="B19" s="3">
        <v>13</v>
      </c>
      <c r="C19" s="185" t="s">
        <v>848</v>
      </c>
      <c r="D19" s="6"/>
    </row>
    <row r="20" spans="2:8" ht="33.75" x14ac:dyDescent="0.2">
      <c r="B20" s="22">
        <v>14</v>
      </c>
      <c r="C20" s="187" t="s">
        <v>849</v>
      </c>
      <c r="D20" s="188"/>
      <c r="E20" s="189"/>
      <c r="F20" s="189"/>
      <c r="G20" s="189"/>
      <c r="H20" s="189"/>
    </row>
    <row r="21" spans="2:8" ht="33.75" x14ac:dyDescent="0.2">
      <c r="B21" s="4">
        <v>15</v>
      </c>
      <c r="C21" s="190" t="s">
        <v>850</v>
      </c>
      <c r="D21" s="188"/>
      <c r="E21" s="189"/>
      <c r="F21" s="189"/>
      <c r="G21" s="189"/>
      <c r="H21" s="189"/>
    </row>
    <row r="22" spans="2:8" ht="33.75" x14ac:dyDescent="0.2">
      <c r="B22" s="22">
        <v>14</v>
      </c>
      <c r="C22" s="187" t="s">
        <v>851</v>
      </c>
      <c r="D22" s="188"/>
      <c r="E22" s="189"/>
      <c r="F22" s="189"/>
      <c r="G22" s="189"/>
      <c r="H22" s="189"/>
    </row>
    <row r="23" spans="2:8" x14ac:dyDescent="0.2">
      <c r="C23" s="189"/>
      <c r="D23" s="188"/>
      <c r="E23" s="189"/>
      <c r="F23" s="189"/>
      <c r="G23" s="189"/>
      <c r="H23" s="189"/>
    </row>
    <row r="24" spans="2:8" x14ac:dyDescent="0.2">
      <c r="C24" s="189"/>
      <c r="D24" s="188"/>
      <c r="E24" s="189"/>
      <c r="F24" s="189"/>
      <c r="G24" s="189"/>
      <c r="H24" s="189"/>
    </row>
  </sheetData>
  <mergeCells count="4">
    <mergeCell ref="B2:C2"/>
    <mergeCell ref="B4:C4"/>
    <mergeCell ref="B6:C6"/>
    <mergeCell ref="B3:C3"/>
  </mergeCells>
  <hyperlinks>
    <hyperlink ref="C7" location="'1-2'!C2" display="'1-2'!C2" xr:uid="{00000000-0004-0000-0100-000000000000}"/>
    <hyperlink ref="C8" location="'1-2'!J2" display="'1-2'!J2" xr:uid="{00000000-0004-0000-0100-000001000000}"/>
    <hyperlink ref="C12" location="'6-7'!B2" display="'6-7'!B2" xr:uid="{00000000-0004-0000-0100-000002000000}"/>
    <hyperlink ref="C13" location="'6-7'!I2" display="'6-7'!I2" xr:uid="{00000000-0004-0000-0100-000003000000}"/>
    <hyperlink ref="C10" location="'4'!B2" display="'4'!B2" xr:uid="{00000000-0004-0000-0100-000004000000}"/>
    <hyperlink ref="C11" location="'5'!B2" display="'5'!B2" xr:uid="{00000000-0004-0000-0100-000005000000}"/>
    <hyperlink ref="C14" location="'8-9'!B2" display="'8-9'!B2" xr:uid="{00000000-0004-0000-0100-000006000000}"/>
    <hyperlink ref="C15" location="'8-9'!J2" display="'8-9'!J2" xr:uid="{00000000-0004-0000-0100-000007000000}"/>
    <hyperlink ref="C9" location="'3'!B1" display="'3'!B1" xr:uid="{00000000-0004-0000-0100-000008000000}"/>
    <hyperlink ref="C16" location="'10-11'!B3" display="'10-11'!B3" xr:uid="{00000000-0004-0000-0100-000009000000}"/>
    <hyperlink ref="C17" location="'10-11'!J3" display="'10-11'!J3" xr:uid="{00000000-0004-0000-0100-00000A000000}"/>
    <hyperlink ref="C18" location="'12'!B3" display="'12'!B3" xr:uid="{00000000-0004-0000-0100-00000B000000}"/>
    <hyperlink ref="C19" location="'13-14'!B2" display="'13-14'!B2" xr:uid="{00000000-0004-0000-0100-00000C000000}"/>
    <hyperlink ref="C20" location="'15-16'!B2" display="'15-16'!B2" xr:uid="{00000000-0004-0000-0100-00000D000000}"/>
    <hyperlink ref="C22" location="PRÉMIOS!B2" display="PRÉMIOS!B2" xr:uid="{00000000-0004-0000-0100-00000E000000}"/>
    <hyperlink ref="C21" location="'15-16'!J2" display="'15-16'!J2" xr:uid="{00000000-0004-0000-0100-00000F000000}"/>
  </hyperlinks>
  <printOptions horizontalCentered="1"/>
  <pageMargins left="0" right="0" top="0" bottom="0" header="0" footer="0"/>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tabColor theme="5" tint="-0.499984740745262"/>
    <pageSetUpPr fitToPage="1"/>
  </sheetPr>
  <dimension ref="A1:O60"/>
  <sheetViews>
    <sheetView tabSelected="1" topLeftCell="B1" zoomScaleNormal="100" zoomScaleSheetLayoutView="100" workbookViewId="0">
      <selection activeCell="C2" sqref="C2:G3"/>
    </sheetView>
  </sheetViews>
  <sheetFormatPr defaultColWidth="9.140625" defaultRowHeight="15.75" x14ac:dyDescent="0.25"/>
  <cols>
    <col min="1" max="1" width="20" style="291" hidden="1" customWidth="1"/>
    <col min="2" max="2" width="15.7109375" style="292" customWidth="1"/>
    <col min="3" max="3" width="27.5703125" style="291" bestFit="1" customWidth="1"/>
    <col min="4" max="4" width="19" style="291" bestFit="1" customWidth="1"/>
    <col min="5" max="5" width="19.28515625" style="291" bestFit="1" customWidth="1"/>
    <col min="6" max="6" width="10.42578125" style="291" bestFit="1" customWidth="1"/>
    <col min="7" max="7" width="9.140625" style="291" bestFit="1" customWidth="1"/>
    <col min="8" max="9" width="13.85546875" style="291" customWidth="1"/>
    <col min="10" max="10" width="21.7109375" style="291" customWidth="1"/>
    <col min="11" max="12" width="18.7109375" style="291" customWidth="1"/>
    <col min="13" max="13" width="3.28515625" style="291" bestFit="1" customWidth="1"/>
    <col min="14" max="14" width="8.42578125" style="291" bestFit="1" customWidth="1"/>
    <col min="15" max="15" width="15.7109375" style="291" customWidth="1"/>
    <col min="16" max="16384" width="9.140625" style="291"/>
  </cols>
  <sheetData>
    <row r="1" spans="1:15" x14ac:dyDescent="0.25">
      <c r="K1" s="293"/>
      <c r="L1" s="293"/>
      <c r="M1" s="293"/>
      <c r="N1" s="293"/>
    </row>
    <row r="2" spans="1:15" s="292" customFormat="1" x14ac:dyDescent="0.25">
      <c r="C2" s="294" t="s">
        <v>963</v>
      </c>
      <c r="D2" s="295"/>
      <c r="E2" s="295"/>
      <c r="F2" s="295"/>
      <c r="G2" s="295"/>
      <c r="J2" s="294" t="s">
        <v>964</v>
      </c>
      <c r="K2" s="295"/>
      <c r="L2" s="295"/>
      <c r="M2" s="295"/>
      <c r="N2" s="295"/>
      <c r="O2" s="296"/>
    </row>
    <row r="3" spans="1:15" s="292" customFormat="1" x14ac:dyDescent="0.25">
      <c r="C3" s="295"/>
      <c r="D3" s="295"/>
      <c r="E3" s="295"/>
      <c r="F3" s="295"/>
      <c r="G3" s="295"/>
      <c r="J3" s="295"/>
      <c r="K3" s="295"/>
      <c r="L3" s="295"/>
      <c r="M3" s="295"/>
      <c r="N3" s="295"/>
    </row>
    <row r="4" spans="1:15" ht="15" x14ac:dyDescent="0.25">
      <c r="B4" s="297"/>
      <c r="C4" s="298"/>
      <c r="D4" s="299"/>
      <c r="E4" s="300"/>
      <c r="F4" s="300"/>
      <c r="G4" s="299"/>
      <c r="J4" s="298"/>
      <c r="K4" s="301"/>
      <c r="L4" s="301"/>
      <c r="M4" s="301"/>
      <c r="N4" s="301"/>
    </row>
    <row r="5" spans="1:15" ht="12.75" x14ac:dyDescent="0.2">
      <c r="B5" s="291"/>
      <c r="C5" s="302" t="s">
        <v>892</v>
      </c>
      <c r="D5" s="303">
        <v>2021</v>
      </c>
      <c r="E5" s="304">
        <v>2022</v>
      </c>
      <c r="F5" s="304"/>
      <c r="G5" s="304" t="s">
        <v>11</v>
      </c>
      <c r="J5" s="302" t="s">
        <v>892</v>
      </c>
      <c r="K5" s="303">
        <v>2021</v>
      </c>
      <c r="L5" s="304">
        <v>2022</v>
      </c>
      <c r="M5" s="304"/>
      <c r="N5" s="304" t="s">
        <v>11</v>
      </c>
    </row>
    <row r="6" spans="1:15" ht="12.75" x14ac:dyDescent="0.2">
      <c r="A6" s="291" t="s">
        <v>591</v>
      </c>
      <c r="B6" s="291"/>
      <c r="C6" s="305" t="s">
        <v>825</v>
      </c>
      <c r="D6" s="306">
        <v>143722.66</v>
      </c>
      <c r="E6" s="306">
        <v>2036918.1</v>
      </c>
      <c r="F6" s="307" t="str">
        <f>IF(G6&lt;0,"q",IF(G6="-","","p"))</f>
        <v>p</v>
      </c>
      <c r="G6" s="308">
        <f>IF(E6="","-",SUM(E6-D6)/D6)</f>
        <v>13.172560541253551</v>
      </c>
      <c r="I6" s="309"/>
      <c r="J6" s="305" t="s">
        <v>825</v>
      </c>
      <c r="K6" s="310">
        <v>26543</v>
      </c>
      <c r="L6" s="310">
        <v>363209</v>
      </c>
      <c r="M6" s="307" t="str">
        <f>IF(N6&lt;0,"q",IF(N6="-","","p"))</f>
        <v>p</v>
      </c>
      <c r="N6" s="308">
        <f t="shared" ref="N6:N18" si="0">IF(L6="","-",SUM(L6-K6)/K6)</f>
        <v>12.683796104434315</v>
      </c>
    </row>
    <row r="7" spans="1:15" ht="12.75" x14ac:dyDescent="0.2">
      <c r="A7" s="291" t="s">
        <v>595</v>
      </c>
      <c r="B7" s="291"/>
      <c r="C7" s="311" t="s">
        <v>586</v>
      </c>
      <c r="D7" s="312">
        <f>+D6</f>
        <v>143722.66</v>
      </c>
      <c r="E7" s="312">
        <f>+E6</f>
        <v>2036918.1</v>
      </c>
      <c r="F7" s="313" t="str">
        <f>IF(G7&lt;0,"q",IF(G7="-","","p"))</f>
        <v>p</v>
      </c>
      <c r="G7" s="314">
        <f>IF(E7="","-",SUM(E7-D7)/D7)</f>
        <v>13.172560541253551</v>
      </c>
      <c r="I7" s="309"/>
      <c r="J7" s="311" t="s">
        <v>586</v>
      </c>
      <c r="K7" s="315">
        <f>K6</f>
        <v>26543</v>
      </c>
      <c r="L7" s="315">
        <f>L6</f>
        <v>363209</v>
      </c>
      <c r="M7" s="313" t="str">
        <f>IF(N7&lt;0,"q",IF(N7="-","","p"))</f>
        <v>p</v>
      </c>
      <c r="N7" s="314">
        <f>IF(L7="","-",SUM(L7-K7)/K7)</f>
        <v>12.683796104434315</v>
      </c>
    </row>
    <row r="8" spans="1:15" ht="12.75" x14ac:dyDescent="0.2">
      <c r="A8" s="291" t="s">
        <v>596</v>
      </c>
      <c r="B8" s="291"/>
      <c r="C8" s="316" t="s">
        <v>826</v>
      </c>
      <c r="D8" s="317">
        <v>0</v>
      </c>
      <c r="E8" s="317"/>
      <c r="F8" s="318" t="str">
        <f>IF(G8&lt;0,"q",IF(G8="-","","p"))</f>
        <v/>
      </c>
      <c r="G8" s="319" t="str">
        <f t="shared" ref="G8:G12" si="1">IF(E8="","-",SUM(E8-D8)/D8)</f>
        <v>-</v>
      </c>
      <c r="I8" s="309"/>
      <c r="J8" s="316" t="s">
        <v>826</v>
      </c>
      <c r="K8" s="320">
        <v>0</v>
      </c>
      <c r="L8" s="320"/>
      <c r="M8" s="318" t="str">
        <f>IF(N8&lt;0,"q",IF(N8="-","","p"))</f>
        <v/>
      </c>
      <c r="N8" s="319" t="str">
        <f t="shared" si="0"/>
        <v>-</v>
      </c>
    </row>
    <row r="9" spans="1:15" ht="12.75" x14ac:dyDescent="0.2">
      <c r="A9" s="291" t="s">
        <v>598</v>
      </c>
      <c r="B9" s="291"/>
      <c r="C9" s="316" t="s">
        <v>827</v>
      </c>
      <c r="D9" s="317">
        <v>183</v>
      </c>
      <c r="E9" s="317"/>
      <c r="F9" s="318" t="str">
        <f>IF(G9&lt;0,"q",IF(G9="-","","p"))</f>
        <v/>
      </c>
      <c r="G9" s="319" t="str">
        <f>IF(E9="","-",SUM(E9-D9)/D9)</f>
        <v>-</v>
      </c>
      <c r="I9" s="309"/>
      <c r="J9" s="316" t="s">
        <v>827</v>
      </c>
      <c r="K9" s="320">
        <v>345</v>
      </c>
      <c r="L9" s="320"/>
      <c r="M9" s="318" t="str">
        <f t="shared" ref="M9:M19" si="2">IF(N9&lt;0,"q",IF(N9="-","","p"))</f>
        <v/>
      </c>
      <c r="N9" s="319" t="str">
        <f>IF(L9="","-",SUM(L9-K9)/K9)</f>
        <v>-</v>
      </c>
    </row>
    <row r="10" spans="1:15" ht="12.75" x14ac:dyDescent="0.2">
      <c r="A10" s="291" t="s">
        <v>599</v>
      </c>
      <c r="B10" s="291"/>
      <c r="C10" s="316" t="s">
        <v>828</v>
      </c>
      <c r="D10" s="317">
        <v>344434.72000000102</v>
      </c>
      <c r="E10" s="317"/>
      <c r="F10" s="318" t="str">
        <f>IF(G10&lt;0,"q",IF(G10="-","","p"))</f>
        <v/>
      </c>
      <c r="G10" s="319" t="str">
        <f t="shared" ref="G10:G11" si="3">IF(E10="","-",SUM(E10-D10)/D10)</f>
        <v>-</v>
      </c>
      <c r="I10" s="309"/>
      <c r="J10" s="316" t="s">
        <v>828</v>
      </c>
      <c r="K10" s="321">
        <v>61938</v>
      </c>
      <c r="L10" s="321"/>
      <c r="M10" s="318" t="str">
        <f t="shared" si="2"/>
        <v/>
      </c>
      <c r="N10" s="319" t="str">
        <f t="shared" ref="N10:N11" si="4">IF(L10="","-",SUM(L10-K10)/K10)</f>
        <v>-</v>
      </c>
    </row>
    <row r="11" spans="1:15" ht="12.75" x14ac:dyDescent="0.2">
      <c r="A11" s="291" t="s">
        <v>593</v>
      </c>
      <c r="B11" s="291"/>
      <c r="C11" s="316" t="s">
        <v>829</v>
      </c>
      <c r="D11" s="317">
        <v>1770017.65</v>
      </c>
      <c r="E11" s="317"/>
      <c r="F11" s="318" t="str">
        <f t="shared" ref="F11:F19" si="5">IF(G11&lt;0,"q",IF(G11="-","","p"))</f>
        <v/>
      </c>
      <c r="G11" s="319" t="str">
        <f t="shared" si="3"/>
        <v>-</v>
      </c>
      <c r="H11" s="322"/>
      <c r="I11" s="309"/>
      <c r="J11" s="316" t="s">
        <v>829</v>
      </c>
      <c r="K11" s="321">
        <v>323238</v>
      </c>
      <c r="L11" s="321"/>
      <c r="M11" s="318" t="str">
        <f t="shared" si="2"/>
        <v/>
      </c>
      <c r="N11" s="319" t="str">
        <f t="shared" si="4"/>
        <v>-</v>
      </c>
      <c r="O11" s="323"/>
    </row>
    <row r="12" spans="1:15" ht="12.75" x14ac:dyDescent="0.2">
      <c r="A12" s="291" t="s">
        <v>601</v>
      </c>
      <c r="B12" s="291"/>
      <c r="C12" s="316" t="s">
        <v>830</v>
      </c>
      <c r="D12" s="317">
        <v>2671826.52</v>
      </c>
      <c r="E12" s="317"/>
      <c r="F12" s="318" t="str">
        <f t="shared" si="5"/>
        <v/>
      </c>
      <c r="G12" s="319" t="str">
        <f t="shared" si="1"/>
        <v>-</v>
      </c>
      <c r="I12" s="309"/>
      <c r="J12" s="316" t="s">
        <v>830</v>
      </c>
      <c r="K12" s="321">
        <v>479860</v>
      </c>
      <c r="L12" s="321"/>
      <c r="M12" s="318" t="str">
        <f t="shared" si="2"/>
        <v/>
      </c>
      <c r="N12" s="319" t="str">
        <f t="shared" si="0"/>
        <v>-</v>
      </c>
    </row>
    <row r="13" spans="1:15" ht="12.75" x14ac:dyDescent="0.2">
      <c r="A13" s="291" t="s">
        <v>602</v>
      </c>
      <c r="B13" s="291"/>
      <c r="C13" s="316" t="s">
        <v>831</v>
      </c>
      <c r="D13" s="317">
        <v>3374012.22000003</v>
      </c>
      <c r="E13" s="317"/>
      <c r="F13" s="318" t="str">
        <f t="shared" si="5"/>
        <v/>
      </c>
      <c r="G13" s="319" t="str">
        <f t="shared" ref="G13:G17" si="6">IF(E13="","-",SUM(E13-D13)/D13)</f>
        <v>-</v>
      </c>
      <c r="I13" s="309"/>
      <c r="J13" s="316" t="s">
        <v>831</v>
      </c>
      <c r="K13" s="321">
        <v>605020</v>
      </c>
      <c r="L13" s="321"/>
      <c r="M13" s="318" t="str">
        <f t="shared" si="2"/>
        <v/>
      </c>
      <c r="N13" s="319" t="str">
        <f>IF(L13="","-",SUM(L13-K13)/K13)</f>
        <v>-</v>
      </c>
    </row>
    <row r="14" spans="1:15" ht="12.75" x14ac:dyDescent="0.2">
      <c r="B14" s="291"/>
      <c r="C14" s="316" t="s">
        <v>832</v>
      </c>
      <c r="D14" s="317">
        <v>4055614.67000004</v>
      </c>
      <c r="E14" s="317"/>
      <c r="F14" s="318" t="str">
        <f>IF(G14&lt;0,"q",IF(G14="-","","p"))</f>
        <v/>
      </c>
      <c r="G14" s="319" t="str">
        <f t="shared" si="6"/>
        <v>-</v>
      </c>
      <c r="J14" s="316" t="s">
        <v>832</v>
      </c>
      <c r="K14" s="321">
        <v>740590</v>
      </c>
      <c r="L14" s="321"/>
      <c r="M14" s="318" t="str">
        <f t="shared" si="2"/>
        <v/>
      </c>
      <c r="N14" s="319" t="str">
        <f t="shared" si="0"/>
        <v>-</v>
      </c>
    </row>
    <row r="15" spans="1:15" ht="15" customHeight="1" x14ac:dyDescent="0.25">
      <c r="C15" s="316" t="s">
        <v>833</v>
      </c>
      <c r="D15" s="317">
        <v>3447407.6200000299</v>
      </c>
      <c r="E15" s="317"/>
      <c r="F15" s="318" t="str">
        <f t="shared" si="5"/>
        <v/>
      </c>
      <c r="G15" s="319" t="str">
        <f t="shared" si="6"/>
        <v>-</v>
      </c>
      <c r="H15" s="324"/>
      <c r="J15" s="316" t="s">
        <v>833</v>
      </c>
      <c r="K15" s="321">
        <v>644483</v>
      </c>
      <c r="L15" s="321"/>
      <c r="M15" s="318" t="str">
        <f t="shared" si="2"/>
        <v/>
      </c>
      <c r="N15" s="319" t="str">
        <f>IF(L15="","-",SUM(L15-K15)/K15)</f>
        <v>-</v>
      </c>
    </row>
    <row r="16" spans="1:15" x14ac:dyDescent="0.25">
      <c r="A16" s="325" t="s">
        <v>574</v>
      </c>
      <c r="C16" s="316" t="s">
        <v>834</v>
      </c>
      <c r="D16" s="317">
        <v>5690976.0200000396</v>
      </c>
      <c r="E16" s="317"/>
      <c r="F16" s="318" t="str">
        <f t="shared" si="5"/>
        <v/>
      </c>
      <c r="G16" s="319" t="str">
        <f t="shared" si="6"/>
        <v>-</v>
      </c>
      <c r="H16" s="324"/>
      <c r="J16" s="316" t="s">
        <v>834</v>
      </c>
      <c r="K16" s="321">
        <v>981230</v>
      </c>
      <c r="L16" s="321"/>
      <c r="M16" s="318" t="str">
        <f t="shared" si="2"/>
        <v/>
      </c>
      <c r="N16" s="319" t="str">
        <f>IF(L16="","-",SUM(L16-K16)/K16)</f>
        <v>-</v>
      </c>
    </row>
    <row r="17" spans="1:14" x14ac:dyDescent="0.25">
      <c r="A17" s="326" t="s">
        <v>573</v>
      </c>
      <c r="C17" s="316" t="s">
        <v>901</v>
      </c>
      <c r="D17" s="317">
        <v>3776866.6600000602</v>
      </c>
      <c r="E17" s="317"/>
      <c r="F17" s="318" t="str">
        <f t="shared" si="5"/>
        <v/>
      </c>
      <c r="G17" s="319" t="str">
        <f t="shared" si="6"/>
        <v>-</v>
      </c>
      <c r="H17" s="324"/>
      <c r="J17" s="327" t="s">
        <v>901</v>
      </c>
      <c r="K17" s="321">
        <v>672260</v>
      </c>
      <c r="L17" s="321"/>
      <c r="M17" s="318" t="str">
        <f t="shared" si="2"/>
        <v/>
      </c>
      <c r="N17" s="319" t="str">
        <f t="shared" si="0"/>
        <v>-</v>
      </c>
    </row>
    <row r="18" spans="1:14" x14ac:dyDescent="0.25">
      <c r="A18" s="328" t="e">
        <f>E19-'8-9'!$D$16+#REF!+'15'!F15-'15'!F40</f>
        <v>#REF!</v>
      </c>
      <c r="C18" s="316" t="s">
        <v>835</v>
      </c>
      <c r="D18" s="317">
        <v>5314094.4300000202</v>
      </c>
      <c r="E18" s="317"/>
      <c r="F18" s="318" t="str">
        <f t="shared" si="5"/>
        <v/>
      </c>
      <c r="G18" s="319" t="str">
        <f t="shared" ref="G18" si="7">IF(E18="","-",SUM(E18-D18)/D18)</f>
        <v>-</v>
      </c>
      <c r="H18" s="324"/>
      <c r="J18" s="329" t="s">
        <v>835</v>
      </c>
      <c r="K18" s="330">
        <v>933351</v>
      </c>
      <c r="L18" s="330"/>
      <c r="M18" s="331" t="str">
        <f t="shared" si="2"/>
        <v/>
      </c>
      <c r="N18" s="332" t="str">
        <f t="shared" si="0"/>
        <v>-</v>
      </c>
    </row>
    <row r="19" spans="1:14" x14ac:dyDescent="0.25">
      <c r="A19" s="326" t="s">
        <v>575</v>
      </c>
      <c r="C19" s="333" t="s">
        <v>12</v>
      </c>
      <c r="D19" s="334">
        <f>+SUM(D8:D18)+D7</f>
        <v>30589156.170000222</v>
      </c>
      <c r="E19" s="334">
        <f>+SUM(E8:E18)+E7</f>
        <v>2036918.1</v>
      </c>
      <c r="F19" s="335" t="str">
        <f t="shared" si="5"/>
        <v/>
      </c>
      <c r="G19" s="336" t="str">
        <f>IF(E18="","-",SUM(E19-D19)/D19)</f>
        <v>-</v>
      </c>
      <c r="H19" s="324"/>
      <c r="J19" s="337" t="s">
        <v>12</v>
      </c>
      <c r="K19" s="315">
        <f>SUM(K8:K18)+K7</f>
        <v>5468858</v>
      </c>
      <c r="L19" s="315">
        <f>SUM(L8:L18)+L7</f>
        <v>363209</v>
      </c>
      <c r="M19" s="338" t="str">
        <f t="shared" si="2"/>
        <v/>
      </c>
      <c r="N19" s="339" t="str">
        <f>IF(L18="","-",SUM(L19-K19)/K19)</f>
        <v>-</v>
      </c>
    </row>
    <row r="20" spans="1:14" x14ac:dyDescent="0.25">
      <c r="A20" s="340" t="e">
        <f>'8-9'!$K$16+'10-11'!M15-#REF!+'15'!G15-'15'!G40</f>
        <v>#REF!</v>
      </c>
      <c r="C20" s="324"/>
      <c r="D20" s="341"/>
      <c r="E20" s="324"/>
      <c r="F20" s="324"/>
      <c r="G20" s="324"/>
      <c r="J20" s="309"/>
      <c r="K20" s="342"/>
      <c r="L20" s="342"/>
      <c r="M20" s="309"/>
      <c r="N20" s="309"/>
    </row>
    <row r="21" spans="1:14" x14ac:dyDescent="0.25">
      <c r="A21" s="326" t="s">
        <v>576</v>
      </c>
      <c r="C21" s="324"/>
      <c r="D21" s="341"/>
      <c r="E21" s="324"/>
      <c r="F21" s="324"/>
      <c r="G21" s="324"/>
      <c r="L21" s="343"/>
    </row>
    <row r="22" spans="1:14" x14ac:dyDescent="0.25">
      <c r="A22" s="340">
        <f>'7'!J17-'10-11'!E15</f>
        <v>0</v>
      </c>
      <c r="C22" s="324"/>
      <c r="D22" s="324"/>
      <c r="E22" s="324"/>
      <c r="F22" s="324"/>
      <c r="G22" s="324"/>
      <c r="L22" s="344"/>
    </row>
    <row r="23" spans="1:14" x14ac:dyDescent="0.25">
      <c r="A23" s="326" t="s">
        <v>577</v>
      </c>
      <c r="C23" s="324"/>
      <c r="D23" s="324"/>
      <c r="E23" s="324"/>
      <c r="F23" s="324"/>
      <c r="G23" s="324"/>
      <c r="L23" s="343"/>
    </row>
    <row r="24" spans="1:14" x14ac:dyDescent="0.25">
      <c r="A24" s="340">
        <f>'7'!D17-'10-11'!C15</f>
        <v>0</v>
      </c>
      <c r="C24" s="324"/>
      <c r="D24" s="324"/>
      <c r="E24" s="324"/>
      <c r="F24" s="324"/>
      <c r="G24" s="324"/>
    </row>
    <row r="32" spans="1:14" hidden="1" x14ac:dyDescent="0.25"/>
    <row r="33" spans="2:15" hidden="1" x14ac:dyDescent="0.25"/>
    <row r="34" spans="2:15" hidden="1" x14ac:dyDescent="0.25">
      <c r="C34" s="291" t="s">
        <v>927</v>
      </c>
      <c r="D34" s="345">
        <f>'8-9'!C16-'12-13-14'!$C$19</f>
        <v>0</v>
      </c>
      <c r="E34" s="345">
        <f>E19-'8-9'!D16-'10-11'!$K$15+'12-13-14'!$D$19-'15'!F15+'15'!F40</f>
        <v>3.9581209421157837E-9</v>
      </c>
      <c r="K34" s="346">
        <f>'8-9'!J16-'12-13-14'!$K$19</f>
        <v>0</v>
      </c>
      <c r="L34" s="346">
        <f>L19-'8-9'!K16+'10-11'!$M$15-'12-13-14'!$L$19+'15'!G15-'15'!G40</f>
        <v>0</v>
      </c>
    </row>
    <row r="35" spans="2:15" hidden="1" x14ac:dyDescent="0.25">
      <c r="D35" s="345">
        <f>'8-9'!C16</f>
        <v>143722.66</v>
      </c>
      <c r="K35" s="346">
        <f>'8-9'!J16</f>
        <v>26543</v>
      </c>
    </row>
    <row r="36" spans="2:15" hidden="1" x14ac:dyDescent="0.25">
      <c r="D36" s="345">
        <f>'12-13-14'!$C$19</f>
        <v>143722.66</v>
      </c>
      <c r="K36" s="346">
        <f>'12-13-14'!$K$19</f>
        <v>26543</v>
      </c>
    </row>
    <row r="37" spans="2:15" hidden="1" x14ac:dyDescent="0.25">
      <c r="D37" s="345">
        <f>+D36-D35</f>
        <v>0</v>
      </c>
    </row>
    <row r="38" spans="2:15" hidden="1" x14ac:dyDescent="0.25">
      <c r="L38" s="291" t="s">
        <v>588</v>
      </c>
    </row>
    <row r="39" spans="2:15" hidden="1" x14ac:dyDescent="0.25">
      <c r="O39" s="347"/>
    </row>
    <row r="40" spans="2:15" hidden="1" x14ac:dyDescent="0.25"/>
    <row r="41" spans="2:15" hidden="1" x14ac:dyDescent="0.25"/>
    <row r="42" spans="2:15" ht="12.75" hidden="1" x14ac:dyDescent="0.2">
      <c r="B42" s="291" t="s">
        <v>591</v>
      </c>
    </row>
    <row r="43" spans="2:15" ht="12.75" hidden="1" x14ac:dyDescent="0.2">
      <c r="B43" s="291" t="s">
        <v>592</v>
      </c>
    </row>
    <row r="44" spans="2:15" hidden="1" x14ac:dyDescent="0.2">
      <c r="B44" s="291" t="s">
        <v>593</v>
      </c>
      <c r="C44" s="348"/>
      <c r="D44" s="349">
        <v>2021</v>
      </c>
      <c r="E44" s="349">
        <v>2022</v>
      </c>
      <c r="F44" s="350"/>
      <c r="G44" s="350" t="s">
        <v>11</v>
      </c>
      <c r="J44" s="348"/>
      <c r="K44" s="349">
        <v>2021</v>
      </c>
      <c r="L44" s="349">
        <v>2022</v>
      </c>
      <c r="M44" s="350"/>
      <c r="N44" s="350" t="s">
        <v>11</v>
      </c>
    </row>
    <row r="45" spans="2:15" hidden="1" x14ac:dyDescent="0.2">
      <c r="B45" s="291" t="s">
        <v>594</v>
      </c>
      <c r="C45" s="351" t="s">
        <v>812</v>
      </c>
      <c r="D45" s="352">
        <v>143722.66</v>
      </c>
      <c r="E45" s="352">
        <v>2036918.1</v>
      </c>
      <c r="F45" s="353" t="str">
        <f>IF(G45&lt;0,"↓",IF(G45="-","","↑"))</f>
        <v>↑</v>
      </c>
      <c r="G45" s="354">
        <f t="shared" ref="G45:G56" si="8">IF(E45="","-",SUM(E45-D45)/D45)</f>
        <v>13.172560541253551</v>
      </c>
      <c r="J45" s="351" t="s">
        <v>812</v>
      </c>
      <c r="K45" s="355">
        <v>26543</v>
      </c>
      <c r="L45" s="355">
        <v>363209</v>
      </c>
      <c r="M45" s="353" t="str">
        <f t="shared" ref="M45:M57" si="9">IF(N45&lt;0,"↓",IF(N45="-","","↑"))</f>
        <v>↑</v>
      </c>
      <c r="N45" s="354">
        <f t="shared" ref="N45:N56" si="10">IF(L45="","-",SUM(L45-K45)/K45)</f>
        <v>12.683796104434315</v>
      </c>
    </row>
    <row r="46" spans="2:15" hidden="1" x14ac:dyDescent="0.2">
      <c r="B46" s="291" t="s">
        <v>595</v>
      </c>
      <c r="C46" s="351" t="s">
        <v>816</v>
      </c>
      <c r="D46" s="352">
        <v>0</v>
      </c>
      <c r="E46" s="352"/>
      <c r="F46" s="353" t="str">
        <f t="shared" ref="F46:F57" si="11">IF(G46&lt;0,"↓",IF(G46="-","","↑"))</f>
        <v/>
      </c>
      <c r="G46" s="354" t="str">
        <f t="shared" si="8"/>
        <v>-</v>
      </c>
      <c r="J46" s="351" t="s">
        <v>816</v>
      </c>
      <c r="K46" s="355">
        <v>0</v>
      </c>
      <c r="L46" s="355"/>
      <c r="M46" s="353" t="str">
        <f t="shared" si="9"/>
        <v/>
      </c>
      <c r="N46" s="354" t="str">
        <f t="shared" si="10"/>
        <v>-</v>
      </c>
    </row>
    <row r="47" spans="2:15" hidden="1" x14ac:dyDescent="0.2">
      <c r="B47" s="291" t="s">
        <v>596</v>
      </c>
      <c r="C47" s="351" t="s">
        <v>817</v>
      </c>
      <c r="D47" s="352">
        <v>183</v>
      </c>
      <c r="E47" s="352"/>
      <c r="F47" s="353" t="str">
        <f t="shared" si="11"/>
        <v/>
      </c>
      <c r="G47" s="354" t="str">
        <f t="shared" si="8"/>
        <v>-</v>
      </c>
      <c r="J47" s="351" t="s">
        <v>817</v>
      </c>
      <c r="K47" s="355">
        <v>345</v>
      </c>
      <c r="L47" s="355"/>
      <c r="M47" s="353" t="str">
        <f t="shared" si="9"/>
        <v/>
      </c>
      <c r="N47" s="354" t="str">
        <f t="shared" si="10"/>
        <v>-</v>
      </c>
    </row>
    <row r="48" spans="2:15" hidden="1" x14ac:dyDescent="0.2">
      <c r="B48" s="291" t="s">
        <v>597</v>
      </c>
      <c r="C48" s="351" t="s">
        <v>822</v>
      </c>
      <c r="D48" s="352">
        <v>344434.72000000102</v>
      </c>
      <c r="E48" s="352"/>
      <c r="F48" s="353" t="str">
        <f t="shared" si="11"/>
        <v/>
      </c>
      <c r="G48" s="354" t="str">
        <f t="shared" si="8"/>
        <v>-</v>
      </c>
      <c r="J48" s="351" t="s">
        <v>818</v>
      </c>
      <c r="K48" s="355">
        <v>61938</v>
      </c>
      <c r="L48" s="355"/>
      <c r="M48" s="353" t="str">
        <f t="shared" si="9"/>
        <v/>
      </c>
      <c r="N48" s="354" t="str">
        <f t="shared" si="10"/>
        <v>-</v>
      </c>
    </row>
    <row r="49" spans="2:14" hidden="1" x14ac:dyDescent="0.2">
      <c r="B49" s="291" t="s">
        <v>598</v>
      </c>
      <c r="C49" s="351" t="s">
        <v>819</v>
      </c>
      <c r="D49" s="352">
        <v>1770017.65</v>
      </c>
      <c r="E49" s="352"/>
      <c r="F49" s="353" t="str">
        <f t="shared" si="11"/>
        <v/>
      </c>
      <c r="G49" s="354" t="str">
        <f t="shared" si="8"/>
        <v>-</v>
      </c>
      <c r="J49" s="351" t="s">
        <v>819</v>
      </c>
      <c r="K49" s="355">
        <v>323238</v>
      </c>
      <c r="L49" s="355"/>
      <c r="M49" s="353" t="str">
        <f t="shared" si="9"/>
        <v/>
      </c>
      <c r="N49" s="354" t="str">
        <f t="shared" si="10"/>
        <v>-</v>
      </c>
    </row>
    <row r="50" spans="2:14" hidden="1" x14ac:dyDescent="0.2">
      <c r="B50" s="291" t="s">
        <v>599</v>
      </c>
      <c r="C50" s="351" t="s">
        <v>820</v>
      </c>
      <c r="D50" s="352">
        <v>2671826.52</v>
      </c>
      <c r="E50" s="352"/>
      <c r="F50" s="353" t="str">
        <f t="shared" si="11"/>
        <v/>
      </c>
      <c r="G50" s="354" t="str">
        <f t="shared" si="8"/>
        <v>-</v>
      </c>
      <c r="J50" s="351" t="s">
        <v>820</v>
      </c>
      <c r="K50" s="355">
        <v>479860</v>
      </c>
      <c r="L50" s="355"/>
      <c r="M50" s="353" t="str">
        <f t="shared" si="9"/>
        <v/>
      </c>
      <c r="N50" s="354" t="str">
        <f t="shared" si="10"/>
        <v>-</v>
      </c>
    </row>
    <row r="51" spans="2:14" hidden="1" x14ac:dyDescent="0.2">
      <c r="B51" s="291" t="s">
        <v>600</v>
      </c>
      <c r="C51" s="351" t="s">
        <v>823</v>
      </c>
      <c r="D51" s="352">
        <v>3374012.22000003</v>
      </c>
      <c r="E51" s="352"/>
      <c r="F51" s="353" t="str">
        <f t="shared" si="11"/>
        <v/>
      </c>
      <c r="G51" s="354" t="str">
        <f t="shared" si="8"/>
        <v>-</v>
      </c>
      <c r="J51" s="351" t="s">
        <v>823</v>
      </c>
      <c r="K51" s="355">
        <v>605020</v>
      </c>
      <c r="L51" s="355"/>
      <c r="M51" s="353" t="str">
        <f t="shared" si="9"/>
        <v/>
      </c>
      <c r="N51" s="354" t="str">
        <f t="shared" si="10"/>
        <v>-</v>
      </c>
    </row>
    <row r="52" spans="2:14" hidden="1" x14ac:dyDescent="0.2">
      <c r="B52" s="291" t="s">
        <v>601</v>
      </c>
      <c r="C52" s="351" t="s">
        <v>824</v>
      </c>
      <c r="D52" s="352">
        <v>4055614.67000004</v>
      </c>
      <c r="E52" s="352"/>
      <c r="F52" s="353" t="str">
        <f t="shared" si="11"/>
        <v/>
      </c>
      <c r="G52" s="354" t="str">
        <f t="shared" si="8"/>
        <v>-</v>
      </c>
      <c r="J52" s="351" t="s">
        <v>824</v>
      </c>
      <c r="K52" s="355">
        <v>740590</v>
      </c>
      <c r="L52" s="355"/>
      <c r="M52" s="353" t="str">
        <f t="shared" si="9"/>
        <v/>
      </c>
      <c r="N52" s="354" t="str">
        <f t="shared" si="10"/>
        <v>-</v>
      </c>
    </row>
    <row r="53" spans="2:14" hidden="1" x14ac:dyDescent="0.2">
      <c r="B53" s="291" t="s">
        <v>602</v>
      </c>
      <c r="C53" s="351" t="s">
        <v>813</v>
      </c>
      <c r="D53" s="356">
        <v>3447407.6200000299</v>
      </c>
      <c r="E53" s="356"/>
      <c r="F53" s="353" t="str">
        <f t="shared" si="11"/>
        <v/>
      </c>
      <c r="G53" s="354" t="str">
        <f t="shared" si="8"/>
        <v>-</v>
      </c>
      <c r="J53" s="351" t="s">
        <v>813</v>
      </c>
      <c r="K53" s="355">
        <v>644483</v>
      </c>
      <c r="L53" s="355"/>
      <c r="M53" s="353" t="str">
        <f t="shared" si="9"/>
        <v/>
      </c>
      <c r="N53" s="354" t="str">
        <f t="shared" si="10"/>
        <v>-</v>
      </c>
    </row>
    <row r="54" spans="2:14" hidden="1" x14ac:dyDescent="0.25">
      <c r="C54" s="351" t="s">
        <v>821</v>
      </c>
      <c r="D54" s="356">
        <v>5690976.0200000396</v>
      </c>
      <c r="E54" s="356"/>
      <c r="F54" s="353" t="str">
        <f t="shared" si="11"/>
        <v/>
      </c>
      <c r="G54" s="354" t="str">
        <f t="shared" si="8"/>
        <v>-</v>
      </c>
      <c r="J54" s="351" t="s">
        <v>821</v>
      </c>
      <c r="K54" s="355">
        <v>981230</v>
      </c>
      <c r="L54" s="355"/>
      <c r="M54" s="353" t="str">
        <f t="shared" si="9"/>
        <v/>
      </c>
      <c r="N54" s="354" t="str">
        <f t="shared" si="10"/>
        <v>-</v>
      </c>
    </row>
    <row r="55" spans="2:14" hidden="1" x14ac:dyDescent="0.25">
      <c r="C55" s="351" t="s">
        <v>814</v>
      </c>
      <c r="D55" s="356">
        <v>3776866.6600000602</v>
      </c>
      <c r="E55" s="356"/>
      <c r="F55" s="353" t="str">
        <f>IF(G55&lt;0,"↓",IF(G55="-","","↑"))</f>
        <v/>
      </c>
      <c r="G55" s="354" t="str">
        <f>IF(E55="","-",SUM(E55-D55)/D55)</f>
        <v>-</v>
      </c>
      <c r="J55" s="351" t="s">
        <v>814</v>
      </c>
      <c r="K55" s="355">
        <v>672260</v>
      </c>
      <c r="L55" s="355"/>
      <c r="M55" s="353" t="str">
        <f>IF(N55&lt;0,"↓",IF(N55="-","","↑"))</f>
        <v/>
      </c>
      <c r="N55" s="354" t="str">
        <f>IF(L55="","-",SUM(L55-K55)/K55)</f>
        <v>-</v>
      </c>
    </row>
    <row r="56" spans="2:14" hidden="1" x14ac:dyDescent="0.25">
      <c r="C56" s="351" t="s">
        <v>815</v>
      </c>
      <c r="D56" s="356">
        <v>5314094.4300000202</v>
      </c>
      <c r="E56" s="356"/>
      <c r="F56" s="353" t="str">
        <f t="shared" si="11"/>
        <v/>
      </c>
      <c r="G56" s="354" t="str">
        <f t="shared" si="8"/>
        <v>-</v>
      </c>
      <c r="J56" s="351" t="s">
        <v>815</v>
      </c>
      <c r="K56" s="357">
        <v>933351</v>
      </c>
      <c r="L56" s="357"/>
      <c r="M56" s="353" t="str">
        <f t="shared" si="9"/>
        <v/>
      </c>
      <c r="N56" s="354" t="str">
        <f t="shared" si="10"/>
        <v>-</v>
      </c>
    </row>
    <row r="57" spans="2:14" hidden="1" x14ac:dyDescent="0.25">
      <c r="C57" s="358" t="s">
        <v>12</v>
      </c>
      <c r="D57" s="359">
        <f>SUM(D45:D56)</f>
        <v>30589156.170000225</v>
      </c>
      <c r="E57" s="359">
        <f>SUM(E45:E56)</f>
        <v>2036918.1</v>
      </c>
      <c r="F57" s="360" t="str">
        <f t="shared" si="11"/>
        <v/>
      </c>
      <c r="G57" s="361" t="str">
        <f>IF(E56="","-",SUM(E57-D57)/D57)</f>
        <v>-</v>
      </c>
      <c r="J57" s="358" t="s">
        <v>12</v>
      </c>
      <c r="K57" s="362">
        <f>SUM(K45:K56)</f>
        <v>5468858</v>
      </c>
      <c r="L57" s="362">
        <f>SUM(L45:L56)</f>
        <v>363209</v>
      </c>
      <c r="M57" s="363" t="str">
        <f t="shared" si="9"/>
        <v/>
      </c>
      <c r="N57" s="364" t="str">
        <f>IF(L56="","-",SUM(L57-K57)/K57)</f>
        <v>-</v>
      </c>
    </row>
    <row r="58" spans="2:14" hidden="1" x14ac:dyDescent="0.25">
      <c r="C58" s="358" t="s">
        <v>586</v>
      </c>
      <c r="D58" s="365"/>
      <c r="E58" s="365"/>
      <c r="F58" s="366" t="str">
        <f>IF(G58&lt;0,"↓",IF(G58="-","","↑"))</f>
        <v/>
      </c>
      <c r="G58" s="364" t="str">
        <f>IF(E58="","-",SUM(E58-D58)/D58)</f>
        <v>-</v>
      </c>
      <c r="J58" s="358" t="s">
        <v>586</v>
      </c>
      <c r="K58" s="367"/>
      <c r="L58" s="368"/>
      <c r="M58" s="366" t="str">
        <f>IF(N58&lt;0,"↓",IF(N58="-","","↑"))</f>
        <v/>
      </c>
      <c r="N58" s="364" t="str">
        <f>IF(L58="","-",SUM(L58-K58)/K58)</f>
        <v>-</v>
      </c>
    </row>
    <row r="59" spans="2:14" x14ac:dyDescent="0.25">
      <c r="J59" s="324"/>
      <c r="K59" s="324"/>
      <c r="L59" s="324"/>
      <c r="M59" s="324"/>
      <c r="N59" s="324"/>
    </row>
    <row r="60" spans="2:14" x14ac:dyDescent="0.25">
      <c r="D60" s="369"/>
    </row>
  </sheetData>
  <sheetProtection algorithmName="SHA-512" hashValue="O5jAH1je+Rihw9WU3Agt20EWC8vVVXVfmp9VbgAqpSykIiGqJNND3W0gH7kG1l3EoBINkYJQyJV1jDyiVMH+Ow==" saltValue="izP4AgSG0ijmciblf5MvTg==" spinCount="100000" sheet="1" objects="1" scenarios="1"/>
  <mergeCells count="2">
    <mergeCell ref="C2:G3"/>
    <mergeCell ref="J2:N3"/>
  </mergeCells>
  <conditionalFormatting sqref="F55:F58 M45:M48 M55:M58 F45:F49 M6 M8:M19 F6 F8:F19">
    <cfRule type="expression" dxfId="250" priority="54">
      <formula>G6&gt;0</formula>
    </cfRule>
    <cfRule type="expression" dxfId="249" priority="55">
      <formula>G6&lt;0</formula>
    </cfRule>
  </conditionalFormatting>
  <conditionalFormatting sqref="F50:F54">
    <cfRule type="expression" dxfId="248" priority="36">
      <formula>G50&gt;0</formula>
    </cfRule>
    <cfRule type="expression" dxfId="247" priority="37">
      <formula>G50&lt;0</formula>
    </cfRule>
  </conditionalFormatting>
  <conditionalFormatting sqref="M49:M54">
    <cfRule type="expression" dxfId="246" priority="32">
      <formula>N49&gt;0</formula>
    </cfRule>
    <cfRule type="expression" dxfId="245" priority="33">
      <formula>N49&lt;0</formula>
    </cfRule>
  </conditionalFormatting>
  <conditionalFormatting sqref="M7">
    <cfRule type="expression" dxfId="244" priority="3">
      <formula>N7&gt;0</formula>
    </cfRule>
    <cfRule type="expression" dxfId="243" priority="4">
      <formula>N7&lt;0</formula>
    </cfRule>
  </conditionalFormatting>
  <conditionalFormatting sqref="F7">
    <cfRule type="expression" dxfId="242" priority="1">
      <formula>G7&gt;0</formula>
    </cfRule>
    <cfRule type="expression" dxfId="241" priority="2">
      <formula>G7&lt;0</formula>
    </cfRule>
  </conditionalFormatting>
  <printOptions horizontalCentered="1" verticalCentered="1"/>
  <pageMargins left="0.19685039370078741" right="0.19685039370078741" top="0.59055118110236227" bottom="0.39370078740157483" header="0.19685039370078741" footer="0.19685039370078741"/>
  <pageSetup paperSize="9" scale="45" orientation="portrait" useFirstPageNumber="1" r:id="rId1"/>
  <headerFooter>
    <oddHeader>&amp;L&amp;G</oddHeader>
  </headerFooter>
  <ignoredErrors>
    <ignoredError sqref="G18" emptyCellReference="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499984740745262"/>
    <pageSetUpPr fitToPage="1"/>
  </sheetPr>
  <dimension ref="A1:V26"/>
  <sheetViews>
    <sheetView showGridLines="0" zoomScaleNormal="100" workbookViewId="0">
      <selection activeCell="B1" sqref="B1:I1"/>
    </sheetView>
  </sheetViews>
  <sheetFormatPr defaultColWidth="9.140625" defaultRowHeight="27.75" x14ac:dyDescent="0.4"/>
  <cols>
    <col min="1" max="1" width="9.140625" style="370"/>
    <col min="2" max="2" width="5.7109375" style="324" customWidth="1"/>
    <col min="3" max="3" width="40.7109375" style="324" customWidth="1"/>
    <col min="4" max="4" width="39" style="324" customWidth="1"/>
    <col min="5" max="5" width="14.140625" style="324" customWidth="1"/>
    <col min="6" max="9" width="15.7109375" style="324" customWidth="1"/>
    <col min="10" max="11" width="9.140625" style="324"/>
    <col min="12" max="12" width="0" style="324" hidden="1" customWidth="1"/>
    <col min="13" max="13" width="11.28515625" style="324" hidden="1" customWidth="1"/>
    <col min="14" max="14" width="6.85546875" style="324" hidden="1" customWidth="1"/>
    <col min="15" max="15" width="29.5703125" style="324" hidden="1" customWidth="1"/>
    <col min="16" max="16" width="21" style="324" hidden="1" customWidth="1"/>
    <col min="17" max="17" width="10.28515625" style="324" hidden="1" customWidth="1"/>
    <col min="18" max="18" width="15.5703125" style="324" hidden="1" customWidth="1"/>
    <col min="19" max="19" width="16.7109375" style="324" hidden="1" customWidth="1"/>
    <col min="20" max="20" width="13.140625" style="324" hidden="1" customWidth="1"/>
    <col min="21" max="21" width="13" style="324" hidden="1" customWidth="1"/>
    <col min="22" max="24" width="0" style="324" hidden="1" customWidth="1"/>
    <col min="25" max="16384" width="9.140625" style="324"/>
  </cols>
  <sheetData>
    <row r="1" spans="1:22" s="324" customFormat="1" ht="33.75" customHeight="1" x14ac:dyDescent="0.5">
      <c r="A1" s="370"/>
      <c r="B1" s="371" t="s">
        <v>965</v>
      </c>
      <c r="C1" s="372"/>
      <c r="D1" s="372"/>
      <c r="E1" s="372"/>
      <c r="F1" s="372"/>
      <c r="G1" s="372"/>
      <c r="H1" s="372"/>
      <c r="I1" s="372"/>
      <c r="J1" s="373"/>
      <c r="N1" s="371" t="s">
        <v>961</v>
      </c>
      <c r="O1" s="372"/>
      <c r="P1" s="372"/>
      <c r="Q1" s="372"/>
      <c r="R1" s="372"/>
      <c r="S1" s="372"/>
      <c r="T1" s="372"/>
      <c r="U1" s="372"/>
    </row>
    <row r="2" spans="1:22" s="324" customFormat="1" x14ac:dyDescent="0.4">
      <c r="A2" s="370"/>
      <c r="B2" s="374"/>
      <c r="C2" s="374"/>
      <c r="D2" s="374"/>
      <c r="E2" s="374"/>
      <c r="F2" s="374"/>
      <c r="G2" s="374"/>
      <c r="H2" s="375"/>
      <c r="I2" s="376"/>
      <c r="N2" s="374"/>
      <c r="O2" s="374"/>
      <c r="P2" s="374"/>
      <c r="Q2" s="374"/>
      <c r="R2" s="374"/>
      <c r="S2" s="374"/>
      <c r="T2" s="375"/>
      <c r="U2" s="376"/>
    </row>
    <row r="3" spans="1:22" s="324" customFormat="1" x14ac:dyDescent="0.4">
      <c r="A3" s="370"/>
      <c r="B3" s="377" t="s">
        <v>13</v>
      </c>
      <c r="C3" s="378" t="s">
        <v>859</v>
      </c>
      <c r="D3" s="378" t="s">
        <v>860</v>
      </c>
      <c r="E3" s="379" t="s">
        <v>861</v>
      </c>
      <c r="F3" s="378" t="s">
        <v>862</v>
      </c>
      <c r="G3" s="380" t="s">
        <v>863</v>
      </c>
      <c r="H3" s="381" t="s">
        <v>864</v>
      </c>
      <c r="I3" s="382" t="s">
        <v>865</v>
      </c>
      <c r="N3" s="377" t="s">
        <v>13</v>
      </c>
      <c r="O3" s="378" t="s">
        <v>859</v>
      </c>
      <c r="P3" s="378" t="s">
        <v>860</v>
      </c>
      <c r="Q3" s="379" t="s">
        <v>861</v>
      </c>
      <c r="R3" s="378" t="s">
        <v>862</v>
      </c>
      <c r="S3" s="380" t="s">
        <v>863</v>
      </c>
      <c r="T3" s="381" t="s">
        <v>864</v>
      </c>
      <c r="U3" s="382" t="s">
        <v>865</v>
      </c>
    </row>
    <row r="4" spans="1:22" s="324" customFormat="1" x14ac:dyDescent="0.4">
      <c r="A4" s="370"/>
      <c r="B4" s="383">
        <v>1</v>
      </c>
      <c r="C4" s="384" t="str">
        <f>UPPER(D17&amp;CHAR(10)&amp;C17)</f>
        <v>HOMEM-ARANHA: SEM VOLTA A CASA
SPIDER-MAN: NO WAY HOME</v>
      </c>
      <c r="D4" s="385" t="str">
        <f>UPPER(E17)</f>
        <v>JON WATTS</v>
      </c>
      <c r="E4" s="386" t="str">
        <f>F17</f>
        <v>US, IS</v>
      </c>
      <c r="F4" s="387" t="str">
        <f>UPPER(G17)</f>
        <v>BIG PICTURE 2 FILMS</v>
      </c>
      <c r="G4" s="388">
        <f>H17</f>
        <v>44546</v>
      </c>
      <c r="H4" s="389">
        <f>I17</f>
        <v>138227</v>
      </c>
      <c r="I4" s="390">
        <f>J17</f>
        <v>814921.17</v>
      </c>
      <c r="N4" s="383">
        <v>1</v>
      </c>
      <c r="O4" s="384" t="str">
        <f>UPPER(P17&amp;CHAR(10)&amp;O17)</f>
        <v>HOMEM-ARANHA: SEM VOLTA A CASA
SPIDER-MAN: NO WAY HOME</v>
      </c>
      <c r="P4" s="385" t="str">
        <f>UPPER(Q17)</f>
        <v>JON WATTS</v>
      </c>
      <c r="Q4" s="386" t="str">
        <f>R17</f>
        <v>US, IS</v>
      </c>
      <c r="R4" s="387" t="str">
        <f>UPPER(S17)</f>
        <v>BIG PICTURE 2 FILMS</v>
      </c>
      <c r="S4" s="388">
        <f>T17</f>
        <v>44546</v>
      </c>
      <c r="T4" s="389">
        <f>U17</f>
        <v>419816</v>
      </c>
      <c r="U4" s="390">
        <f>V17</f>
        <v>2544029.1600000099</v>
      </c>
    </row>
    <row r="5" spans="1:22" s="324" customFormat="1" x14ac:dyDescent="0.4">
      <c r="A5" s="370"/>
      <c r="B5" s="391">
        <v>2</v>
      </c>
      <c r="C5" s="384" t="str">
        <f t="shared" ref="C5:C12" si="0">UPPER(D18&amp;CHAR(10)&amp;C18)</f>
        <v>GRITOS
SCREAM</v>
      </c>
      <c r="D5" s="385" t="str">
        <f>UPPER(E18)</f>
        <v>MATT BETTINELLI-OLPIN, TYLER GILLETT</v>
      </c>
      <c r="E5" s="392" t="str">
        <f t="shared" ref="E5:E12" si="1">F18</f>
        <v>US</v>
      </c>
      <c r="F5" s="393" t="str">
        <f t="shared" ref="F5:F11" si="2">UPPER(G18)</f>
        <v>NOS LUSOMUNDO AUDIOVISUAIS</v>
      </c>
      <c r="G5" s="394">
        <f t="shared" ref="G5:I12" si="3">H18</f>
        <v>44581</v>
      </c>
      <c r="H5" s="395">
        <f>I18</f>
        <v>30649</v>
      </c>
      <c r="I5" s="396">
        <f t="shared" si="3"/>
        <v>176052.28</v>
      </c>
      <c r="M5" s="397"/>
      <c r="N5" s="391">
        <v>2</v>
      </c>
      <c r="O5" s="384" t="str">
        <f>UPPER(P18&amp;CHAR(10)&amp;O18)</f>
        <v>CANTAR! 2
SING 2</v>
      </c>
      <c r="P5" s="385" t="str">
        <f>UPPER(Q18)</f>
        <v>GARTH JENNINGS</v>
      </c>
      <c r="Q5" s="392" t="str">
        <f>R18</f>
        <v>US, FR, JP</v>
      </c>
      <c r="R5" s="393" t="str">
        <f t="shared" ref="R5:R8" si="4">UPPER(S18)</f>
        <v>CINEMUNDO</v>
      </c>
      <c r="S5" s="394">
        <f t="shared" ref="S5:S8" si="5">T18</f>
        <v>44531</v>
      </c>
      <c r="T5" s="395">
        <f t="shared" ref="T5" si="6">U18</f>
        <v>104438</v>
      </c>
      <c r="U5" s="396">
        <f t="shared" ref="U5:U6" si="7">V18</f>
        <v>541113.12</v>
      </c>
    </row>
    <row r="6" spans="1:22" s="324" customFormat="1" ht="36" x14ac:dyDescent="0.4">
      <c r="A6" s="370"/>
      <c r="B6" s="391">
        <v>3</v>
      </c>
      <c r="C6" s="384" t="str">
        <f>UPPER(D19&amp;CHAR(10)&amp;C19)</f>
        <v>THE KING'S MAN: O INÍCIO
THE KING'S MAN</v>
      </c>
      <c r="D6" s="385" t="str">
        <f>UPPER(E19)</f>
        <v>MATTHEW VAUGHN</v>
      </c>
      <c r="E6" s="392" t="str">
        <f>F19</f>
        <v>US, GB</v>
      </c>
      <c r="F6" s="393" t="str">
        <f>UPPER(G19)</f>
        <v>NOS LUSOMUNDO AUDIOVISUAIS</v>
      </c>
      <c r="G6" s="394">
        <f>H19</f>
        <v>44552</v>
      </c>
      <c r="H6" s="395">
        <f>I19</f>
        <v>25153</v>
      </c>
      <c r="I6" s="396">
        <f t="shared" si="3"/>
        <v>139566.18</v>
      </c>
      <c r="M6" s="397"/>
      <c r="N6" s="391">
        <v>3</v>
      </c>
      <c r="O6" s="384" t="str">
        <f>UPPER(P19&amp;CHAR(10)&amp;O19)</f>
        <v>ENCANTO
ENCANTO</v>
      </c>
      <c r="P6" s="385" t="str">
        <f>UPPER(Q19)</f>
        <v>BYRON HOWARD, JARED BUSH, CHARISE CASTRO SMITH</v>
      </c>
      <c r="Q6" s="392" t="str">
        <f t="shared" ref="Q6:Q7" si="8">R19</f>
        <v>US</v>
      </c>
      <c r="R6" s="393" t="str">
        <f t="shared" si="4"/>
        <v>NOS LUSOMUNDO AUDIOVISUAIS</v>
      </c>
      <c r="S6" s="394">
        <f t="shared" si="5"/>
        <v>44525</v>
      </c>
      <c r="T6" s="395">
        <f>U19</f>
        <v>96875</v>
      </c>
      <c r="U6" s="396">
        <f t="shared" si="7"/>
        <v>493538.96</v>
      </c>
    </row>
    <row r="7" spans="1:22" s="324" customFormat="1" x14ac:dyDescent="0.4">
      <c r="A7" s="370"/>
      <c r="B7" s="391">
        <v>4</v>
      </c>
      <c r="C7" s="384" t="str">
        <f t="shared" si="0"/>
        <v>CANTAR! 2
SING 2</v>
      </c>
      <c r="D7" s="385" t="str">
        <f>UPPER(E20)</f>
        <v>GARTH JENNINGS</v>
      </c>
      <c r="E7" s="392" t="str">
        <f t="shared" si="1"/>
        <v>US, FR, JP</v>
      </c>
      <c r="F7" s="393" t="str">
        <f t="shared" si="2"/>
        <v>CINEMUNDO</v>
      </c>
      <c r="G7" s="394">
        <f>H20</f>
        <v>44531</v>
      </c>
      <c r="H7" s="395">
        <f>I20</f>
        <v>23490</v>
      </c>
      <c r="I7" s="396">
        <f>J20</f>
        <v>120851.31</v>
      </c>
      <c r="M7" s="397"/>
      <c r="N7" s="391">
        <v>4</v>
      </c>
      <c r="O7" s="384" t="str">
        <f>UPPER(P20&amp;CHAR(10)&amp;O20)</f>
        <v>CASA GUCCI
HOUSE OF GUCCI</v>
      </c>
      <c r="P7" s="385" t="str">
        <f>UPPER(Q20)</f>
        <v>RIDLEY SCOTT</v>
      </c>
      <c r="Q7" s="392" t="str">
        <f t="shared" si="8"/>
        <v>US, CA</v>
      </c>
      <c r="R7" s="393" t="str">
        <f t="shared" si="4"/>
        <v>NOS LUSOMUNDO AUDIOVISUAIS</v>
      </c>
      <c r="S7" s="394">
        <f t="shared" si="5"/>
        <v>44525</v>
      </c>
      <c r="T7" s="395">
        <f t="shared" ref="T7:T8" si="9">U20</f>
        <v>66773</v>
      </c>
      <c r="U7" s="396">
        <f>V20</f>
        <v>377104.38000000099</v>
      </c>
    </row>
    <row r="8" spans="1:22" s="324" customFormat="1" x14ac:dyDescent="0.4">
      <c r="A8" s="370"/>
      <c r="B8" s="391">
        <v>5</v>
      </c>
      <c r="C8" s="384" t="str">
        <f t="shared" si="0"/>
        <v>MATRIX RESURRECTIONS
THE MATRIX RESURRECTIONS</v>
      </c>
      <c r="D8" s="385" t="str">
        <f>UPPER(E21)</f>
        <v>LANA WACHOWSKI</v>
      </c>
      <c r="E8" s="392" t="str">
        <f>F21</f>
        <v>US</v>
      </c>
      <c r="F8" s="393" t="str">
        <f t="shared" si="2"/>
        <v>CINEMUNDO</v>
      </c>
      <c r="G8" s="394">
        <f t="shared" si="3"/>
        <v>44552</v>
      </c>
      <c r="H8" s="395">
        <f t="shared" si="3"/>
        <v>23071</v>
      </c>
      <c r="I8" s="396">
        <f t="shared" si="3"/>
        <v>131749.28</v>
      </c>
      <c r="N8" s="391">
        <v>5</v>
      </c>
      <c r="O8" s="384" t="str">
        <f>UPPER(P21&amp;CHAR(10)&amp;O21)</f>
        <v>MATRIX RESURRECTIONS
THE MATRIX RESURRECTIONS</v>
      </c>
      <c r="P8" s="385" t="str">
        <f>UPPER(Q21)</f>
        <v>LANA WACHOWSKI</v>
      </c>
      <c r="Q8" s="392" t="str">
        <f>R21</f>
        <v>US</v>
      </c>
      <c r="R8" s="393" t="str">
        <f t="shared" si="4"/>
        <v>CINEMUNDO</v>
      </c>
      <c r="S8" s="394">
        <f t="shared" si="5"/>
        <v>44552</v>
      </c>
      <c r="T8" s="395">
        <f t="shared" si="9"/>
        <v>31861</v>
      </c>
      <c r="U8" s="396">
        <f t="shared" ref="U8" si="10">V21</f>
        <v>194960.1</v>
      </c>
    </row>
    <row r="9" spans="1:22" s="324" customFormat="1" x14ac:dyDescent="0.4">
      <c r="A9" s="370"/>
      <c r="B9" s="391">
        <v>6</v>
      </c>
      <c r="C9" s="384" t="str">
        <f>UPPER(D22&amp;CHAR(10)&amp;C22)</f>
        <v>ENCANTO
ENCANTO</v>
      </c>
      <c r="D9" s="385" t="str">
        <f t="shared" ref="D9:D12" si="11">UPPER(E22)</f>
        <v>BYRON HOWARD, JARED BUSH, CHARISE CASTRO SMITH</v>
      </c>
      <c r="E9" s="392" t="str">
        <f t="shared" si="1"/>
        <v>US</v>
      </c>
      <c r="F9" s="393" t="str">
        <f t="shared" si="2"/>
        <v>NOS LUSOMUNDO AUDIOVISUAIS</v>
      </c>
      <c r="G9" s="394">
        <f t="shared" si="3"/>
        <v>44525</v>
      </c>
      <c r="H9" s="395">
        <f t="shared" si="3"/>
        <v>15592</v>
      </c>
      <c r="I9" s="396">
        <f t="shared" si="3"/>
        <v>80314.179999999993</v>
      </c>
    </row>
    <row r="10" spans="1:22" s="324" customFormat="1" x14ac:dyDescent="0.4">
      <c r="A10" s="370"/>
      <c r="B10" s="391">
        <v>7</v>
      </c>
      <c r="C10" s="384" t="str">
        <f>UPPER(D23&amp;CHAR(10)&amp;C23)</f>
        <v>LICORICE PIZZA
LICORICE PIZZA</v>
      </c>
      <c r="D10" s="385" t="str">
        <f>UPPER(E23)</f>
        <v>PAUL THOMAS ANDERSON</v>
      </c>
      <c r="E10" s="392" t="str">
        <f t="shared" si="1"/>
        <v>US</v>
      </c>
      <c r="F10" s="393" t="str">
        <f>UPPER(G23)</f>
        <v>NOS LUSOMUNDO AUDIOVISUAIS</v>
      </c>
      <c r="G10" s="394">
        <f t="shared" si="3"/>
        <v>44560</v>
      </c>
      <c r="H10" s="395">
        <f>I23</f>
        <v>11911</v>
      </c>
      <c r="I10" s="396">
        <f>J23</f>
        <v>67894.16</v>
      </c>
    </row>
    <row r="11" spans="1:22" s="324" customFormat="1" x14ac:dyDescent="0.4">
      <c r="A11" s="370"/>
      <c r="B11" s="391">
        <v>8</v>
      </c>
      <c r="C11" s="384" t="str">
        <f>UPPER(D24&amp;CHAR(10)&amp;C24)</f>
        <v>CLIFFORD - O CÃO VERMELHO
CLIFFORD THE BIG RED DOG</v>
      </c>
      <c r="D11" s="385" t="str">
        <f>UPPER(E24)</f>
        <v>WALT BECKER</v>
      </c>
      <c r="E11" s="392" t="str">
        <f>F24</f>
        <v>US, CA, GB</v>
      </c>
      <c r="F11" s="393" t="str">
        <f t="shared" si="2"/>
        <v>NOS LUSOMUNDO AUDIOVISUAIS</v>
      </c>
      <c r="G11" s="394">
        <f>H24</f>
        <v>44546</v>
      </c>
      <c r="H11" s="395">
        <f t="shared" si="3"/>
        <v>9728</v>
      </c>
      <c r="I11" s="396">
        <f t="shared" si="3"/>
        <v>50221.09</v>
      </c>
      <c r="O11" s="324" t="str">
        <f>CHAR(10)</f>
        <v xml:space="preserve">
</v>
      </c>
    </row>
    <row r="12" spans="1:22" s="324" customFormat="1" x14ac:dyDescent="0.4">
      <c r="A12" s="370"/>
      <c r="B12" s="391">
        <v>9</v>
      </c>
      <c r="C12" s="384" t="str">
        <f t="shared" si="0"/>
        <v>CASA GUCCI
HOUSE OF GUCCI</v>
      </c>
      <c r="D12" s="385" t="str">
        <f t="shared" si="11"/>
        <v>RIDLEY SCOTT</v>
      </c>
      <c r="E12" s="392" t="str">
        <f t="shared" si="1"/>
        <v>US, CA</v>
      </c>
      <c r="F12" s="393" t="str">
        <f t="shared" ref="F12" si="12">UPPER(G25)</f>
        <v>NOS LUSOMUNDO AUDIOVISUAIS</v>
      </c>
      <c r="G12" s="394">
        <f t="shared" si="3"/>
        <v>44525</v>
      </c>
      <c r="H12" s="395">
        <f>I25</f>
        <v>8354</v>
      </c>
      <c r="I12" s="396">
        <f t="shared" si="3"/>
        <v>46576.03</v>
      </c>
    </row>
    <row r="13" spans="1:22" s="324" customFormat="1" x14ac:dyDescent="0.4">
      <c r="A13" s="370"/>
      <c r="B13" s="391">
        <v>10</v>
      </c>
      <c r="C13" s="384" t="str">
        <f>UPPER(D26&amp;CHAR(10)&amp;C26)</f>
        <v>O BOM PATRÃO
EL BUEN PATRÓN</v>
      </c>
      <c r="D13" s="385" t="str">
        <f>UPPER(E26)</f>
        <v>FERNANDO LEÓN DE ARANOA</v>
      </c>
      <c r="E13" s="392" t="str">
        <f>F26</f>
        <v>ES</v>
      </c>
      <c r="F13" s="393" t="str">
        <f>UPPER(G26)</f>
        <v>PRIS AUDIOVISUAIS</v>
      </c>
      <c r="G13" s="394">
        <f>H26</f>
        <v>44581</v>
      </c>
      <c r="H13" s="395">
        <f>I26</f>
        <v>7769</v>
      </c>
      <c r="I13" s="396">
        <f>J26</f>
        <v>43692.51</v>
      </c>
      <c r="M13" s="397"/>
    </row>
    <row r="14" spans="1:22" s="324" customFormat="1" x14ac:dyDescent="0.4">
      <c r="A14" s="370"/>
      <c r="B14" s="398"/>
      <c r="C14" s="399"/>
      <c r="D14" s="399"/>
      <c r="E14" s="399"/>
      <c r="F14" s="399"/>
      <c r="G14" s="400"/>
      <c r="H14" s="401"/>
      <c r="I14" s="402"/>
      <c r="M14" s="397"/>
    </row>
    <row r="15" spans="1:22" s="324" customFormat="1" hidden="1" x14ac:dyDescent="0.4">
      <c r="A15" s="370"/>
      <c r="B15" s="398"/>
      <c r="C15" s="384"/>
      <c r="D15" s="403"/>
      <c r="E15" s="404"/>
      <c r="F15" s="403"/>
      <c r="G15" s="405"/>
      <c r="H15" s="406"/>
      <c r="I15" s="407"/>
    </row>
    <row r="16" spans="1:22" s="324" customFormat="1" hidden="1" x14ac:dyDescent="0.4">
      <c r="A16" s="370"/>
      <c r="C16" s="324" t="s">
        <v>903</v>
      </c>
      <c r="D16" s="324" t="s">
        <v>904</v>
      </c>
      <c r="E16" s="324" t="s">
        <v>905</v>
      </c>
      <c r="F16" s="324" t="s">
        <v>513</v>
      </c>
      <c r="G16" s="324" t="s">
        <v>906</v>
      </c>
      <c r="H16" s="324" t="s">
        <v>907</v>
      </c>
      <c r="I16" s="324" t="s">
        <v>908</v>
      </c>
      <c r="J16" s="324" t="s">
        <v>909</v>
      </c>
      <c r="O16" s="324" t="s">
        <v>903</v>
      </c>
      <c r="P16" s="324" t="s">
        <v>904</v>
      </c>
      <c r="Q16" s="324" t="s">
        <v>905</v>
      </c>
      <c r="R16" s="324" t="s">
        <v>513</v>
      </c>
      <c r="S16" s="324" t="s">
        <v>906</v>
      </c>
      <c r="T16" s="324" t="s">
        <v>907</v>
      </c>
      <c r="U16" s="324" t="s">
        <v>908</v>
      </c>
      <c r="V16" s="324" t="s">
        <v>909</v>
      </c>
    </row>
    <row r="17" spans="1:22" s="324" customFormat="1" hidden="1" x14ac:dyDescent="0.4">
      <c r="A17" s="370"/>
      <c r="B17" s="324">
        <v>1</v>
      </c>
      <c r="C17" s="324" t="s">
        <v>945</v>
      </c>
      <c r="D17" s="408" t="s">
        <v>946</v>
      </c>
      <c r="E17" s="324" t="s">
        <v>947</v>
      </c>
      <c r="F17" s="324" t="s">
        <v>948</v>
      </c>
      <c r="G17" s="324" t="s">
        <v>758</v>
      </c>
      <c r="H17" s="397">
        <v>44546</v>
      </c>
      <c r="I17" s="324">
        <v>138227</v>
      </c>
      <c r="J17" s="324">
        <v>814921.17</v>
      </c>
      <c r="O17" s="324" t="s">
        <v>945</v>
      </c>
      <c r="P17" s="324" t="s">
        <v>946</v>
      </c>
      <c r="Q17" s="324" t="s">
        <v>947</v>
      </c>
      <c r="R17" s="324" t="s">
        <v>948</v>
      </c>
      <c r="S17" s="324" t="s">
        <v>758</v>
      </c>
      <c r="T17" s="397">
        <v>44546</v>
      </c>
      <c r="U17" s="324">
        <v>419816</v>
      </c>
      <c r="V17" s="324">
        <v>2544029.1600000099</v>
      </c>
    </row>
    <row r="18" spans="1:22" s="324" customFormat="1" hidden="1" x14ac:dyDescent="0.4">
      <c r="A18" s="370"/>
      <c r="B18" s="324">
        <v>2</v>
      </c>
      <c r="C18" s="324" t="s">
        <v>977</v>
      </c>
      <c r="D18" s="408" t="s">
        <v>978</v>
      </c>
      <c r="E18" s="324" t="s">
        <v>979</v>
      </c>
      <c r="F18" s="324" t="s">
        <v>79</v>
      </c>
      <c r="G18" s="324" t="s">
        <v>757</v>
      </c>
      <c r="H18" s="397">
        <v>44581</v>
      </c>
      <c r="I18" s="324">
        <v>30649</v>
      </c>
      <c r="J18" s="324">
        <v>176052.28</v>
      </c>
      <c r="O18" s="324" t="s">
        <v>951</v>
      </c>
      <c r="P18" s="324" t="s">
        <v>952</v>
      </c>
      <c r="Q18" s="324" t="s">
        <v>953</v>
      </c>
      <c r="R18" s="324" t="s">
        <v>954</v>
      </c>
      <c r="S18" s="324" t="s">
        <v>776</v>
      </c>
      <c r="T18" s="397">
        <v>44531</v>
      </c>
      <c r="U18" s="324">
        <v>104438</v>
      </c>
      <c r="V18" s="324">
        <v>541113.12</v>
      </c>
    </row>
    <row r="19" spans="1:22" s="324" customFormat="1" hidden="1" x14ac:dyDescent="0.4">
      <c r="A19" s="370"/>
      <c r="B19" s="324">
        <v>3</v>
      </c>
      <c r="C19" s="324" t="s">
        <v>980</v>
      </c>
      <c r="D19" s="408" t="s">
        <v>981</v>
      </c>
      <c r="E19" s="324" t="s">
        <v>982</v>
      </c>
      <c r="F19" s="324" t="s">
        <v>938</v>
      </c>
      <c r="G19" s="324" t="s">
        <v>757</v>
      </c>
      <c r="H19" s="397">
        <v>44552</v>
      </c>
      <c r="I19" s="324">
        <v>25153</v>
      </c>
      <c r="J19" s="324">
        <v>139566.18</v>
      </c>
      <c r="O19" s="324" t="s">
        <v>949</v>
      </c>
      <c r="P19" s="324" t="s">
        <v>949</v>
      </c>
      <c r="Q19" s="324" t="s">
        <v>950</v>
      </c>
      <c r="R19" s="324" t="s">
        <v>79</v>
      </c>
      <c r="S19" s="324" t="s">
        <v>757</v>
      </c>
      <c r="T19" s="397">
        <v>44525</v>
      </c>
      <c r="U19" s="324">
        <v>96875</v>
      </c>
      <c r="V19" s="324">
        <v>493538.96</v>
      </c>
    </row>
    <row r="20" spans="1:22" s="324" customFormat="1" hidden="1" x14ac:dyDescent="0.4">
      <c r="A20" s="370"/>
      <c r="B20" s="324">
        <v>4</v>
      </c>
      <c r="C20" s="324" t="s">
        <v>951</v>
      </c>
      <c r="D20" s="408" t="s">
        <v>952</v>
      </c>
      <c r="E20" s="324" t="s">
        <v>953</v>
      </c>
      <c r="F20" s="324" t="s">
        <v>954</v>
      </c>
      <c r="G20" s="324" t="s">
        <v>776</v>
      </c>
      <c r="H20" s="397">
        <v>44531</v>
      </c>
      <c r="I20" s="324">
        <v>23490</v>
      </c>
      <c r="J20" s="324">
        <v>120851.31</v>
      </c>
      <c r="O20" s="324" t="s">
        <v>955</v>
      </c>
      <c r="P20" s="324" t="s">
        <v>956</v>
      </c>
      <c r="Q20" s="324" t="s">
        <v>957</v>
      </c>
      <c r="R20" s="324" t="s">
        <v>935</v>
      </c>
      <c r="S20" s="324" t="s">
        <v>757</v>
      </c>
      <c r="T20" s="397">
        <v>44525</v>
      </c>
      <c r="U20" s="324">
        <v>66773</v>
      </c>
      <c r="V20" s="324">
        <v>377104.38000000099</v>
      </c>
    </row>
    <row r="21" spans="1:22" s="324" customFormat="1" hidden="1" x14ac:dyDescent="0.4">
      <c r="A21" s="370"/>
      <c r="B21" s="324">
        <v>5</v>
      </c>
      <c r="C21" s="324" t="s">
        <v>958</v>
      </c>
      <c r="D21" s="408" t="s">
        <v>959</v>
      </c>
      <c r="E21" s="324" t="s">
        <v>960</v>
      </c>
      <c r="F21" s="324" t="s">
        <v>79</v>
      </c>
      <c r="G21" s="324" t="s">
        <v>776</v>
      </c>
      <c r="H21" s="397">
        <v>44552</v>
      </c>
      <c r="I21" s="324">
        <v>23071</v>
      </c>
      <c r="J21" s="324">
        <v>131749.28</v>
      </c>
      <c r="O21" s="324" t="s">
        <v>958</v>
      </c>
      <c r="P21" s="324" t="s">
        <v>959</v>
      </c>
      <c r="Q21" s="324" t="s">
        <v>960</v>
      </c>
      <c r="R21" s="324" t="s">
        <v>79</v>
      </c>
      <c r="S21" s="324" t="s">
        <v>776</v>
      </c>
      <c r="T21" s="397">
        <v>44552</v>
      </c>
      <c r="U21" s="324">
        <v>31861</v>
      </c>
      <c r="V21" s="324">
        <v>194960.1</v>
      </c>
    </row>
    <row r="22" spans="1:22" s="324" customFormat="1" hidden="1" x14ac:dyDescent="0.4">
      <c r="A22" s="370"/>
      <c r="B22" s="324">
        <v>6</v>
      </c>
      <c r="C22" s="324" t="s">
        <v>949</v>
      </c>
      <c r="D22" s="408" t="s">
        <v>949</v>
      </c>
      <c r="E22" s="324" t="s">
        <v>950</v>
      </c>
      <c r="F22" s="324" t="s">
        <v>79</v>
      </c>
      <c r="G22" s="324" t="s">
        <v>757</v>
      </c>
      <c r="H22" s="397">
        <v>44525</v>
      </c>
      <c r="I22" s="324">
        <v>15592</v>
      </c>
      <c r="J22" s="324">
        <v>80314.179999999993</v>
      </c>
    </row>
    <row r="23" spans="1:22" s="324" customFormat="1" hidden="1" x14ac:dyDescent="0.4">
      <c r="A23" s="370"/>
      <c r="B23" s="324">
        <v>7</v>
      </c>
      <c r="C23" s="324" t="s">
        <v>983</v>
      </c>
      <c r="D23" s="408" t="s">
        <v>983</v>
      </c>
      <c r="E23" s="324" t="s">
        <v>984</v>
      </c>
      <c r="F23" s="324" t="s">
        <v>79</v>
      </c>
      <c r="G23" s="324" t="s">
        <v>757</v>
      </c>
      <c r="H23" s="397">
        <v>44560</v>
      </c>
      <c r="I23" s="324">
        <v>11911</v>
      </c>
      <c r="J23" s="324">
        <v>67894.16</v>
      </c>
    </row>
    <row r="24" spans="1:22" s="324" customFormat="1" hidden="1" x14ac:dyDescent="0.4">
      <c r="A24" s="370"/>
      <c r="B24" s="324">
        <v>8</v>
      </c>
      <c r="C24" s="324" t="s">
        <v>985</v>
      </c>
      <c r="D24" s="408" t="s">
        <v>986</v>
      </c>
      <c r="E24" s="324" t="s">
        <v>987</v>
      </c>
      <c r="F24" s="324" t="s">
        <v>939</v>
      </c>
      <c r="G24" s="324" t="s">
        <v>757</v>
      </c>
      <c r="H24" s="397">
        <v>44546</v>
      </c>
      <c r="I24" s="324">
        <v>9728</v>
      </c>
      <c r="J24" s="324">
        <v>50221.09</v>
      </c>
    </row>
    <row r="25" spans="1:22" s="324" customFormat="1" hidden="1" x14ac:dyDescent="0.4">
      <c r="A25" s="370"/>
      <c r="B25" s="324">
        <v>9</v>
      </c>
      <c r="C25" s="324" t="s">
        <v>955</v>
      </c>
      <c r="D25" s="408" t="s">
        <v>956</v>
      </c>
      <c r="E25" s="324" t="s">
        <v>957</v>
      </c>
      <c r="F25" s="324" t="s">
        <v>935</v>
      </c>
      <c r="G25" s="324" t="s">
        <v>757</v>
      </c>
      <c r="H25" s="397">
        <v>44525</v>
      </c>
      <c r="I25" s="324">
        <v>8354</v>
      </c>
      <c r="J25" s="324">
        <v>46576.03</v>
      </c>
    </row>
    <row r="26" spans="1:22" s="324" customFormat="1" hidden="1" x14ac:dyDescent="0.4">
      <c r="A26" s="370"/>
      <c r="B26" s="324">
        <v>10</v>
      </c>
      <c r="C26" s="324" t="s">
        <v>988</v>
      </c>
      <c r="D26" s="408" t="s">
        <v>989</v>
      </c>
      <c r="E26" s="324" t="s">
        <v>990</v>
      </c>
      <c r="F26" s="324" t="s">
        <v>991</v>
      </c>
      <c r="G26" s="324" t="s">
        <v>771</v>
      </c>
      <c r="H26" s="397">
        <v>44581</v>
      </c>
      <c r="I26" s="324">
        <v>7769</v>
      </c>
      <c r="J26" s="324">
        <v>43692.51</v>
      </c>
    </row>
  </sheetData>
  <sheetProtection algorithmName="SHA-512" hashValue="1kTAEHVN+zuf3pI78Oq5+0SbAZm5GpvMuQQ5lbIDG212NUkYHC1/s1SVUMnVBRZ+9pRQ5Jnn9DCgYX+3DPdlyQ==" saltValue="DFaUsbr8vXZSa0HVnKmpPg==" spinCount="100000" sheet="1" objects="1" scenarios="1"/>
  <sortState xmlns:xlrd2="http://schemas.microsoft.com/office/spreadsheetml/2017/richdata2" ref="C5:I14">
    <sortCondition descending="1" ref="H5:H14"/>
  </sortState>
  <mergeCells count="2">
    <mergeCell ref="B1:I1"/>
    <mergeCell ref="N1:U1"/>
  </mergeCells>
  <pageMargins left="0.70866141732283472" right="0.70866141732283472" top="0.74803149606299213" bottom="0.74803149606299213" header="0.31496062992125984" footer="0.31496062992125984"/>
  <pageSetup paperSize="9" scale="25" orientation="portrait" r:id="rId1"/>
  <headerFooter>
    <oddHeader>&amp;L&amp;G</oddHeader>
    <oddFooter>&amp;C&amp;"Calibri,Normal"&amp;8DIVISÃO DE ESTUDOS E ESTATÍSTICA - 2012 - RESEARCH AND STATISTICS DIVISION&amp;R&amp;"Calibri,Normal"&amp;8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499984740745262"/>
    <pageSetUpPr fitToPage="1"/>
  </sheetPr>
  <dimension ref="A1:J32"/>
  <sheetViews>
    <sheetView showGridLines="0" zoomScaleNormal="100" workbookViewId="0">
      <selection activeCell="B1" sqref="B1:J1"/>
    </sheetView>
  </sheetViews>
  <sheetFormatPr defaultColWidth="9.140625" defaultRowHeight="27.75" x14ac:dyDescent="0.4"/>
  <cols>
    <col min="1" max="1" width="9.140625" style="419"/>
    <col min="2" max="2" width="7.140625" style="309" bestFit="1" customWidth="1"/>
    <col min="3" max="3" width="28" style="309" bestFit="1" customWidth="1"/>
    <col min="4" max="4" width="22.140625" style="309" customWidth="1"/>
    <col min="5" max="5" width="6.7109375" style="309" customWidth="1"/>
    <col min="6" max="6" width="14.7109375" style="309" bestFit="1" customWidth="1"/>
    <col min="7" max="7" width="22.7109375" style="309" customWidth="1"/>
    <col min="8" max="10" width="18.7109375" style="309" customWidth="1"/>
    <col min="11" max="16384" width="9.140625" style="309"/>
  </cols>
  <sheetData>
    <row r="1" spans="1:10" s="324" customFormat="1" x14ac:dyDescent="0.4">
      <c r="A1" s="370"/>
      <c r="B1" s="409" t="s">
        <v>966</v>
      </c>
      <c r="C1" s="410"/>
      <c r="D1" s="410"/>
      <c r="E1" s="410"/>
      <c r="F1" s="410"/>
      <c r="G1" s="410"/>
      <c r="H1" s="410"/>
      <c r="I1" s="410"/>
      <c r="J1" s="410"/>
    </row>
    <row r="2" spans="1:10" s="324" customFormat="1" x14ac:dyDescent="0.4">
      <c r="A2" s="370"/>
      <c r="B2" s="374"/>
      <c r="C2" s="374"/>
      <c r="D2" s="374"/>
      <c r="E2" s="374"/>
      <c r="F2" s="374"/>
      <c r="G2" s="374"/>
      <c r="H2" s="374"/>
      <c r="I2" s="411"/>
    </row>
    <row r="3" spans="1:10" s="324" customFormat="1" x14ac:dyDescent="0.4">
      <c r="A3" s="370"/>
      <c r="B3" s="412" t="s">
        <v>13</v>
      </c>
      <c r="C3" s="378" t="s">
        <v>859</v>
      </c>
      <c r="D3" s="378" t="s">
        <v>860</v>
      </c>
      <c r="E3" s="379" t="s">
        <v>866</v>
      </c>
      <c r="F3" s="379" t="s">
        <v>861</v>
      </c>
      <c r="G3" s="378" t="s">
        <v>862</v>
      </c>
      <c r="H3" s="380" t="s">
        <v>863</v>
      </c>
      <c r="I3" s="381" t="s">
        <v>864</v>
      </c>
      <c r="J3" s="382" t="s">
        <v>865</v>
      </c>
    </row>
    <row r="4" spans="1:10" s="324" customFormat="1" x14ac:dyDescent="0.4">
      <c r="A4" s="370"/>
      <c r="B4" s="383">
        <v>1</v>
      </c>
      <c r="C4" s="413" t="str">
        <f>UPPER(C23)</f>
        <v>28½</v>
      </c>
      <c r="D4" s="413" t="str">
        <f>UPPER(D23)</f>
        <v>ADRIANO MENDES</v>
      </c>
      <c r="E4" s="414" t="str">
        <f>VLOOKUP(E23,TIPO[],2,FALSE)</f>
        <v>FIC</v>
      </c>
      <c r="F4" s="414" t="str">
        <f>+UPPER(F23)</f>
        <v>PORTUGAL</v>
      </c>
      <c r="G4" s="413" t="str">
        <f>+UPPER(G23)</f>
        <v>ZÊZERE</v>
      </c>
      <c r="H4" s="415">
        <f>+H23</f>
        <v>44588</v>
      </c>
      <c r="I4" s="416">
        <f>+I23</f>
        <v>377</v>
      </c>
      <c r="J4" s="390">
        <f>+J23</f>
        <v>1502.5</v>
      </c>
    </row>
    <row r="5" spans="1:10" s="324" customFormat="1" x14ac:dyDescent="0.4">
      <c r="A5" s="370"/>
      <c r="B5" s="391">
        <v>2</v>
      </c>
      <c r="C5" s="413" t="str">
        <f t="shared" ref="C5:D13" si="0">UPPER(C24)</f>
        <v>PELAS SOMBRAS</v>
      </c>
      <c r="D5" s="413" t="str">
        <f t="shared" si="0"/>
        <v>CATARINA MOURÃO</v>
      </c>
      <c r="E5" s="414" t="str">
        <f>VLOOKUP(E24,TIPO[],2,FALSE)</f>
        <v>DOC</v>
      </c>
      <c r="F5" s="414" t="str">
        <f t="shared" ref="F5:F13" si="1">+UPPER(F24)</f>
        <v>PORTUGAL</v>
      </c>
      <c r="G5" s="413" t="str">
        <f t="shared" ref="G5:G7" si="2">+UPPER(G24)</f>
        <v>MIDAS FILMES</v>
      </c>
      <c r="H5" s="415"/>
      <c r="I5" s="416">
        <f>+I24</f>
        <v>198</v>
      </c>
      <c r="J5" s="390">
        <f t="shared" ref="H5:J12" si="3">+J24</f>
        <v>1387.75</v>
      </c>
    </row>
    <row r="6" spans="1:10" s="324" customFormat="1" x14ac:dyDescent="0.4">
      <c r="A6" s="370"/>
      <c r="B6" s="391">
        <v>3</v>
      </c>
      <c r="C6" s="413" t="str">
        <f t="shared" si="0"/>
        <v>O ANO DA MORTE DE RICARDO REIS</v>
      </c>
      <c r="D6" s="413" t="str">
        <f t="shared" si="0"/>
        <v>JOÃO BOTELHO</v>
      </c>
      <c r="E6" s="414" t="str">
        <f>VLOOKUP(E25,TIPO[],2,FALSE)</f>
        <v>FIC</v>
      </c>
      <c r="F6" s="414" t="str">
        <f t="shared" si="1"/>
        <v>PORTUGAL</v>
      </c>
      <c r="G6" s="413" t="str">
        <f t="shared" si="2"/>
        <v>NOS LUSOMUNDO AUDIOVISUAIS</v>
      </c>
      <c r="H6" s="415">
        <f>+H25</f>
        <v>44105</v>
      </c>
      <c r="I6" s="416">
        <f t="shared" si="3"/>
        <v>147</v>
      </c>
      <c r="J6" s="390">
        <f>+J25</f>
        <v>661.5</v>
      </c>
    </row>
    <row r="7" spans="1:10" s="324" customFormat="1" x14ac:dyDescent="0.4">
      <c r="A7" s="370"/>
      <c r="B7" s="391">
        <v>4</v>
      </c>
      <c r="C7" s="413" t="str">
        <f t="shared" si="0"/>
        <v>A TÁVOLA DE ROCHA</v>
      </c>
      <c r="D7" s="413" t="str">
        <f t="shared" si="0"/>
        <v>SAMUEL G. BARBOSA</v>
      </c>
      <c r="E7" s="414" t="str">
        <f>VLOOKUP(E26,TIPO[],2,FALSE)</f>
        <v>DOC</v>
      </c>
      <c r="F7" s="414" t="str">
        <f t="shared" si="1"/>
        <v>PORTUGAL</v>
      </c>
      <c r="G7" s="413" t="str">
        <f t="shared" si="2"/>
        <v>NITRATO FILMES</v>
      </c>
      <c r="H7" s="415">
        <f t="shared" si="3"/>
        <v>44574</v>
      </c>
      <c r="I7" s="416">
        <f t="shared" si="3"/>
        <v>76</v>
      </c>
      <c r="J7" s="390">
        <f t="shared" si="3"/>
        <v>364.75</v>
      </c>
    </row>
    <row r="8" spans="1:10" s="324" customFormat="1" x14ac:dyDescent="0.4">
      <c r="A8" s="370"/>
      <c r="B8" s="391">
        <v>5</v>
      </c>
      <c r="C8" s="413" t="str">
        <f t="shared" si="0"/>
        <v>PEIXE-LUA</v>
      </c>
      <c r="D8" s="413" t="str">
        <f t="shared" si="0"/>
        <v>JOSÉ ÁLVARO MORAIS</v>
      </c>
      <c r="E8" s="414" t="str">
        <f>VLOOKUP(E27,TIPO[],2,FALSE)</f>
        <v>FIC</v>
      </c>
      <c r="F8" s="414" t="str">
        <f t="shared" si="1"/>
        <v>PORTUGAL</v>
      </c>
      <c r="G8" s="413" t="str">
        <f>+UPPER(G27)</f>
        <v>NOS LUSOMUNDO AUDIOVISUAIS</v>
      </c>
      <c r="H8" s="415">
        <f t="shared" si="3"/>
        <v>36798</v>
      </c>
      <c r="I8" s="416">
        <f t="shared" si="3"/>
        <v>50</v>
      </c>
      <c r="J8" s="390">
        <f t="shared" si="3"/>
        <v>279</v>
      </c>
    </row>
    <row r="9" spans="1:10" s="324" customFormat="1" x14ac:dyDescent="0.4">
      <c r="A9" s="370"/>
      <c r="B9" s="391">
        <v>6</v>
      </c>
      <c r="C9" s="413" t="str">
        <f t="shared" si="0"/>
        <v>SERPENTÁRIO</v>
      </c>
      <c r="D9" s="413" t="str">
        <f t="shared" si="0"/>
        <v>CARLOS CONCEIÇÃO</v>
      </c>
      <c r="E9" s="414" t="str">
        <f>VLOOKUP(E28,TIPO[],2,FALSE)</f>
        <v>FIC</v>
      </c>
      <c r="F9" s="414" t="str">
        <f t="shared" si="1"/>
        <v>PORTUGAL, ANGOLA</v>
      </c>
      <c r="G9" s="413" t="str">
        <f t="shared" ref="G9:G12" si="4">+UPPER(G28)</f>
        <v>CURTAS METRAGENS</v>
      </c>
      <c r="H9" s="415">
        <f t="shared" si="3"/>
        <v>44525</v>
      </c>
      <c r="I9" s="416">
        <f t="shared" si="3"/>
        <v>36</v>
      </c>
      <c r="J9" s="390">
        <f>+J28</f>
        <v>36.549999999999997</v>
      </c>
    </row>
    <row r="10" spans="1:10" s="324" customFormat="1" x14ac:dyDescent="0.4">
      <c r="A10" s="370"/>
      <c r="B10" s="391">
        <v>7</v>
      </c>
      <c r="C10" s="413" t="str">
        <f t="shared" si="0"/>
        <v>O DELFIM</v>
      </c>
      <c r="D10" s="413" t="str">
        <f t="shared" si="0"/>
        <v>FERNANDO LOPES</v>
      </c>
      <c r="E10" s="414" t="str">
        <f>VLOOKUP(E29,TIPO[],2,FALSE)</f>
        <v>FIC</v>
      </c>
      <c r="F10" s="414" t="str">
        <f t="shared" si="1"/>
        <v>PORTUGAL, FRANÇA</v>
      </c>
      <c r="G10" s="413" t="str">
        <f>+UPPER(G29)</f>
        <v>NOS LUSOMUNDO AUDIOVISUAIS</v>
      </c>
      <c r="H10" s="415">
        <f>+H29</f>
        <v>37365</v>
      </c>
      <c r="I10" s="416">
        <f>+I29</f>
        <v>32</v>
      </c>
      <c r="J10" s="390">
        <f>+J29</f>
        <v>193.25</v>
      </c>
    </row>
    <row r="11" spans="1:10" s="324" customFormat="1" x14ac:dyDescent="0.4">
      <c r="A11" s="370"/>
      <c r="B11" s="391">
        <v>8</v>
      </c>
      <c r="C11" s="413" t="str">
        <f t="shared" si="0"/>
        <v>IRREGULAR</v>
      </c>
      <c r="D11" s="413" t="str">
        <f t="shared" si="0"/>
        <v>DIOGO MORGADO</v>
      </c>
      <c r="E11" s="414" t="str">
        <f>VLOOKUP(E30,TIPO[],2,FALSE)</f>
        <v>FIC</v>
      </c>
      <c r="F11" s="414" t="str">
        <f t="shared" si="1"/>
        <v>PORTUGAL</v>
      </c>
      <c r="G11" s="413" t="str">
        <f>+UPPER(G30)</f>
        <v>BIG PICTURE 2 FILMS</v>
      </c>
      <c r="H11" s="415">
        <f t="shared" si="3"/>
        <v>44518</v>
      </c>
      <c r="I11" s="416">
        <f>+I30</f>
        <v>28</v>
      </c>
      <c r="J11" s="390">
        <f t="shared" si="3"/>
        <v>83</v>
      </c>
    </row>
    <row r="12" spans="1:10" s="324" customFormat="1" x14ac:dyDescent="0.4">
      <c r="A12" s="370"/>
      <c r="B12" s="391">
        <v>9</v>
      </c>
      <c r="C12" s="413" t="str">
        <f t="shared" si="0"/>
        <v>AL BERTO</v>
      </c>
      <c r="D12" s="413" t="str">
        <f t="shared" si="0"/>
        <v>VICENTE ALVES DO Ó</v>
      </c>
      <c r="E12" s="414" t="str">
        <f>VLOOKUP(E31,TIPO[],2,FALSE)</f>
        <v>FIC</v>
      </c>
      <c r="F12" s="414" t="str">
        <f t="shared" si="1"/>
        <v>PORTUGAL</v>
      </c>
      <c r="G12" s="413" t="str">
        <f t="shared" si="4"/>
        <v>UKBAR FILMES</v>
      </c>
      <c r="H12" s="415">
        <f t="shared" si="3"/>
        <v>43013</v>
      </c>
      <c r="I12" s="416">
        <f t="shared" si="3"/>
        <v>25</v>
      </c>
      <c r="J12" s="390">
        <f>+J31</f>
        <v>56</v>
      </c>
    </row>
    <row r="13" spans="1:10" s="324" customFormat="1" x14ac:dyDescent="0.4">
      <c r="A13" s="370"/>
      <c r="B13" s="391">
        <v>10</v>
      </c>
      <c r="C13" s="413" t="str">
        <f t="shared" si="0"/>
        <v>A METAMORFOSE DOS PÁSSAROS</v>
      </c>
      <c r="D13" s="413" t="str">
        <f t="shared" si="0"/>
        <v>CATARINA VASCONCELOS</v>
      </c>
      <c r="E13" s="414" t="str">
        <f>VLOOKUP(E32,TIPO[],2,FALSE)</f>
        <v>DOC</v>
      </c>
      <c r="F13" s="414" t="str">
        <f t="shared" si="1"/>
        <v>PORTUGAL</v>
      </c>
      <c r="G13" s="413" t="str">
        <f>+UPPER(G32)</f>
        <v>NO COMBOIO PRODUÇÕES</v>
      </c>
      <c r="H13" s="415">
        <f>+H32</f>
        <v>44476</v>
      </c>
      <c r="I13" s="416">
        <f>+I32</f>
        <v>20</v>
      </c>
      <c r="J13" s="390">
        <f>+J32</f>
        <v>55.5</v>
      </c>
    </row>
    <row r="14" spans="1:10" s="324" customFormat="1" x14ac:dyDescent="0.4">
      <c r="A14" s="370"/>
      <c r="B14" s="417" t="s">
        <v>853</v>
      </c>
      <c r="C14" s="417"/>
      <c r="D14" s="403"/>
      <c r="E14" s="404"/>
      <c r="F14" s="404"/>
      <c r="G14" s="403"/>
      <c r="H14" s="405"/>
      <c r="I14" s="406"/>
    </row>
    <row r="15" spans="1:10" s="324" customFormat="1" x14ac:dyDescent="0.4">
      <c r="A15" s="370"/>
      <c r="B15" s="398"/>
      <c r="C15" s="418"/>
      <c r="D15" s="403"/>
      <c r="E15" s="404"/>
      <c r="F15" s="404"/>
      <c r="G15" s="403"/>
      <c r="H15" s="405"/>
      <c r="I15" s="406"/>
    </row>
    <row r="16" spans="1:10" s="324" customFormat="1" x14ac:dyDescent="0.4">
      <c r="A16" s="370"/>
      <c r="B16" s="398"/>
      <c r="C16" s="418"/>
      <c r="D16" s="403"/>
      <c r="E16" s="404"/>
      <c r="F16" s="404"/>
      <c r="G16" s="403"/>
      <c r="H16" s="405"/>
      <c r="I16" s="406"/>
    </row>
    <row r="17" spans="1:10" s="324" customFormat="1" x14ac:dyDescent="0.4">
      <c r="A17" s="370"/>
      <c r="B17" s="398"/>
      <c r="C17" s="418"/>
      <c r="D17" s="403"/>
      <c r="E17" s="404"/>
      <c r="F17" s="404"/>
      <c r="G17" s="403"/>
      <c r="H17" s="405"/>
      <c r="I17" s="406"/>
    </row>
    <row r="18" spans="1:10" s="324" customFormat="1" x14ac:dyDescent="0.4">
      <c r="A18" s="370"/>
      <c r="B18" s="398"/>
      <c r="C18" s="418"/>
      <c r="D18" s="403"/>
      <c r="E18" s="404"/>
      <c r="F18" s="404"/>
      <c r="G18" s="403"/>
      <c r="H18" s="405"/>
      <c r="I18" s="406"/>
    </row>
    <row r="19" spans="1:10" s="324" customFormat="1" x14ac:dyDescent="0.4">
      <c r="A19" s="370"/>
      <c r="B19" s="398"/>
      <c r="C19" s="418"/>
      <c r="D19" s="403"/>
      <c r="E19" s="404"/>
      <c r="F19" s="404"/>
      <c r="G19" s="403"/>
      <c r="H19" s="405"/>
      <c r="I19" s="406"/>
    </row>
    <row r="20" spans="1:10" s="324" customFormat="1" hidden="1" x14ac:dyDescent="0.4">
      <c r="A20" s="370"/>
      <c r="B20" s="398"/>
      <c r="C20" s="418"/>
      <c r="D20" s="403"/>
      <c r="E20" s="404"/>
      <c r="F20" s="404"/>
      <c r="G20" s="403"/>
      <c r="H20" s="405"/>
      <c r="I20" s="406"/>
    </row>
    <row r="21" spans="1:10" hidden="1" x14ac:dyDescent="0.4">
      <c r="B21" s="420" t="s">
        <v>773</v>
      </c>
      <c r="C21" s="421"/>
      <c r="D21" s="422"/>
      <c r="E21" s="423"/>
      <c r="F21" s="423"/>
      <c r="G21" s="422"/>
      <c r="H21" s="424"/>
      <c r="I21" s="425"/>
      <c r="J21" s="291"/>
    </row>
    <row r="22" spans="1:10" hidden="1" x14ac:dyDescent="0.4">
      <c r="B22" s="426" t="s">
        <v>13</v>
      </c>
      <c r="C22" s="427" t="s">
        <v>603</v>
      </c>
      <c r="D22" s="427" t="s">
        <v>604</v>
      </c>
      <c r="E22" s="428" t="s">
        <v>605</v>
      </c>
      <c r="F22" s="428" t="s">
        <v>606</v>
      </c>
      <c r="G22" s="427" t="s">
        <v>607</v>
      </c>
      <c r="H22" s="429" t="s">
        <v>608</v>
      </c>
      <c r="I22" s="430" t="s">
        <v>609</v>
      </c>
      <c r="J22" s="431" t="s">
        <v>610</v>
      </c>
    </row>
    <row r="23" spans="1:10" hidden="1" x14ac:dyDescent="0.4">
      <c r="B23" s="432">
        <v>1</v>
      </c>
      <c r="C23" s="433" t="s">
        <v>992</v>
      </c>
      <c r="D23" s="434" t="s">
        <v>932</v>
      </c>
      <c r="E23" s="432" t="s">
        <v>895</v>
      </c>
      <c r="F23" s="432" t="s">
        <v>56</v>
      </c>
      <c r="G23" s="434" t="s">
        <v>933</v>
      </c>
      <c r="H23" s="435">
        <v>44588</v>
      </c>
      <c r="I23" s="436">
        <v>377</v>
      </c>
      <c r="J23" s="437">
        <v>1502.5</v>
      </c>
    </row>
    <row r="24" spans="1:10" hidden="1" x14ac:dyDescent="0.4">
      <c r="B24" s="432">
        <v>2</v>
      </c>
      <c r="C24" s="433" t="s">
        <v>993</v>
      </c>
      <c r="D24" s="434" t="s">
        <v>994</v>
      </c>
      <c r="E24" s="432" t="s">
        <v>896</v>
      </c>
      <c r="F24" s="432" t="s">
        <v>56</v>
      </c>
      <c r="G24" s="434" t="s">
        <v>777</v>
      </c>
      <c r="H24" s="435"/>
      <c r="I24" s="436">
        <v>198</v>
      </c>
      <c r="J24" s="437">
        <v>1387.75</v>
      </c>
    </row>
    <row r="25" spans="1:10" hidden="1" x14ac:dyDescent="0.4">
      <c r="B25" s="432">
        <v>3</v>
      </c>
      <c r="C25" s="433" t="s">
        <v>995</v>
      </c>
      <c r="D25" s="434" t="s">
        <v>693</v>
      </c>
      <c r="E25" s="432" t="s">
        <v>895</v>
      </c>
      <c r="F25" s="432" t="s">
        <v>56</v>
      </c>
      <c r="G25" s="434" t="s">
        <v>757</v>
      </c>
      <c r="H25" s="435">
        <v>44105</v>
      </c>
      <c r="I25" s="436">
        <v>147</v>
      </c>
      <c r="J25" s="437">
        <v>661.5</v>
      </c>
    </row>
    <row r="26" spans="1:10" hidden="1" x14ac:dyDescent="0.4">
      <c r="B26" s="432">
        <v>4</v>
      </c>
      <c r="C26" s="433" t="s">
        <v>996</v>
      </c>
      <c r="D26" s="434" t="s">
        <v>997</v>
      </c>
      <c r="E26" s="432" t="s">
        <v>896</v>
      </c>
      <c r="F26" s="432" t="s">
        <v>56</v>
      </c>
      <c r="G26" s="434" t="s">
        <v>931</v>
      </c>
      <c r="H26" s="435">
        <v>44574</v>
      </c>
      <c r="I26" s="436">
        <v>76</v>
      </c>
      <c r="J26" s="437">
        <v>364.75</v>
      </c>
    </row>
    <row r="27" spans="1:10" hidden="1" x14ac:dyDescent="0.4">
      <c r="B27" s="432">
        <v>5</v>
      </c>
      <c r="C27" s="433" t="s">
        <v>998</v>
      </c>
      <c r="D27" s="434" t="s">
        <v>999</v>
      </c>
      <c r="E27" s="432" t="s">
        <v>895</v>
      </c>
      <c r="F27" s="432" t="s">
        <v>56</v>
      </c>
      <c r="G27" s="434" t="s">
        <v>757</v>
      </c>
      <c r="H27" s="435">
        <v>36798</v>
      </c>
      <c r="I27" s="436">
        <v>50</v>
      </c>
      <c r="J27" s="437">
        <v>279</v>
      </c>
    </row>
    <row r="28" spans="1:10" hidden="1" x14ac:dyDescent="0.4">
      <c r="B28" s="432">
        <v>6</v>
      </c>
      <c r="C28" s="433" t="s">
        <v>1000</v>
      </c>
      <c r="D28" s="434" t="s">
        <v>1001</v>
      </c>
      <c r="E28" s="432" t="s">
        <v>895</v>
      </c>
      <c r="F28" s="432" t="s">
        <v>1002</v>
      </c>
      <c r="G28" s="434" t="s">
        <v>1003</v>
      </c>
      <c r="H28" s="438">
        <v>44525</v>
      </c>
      <c r="I28" s="436">
        <v>36</v>
      </c>
      <c r="J28" s="437">
        <v>36.549999999999997</v>
      </c>
    </row>
    <row r="29" spans="1:10" hidden="1" x14ac:dyDescent="0.4">
      <c r="B29" s="432">
        <v>7</v>
      </c>
      <c r="C29" s="433" t="s">
        <v>1004</v>
      </c>
      <c r="D29" s="434" t="s">
        <v>1005</v>
      </c>
      <c r="E29" s="432" t="s">
        <v>895</v>
      </c>
      <c r="F29" s="432" t="s">
        <v>1006</v>
      </c>
      <c r="G29" s="439" t="s">
        <v>757</v>
      </c>
      <c r="H29" s="435">
        <v>37365</v>
      </c>
      <c r="I29" s="436">
        <v>32</v>
      </c>
      <c r="J29" s="437">
        <v>193.25</v>
      </c>
    </row>
    <row r="30" spans="1:10" hidden="1" x14ac:dyDescent="0.4">
      <c r="B30" s="432">
        <v>8</v>
      </c>
      <c r="C30" s="433" t="s">
        <v>943</v>
      </c>
      <c r="D30" s="434" t="s">
        <v>944</v>
      </c>
      <c r="E30" s="432" t="s">
        <v>895</v>
      </c>
      <c r="F30" s="432" t="s">
        <v>56</v>
      </c>
      <c r="G30" s="440" t="s">
        <v>758</v>
      </c>
      <c r="H30" s="435">
        <v>44518</v>
      </c>
      <c r="I30" s="436">
        <v>28</v>
      </c>
      <c r="J30" s="437">
        <v>83</v>
      </c>
    </row>
    <row r="31" spans="1:10" hidden="1" x14ac:dyDescent="0.4">
      <c r="B31" s="432">
        <v>9</v>
      </c>
      <c r="C31" s="433" t="s">
        <v>1007</v>
      </c>
      <c r="D31" s="433" t="s">
        <v>1008</v>
      </c>
      <c r="E31" s="432" t="s">
        <v>895</v>
      </c>
      <c r="F31" s="441" t="s">
        <v>56</v>
      </c>
      <c r="G31" s="433" t="s">
        <v>631</v>
      </c>
      <c r="H31" s="435">
        <v>43013</v>
      </c>
      <c r="I31" s="436">
        <v>25</v>
      </c>
      <c r="J31" s="437">
        <v>56</v>
      </c>
    </row>
    <row r="32" spans="1:10" hidden="1" x14ac:dyDescent="0.4">
      <c r="B32" s="432">
        <v>10</v>
      </c>
      <c r="C32" s="433" t="s">
        <v>940</v>
      </c>
      <c r="D32" s="433" t="s">
        <v>941</v>
      </c>
      <c r="E32" s="432" t="s">
        <v>896</v>
      </c>
      <c r="F32" s="441" t="s">
        <v>56</v>
      </c>
      <c r="G32" s="433" t="s">
        <v>942</v>
      </c>
      <c r="H32" s="435">
        <v>44476</v>
      </c>
      <c r="I32" s="436">
        <v>20</v>
      </c>
      <c r="J32" s="437">
        <v>55.5</v>
      </c>
    </row>
  </sheetData>
  <sheetProtection algorithmName="SHA-512" hashValue="9yseFuvm46qXN0wgTIeKWo9PCC9GDWLlD5Eqk9RsTasz9iE/h7iMRyK88jaldMV2L9ZAf7n0acPWtQ6oxuXGyg==" saltValue="1Rh2N3eKWTGGNAJ0JiSsnw==" spinCount="100000" sheet="1" objects="1" scenarios="1"/>
  <mergeCells count="2">
    <mergeCell ref="B1:J1"/>
    <mergeCell ref="B14:C14"/>
  </mergeCells>
  <pageMargins left="0.70866141732283472" right="0.70866141732283472" top="0.74803149606299213" bottom="0.74803149606299213" header="0.31496062992125984" footer="0.31496062992125984"/>
  <pageSetup paperSize="9" scale="53" orientation="portrait" r:id="rId1"/>
  <headerFooter>
    <oddHeader>&amp;L&amp;G</oddHeader>
    <oddFooter>&amp;C&amp;"Calibri,Normal"&amp;8DIVISÃO DE ESTUDOS E ESTATÍSTICA - 2012 - RESEARCH AND STATISTICS DIVISION&amp;R&amp;"Calibri,Normal"&amp;8 2</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8">
    <tabColor theme="5" tint="-0.499984740745262"/>
  </sheetPr>
  <dimension ref="A1:R118"/>
  <sheetViews>
    <sheetView showGridLines="0" zoomScaleNormal="100" zoomScaleSheetLayoutView="100" workbookViewId="0">
      <selection activeCell="B2" sqref="B2:L2"/>
    </sheetView>
  </sheetViews>
  <sheetFormatPr defaultColWidth="9.140625" defaultRowHeight="12.75" zeroHeight="1" x14ac:dyDescent="0.2"/>
  <cols>
    <col min="1" max="1" width="2.7109375" style="443" customWidth="1"/>
    <col min="2" max="2" width="26.7109375" style="443" customWidth="1"/>
    <col min="3" max="4" width="9.7109375" style="443" customWidth="1"/>
    <col min="5" max="5" width="10" style="443" bestFit="1" customWidth="1"/>
    <col min="6" max="6" width="7.7109375" style="443" bestFit="1" customWidth="1"/>
    <col min="7" max="8" width="2.7109375" style="443" customWidth="1"/>
    <col min="9" max="10" width="9.7109375" style="443" customWidth="1"/>
    <col min="11" max="11" width="7.42578125" style="443" bestFit="1" customWidth="1"/>
    <col min="12" max="12" width="6.7109375" style="443" customWidth="1"/>
    <col min="13" max="13" width="2.7109375" style="443" customWidth="1"/>
    <col min="14" max="14" width="161.42578125" style="443" customWidth="1"/>
    <col min="15" max="15" width="11.5703125" style="443" customWidth="1"/>
    <col min="16" max="16" width="24.7109375" style="443" customWidth="1"/>
    <col min="17" max="17" width="3.5703125" style="443" customWidth="1"/>
    <col min="18" max="16384" width="9.140625" style="443"/>
  </cols>
  <sheetData>
    <row r="1" spans="1:15" x14ac:dyDescent="0.2">
      <c r="A1" s="442"/>
      <c r="B1" s="442"/>
      <c r="C1" s="442"/>
      <c r="D1" s="442"/>
      <c r="E1" s="442"/>
      <c r="F1" s="442"/>
      <c r="G1" s="442"/>
      <c r="H1" s="442"/>
      <c r="I1" s="442"/>
      <c r="J1" s="442"/>
      <c r="K1" s="442"/>
      <c r="L1" s="442"/>
      <c r="M1" s="442"/>
    </row>
    <row r="2" spans="1:15" ht="27.75" customHeight="1" x14ac:dyDescent="0.4">
      <c r="A2" s="444"/>
      <c r="B2" s="294" t="s">
        <v>967</v>
      </c>
      <c r="C2" s="445"/>
      <c r="D2" s="445"/>
      <c r="E2" s="445"/>
      <c r="F2" s="445"/>
      <c r="G2" s="445"/>
      <c r="H2" s="445"/>
      <c r="I2" s="445"/>
      <c r="J2" s="445"/>
      <c r="K2" s="445"/>
      <c r="L2" s="445"/>
    </row>
    <row r="3" spans="1:15" s="446" customFormat="1" ht="12" x14ac:dyDescent="0.2">
      <c r="B3" s="447"/>
      <c r="C3" s="447"/>
      <c r="D3" s="447"/>
      <c r="E3" s="447"/>
      <c r="F3" s="447"/>
      <c r="G3" s="447"/>
      <c r="H3" s="447"/>
      <c r="I3" s="447"/>
      <c r="J3" s="447"/>
      <c r="K3" s="447"/>
      <c r="L3" s="447"/>
    </row>
    <row r="4" spans="1:15" s="446" customFormat="1" ht="12" x14ac:dyDescent="0.2">
      <c r="B4" s="448" t="s">
        <v>867</v>
      </c>
      <c r="C4" s="449" t="s">
        <v>868</v>
      </c>
      <c r="D4" s="449"/>
      <c r="E4" s="449"/>
      <c r="F4" s="449"/>
      <c r="G4" s="379"/>
      <c r="H4" s="379"/>
      <c r="I4" s="449" t="s">
        <v>869</v>
      </c>
      <c r="J4" s="449"/>
      <c r="K4" s="449"/>
      <c r="L4" s="449"/>
    </row>
    <row r="5" spans="1:15" s="446" customFormat="1" ht="12" x14ac:dyDescent="0.2">
      <c r="B5" s="448"/>
      <c r="C5" s="450">
        <v>2021</v>
      </c>
      <c r="D5" s="450">
        <v>2022</v>
      </c>
      <c r="E5" s="450"/>
      <c r="F5" s="379" t="s">
        <v>11</v>
      </c>
      <c r="G5" s="379"/>
      <c r="H5" s="379"/>
      <c r="I5" s="450">
        <v>2021</v>
      </c>
      <c r="J5" s="450">
        <v>2022</v>
      </c>
      <c r="K5" s="450"/>
      <c r="L5" s="451" t="s">
        <v>11</v>
      </c>
    </row>
    <row r="6" spans="1:15" s="446" customFormat="1" ht="15.75" customHeight="1" x14ac:dyDescent="0.2">
      <c r="B6" s="452" t="str">
        <f>UPPER(B51)</f>
        <v>NOS LUSOMUNDO AUDIOVISUAIS</v>
      </c>
      <c r="C6" s="453">
        <v>1</v>
      </c>
      <c r="D6" s="453">
        <v>8</v>
      </c>
      <c r="E6" s="454" t="str">
        <f>IF(F6&lt;0,"q",IF(OR(F6="-",F6=0),"","p"))</f>
        <v>p</v>
      </c>
      <c r="F6" s="455">
        <f>IF(OR(C6="",D6=""),"-",SUM(D6-C6)/C6)</f>
        <v>7</v>
      </c>
      <c r="G6" s="455"/>
      <c r="H6" s="456"/>
      <c r="I6" s="453">
        <v>25</v>
      </c>
      <c r="J6" s="453">
        <v>31</v>
      </c>
      <c r="K6" s="454" t="str">
        <f>IF(L6&lt;0,"q",IF(OR(L6="-",L6=0),"","p"))</f>
        <v>p</v>
      </c>
      <c r="L6" s="457">
        <f>IF(OR(I6="",J6=""),"-",SUM(J6-I6)/I6)</f>
        <v>0.24</v>
      </c>
      <c r="O6" s="446" t="str">
        <f>UPPER(B6)</f>
        <v>NOS LUSOMUNDO AUDIOVISUAIS</v>
      </c>
    </row>
    <row r="7" spans="1:15" s="446" customFormat="1" ht="15.75" customHeight="1" x14ac:dyDescent="0.2">
      <c r="B7" s="452" t="str">
        <f t="shared" ref="B7:B15" si="0">UPPER(B52)</f>
        <v>CINEMUNDO</v>
      </c>
      <c r="C7" s="453">
        <v>0</v>
      </c>
      <c r="D7" s="453">
        <v>3</v>
      </c>
      <c r="E7" s="454" t="str">
        <f>IF(F7&lt;0,"q",IF(OR(F7="-",F7=0),"","p"))</f>
        <v>p</v>
      </c>
      <c r="F7" s="455">
        <f>(D7-C7)/D7</f>
        <v>1</v>
      </c>
      <c r="G7" s="455"/>
      <c r="H7" s="456"/>
      <c r="I7" s="453">
        <v>7</v>
      </c>
      <c r="J7" s="453">
        <v>8</v>
      </c>
      <c r="K7" s="458" t="str">
        <f t="shared" ref="K7:K15" si="1">IF(L7&lt;0,"q",IF(OR(L7="-",L7=0),"","p"))</f>
        <v>p</v>
      </c>
      <c r="L7" s="457">
        <f t="shared" ref="L7:L14" si="2">IF(OR(I7="",J7=""),"-",SUM(J7-I7)/I7)</f>
        <v>0.14285714285714285</v>
      </c>
    </row>
    <row r="8" spans="1:15" s="446" customFormat="1" ht="15.75" customHeight="1" x14ac:dyDescent="0.2">
      <c r="B8" s="452" t="str">
        <f t="shared" si="0"/>
        <v>FILMS4YOU</v>
      </c>
      <c r="C8" s="453">
        <v>1</v>
      </c>
      <c r="D8" s="453">
        <v>3</v>
      </c>
      <c r="E8" s="458" t="str">
        <f t="shared" ref="E8" si="3">IF(F8&lt;0,"q",IF(OR(F8="-",F8=0),"","p"))</f>
        <v>p</v>
      </c>
      <c r="F8" s="455">
        <f t="shared" ref="F8:F11" si="4">IF(OR(C8="",D8=""),"-",SUM(D8-C8)/C8)</f>
        <v>2</v>
      </c>
      <c r="G8" s="455"/>
      <c r="H8" s="456"/>
      <c r="I8" s="453">
        <v>8</v>
      </c>
      <c r="J8" s="453">
        <v>8</v>
      </c>
      <c r="K8" s="458" t="str">
        <f t="shared" si="1"/>
        <v/>
      </c>
      <c r="L8" s="457">
        <f t="shared" si="2"/>
        <v>0</v>
      </c>
    </row>
    <row r="9" spans="1:15" s="446" customFormat="1" ht="15.75" customHeight="1" x14ac:dyDescent="0.2">
      <c r="B9" s="452" t="str">
        <f t="shared" si="0"/>
        <v>LEOPARDO FILMES</v>
      </c>
      <c r="C9" s="453">
        <v>0</v>
      </c>
      <c r="D9" s="453">
        <v>2</v>
      </c>
      <c r="E9" s="458" t="str">
        <f t="shared" ref="E9:E16" si="5">IF(F9&lt;0,"q",IF(OR(F9="-",F9=0),"","p"))</f>
        <v>p</v>
      </c>
      <c r="F9" s="455">
        <f>(D9-C9)/D9</f>
        <v>1</v>
      </c>
      <c r="G9" s="455"/>
      <c r="H9" s="456"/>
      <c r="I9" s="453">
        <v>18</v>
      </c>
      <c r="J9" s="453">
        <v>7</v>
      </c>
      <c r="K9" s="458" t="str">
        <f t="shared" si="1"/>
        <v>q</v>
      </c>
      <c r="L9" s="457">
        <f t="shared" si="2"/>
        <v>-0.61111111111111116</v>
      </c>
    </row>
    <row r="10" spans="1:15" s="446" customFormat="1" ht="15.75" customHeight="1" x14ac:dyDescent="0.2">
      <c r="B10" s="452" t="str">
        <f t="shared" si="0"/>
        <v>PRIS AUDIOVISUAIS</v>
      </c>
      <c r="C10" s="453">
        <v>0</v>
      </c>
      <c r="D10" s="453">
        <v>2</v>
      </c>
      <c r="E10" s="458" t="str">
        <f t="shared" si="5"/>
        <v>p</v>
      </c>
      <c r="F10" s="455">
        <f>(D10-C10)/D10</f>
        <v>1</v>
      </c>
      <c r="G10" s="455"/>
      <c r="H10" s="456"/>
      <c r="I10" s="453">
        <v>3</v>
      </c>
      <c r="J10" s="453">
        <v>6</v>
      </c>
      <c r="K10" s="458" t="str">
        <f t="shared" si="1"/>
        <v>p</v>
      </c>
      <c r="L10" s="457">
        <f t="shared" si="2"/>
        <v>1</v>
      </c>
    </row>
    <row r="11" spans="1:15" s="446" customFormat="1" ht="15.75" customHeight="1" x14ac:dyDescent="0.2">
      <c r="B11" s="452" t="str">
        <f t="shared" si="0"/>
        <v>MIDAS FILMES</v>
      </c>
      <c r="C11" s="453">
        <v>1</v>
      </c>
      <c r="D11" s="453">
        <v>1</v>
      </c>
      <c r="E11" s="458" t="str">
        <f t="shared" si="5"/>
        <v/>
      </c>
      <c r="F11" s="455">
        <f t="shared" si="4"/>
        <v>0</v>
      </c>
      <c r="G11" s="455"/>
      <c r="H11" s="456"/>
      <c r="I11" s="453">
        <v>11</v>
      </c>
      <c r="J11" s="453">
        <v>8</v>
      </c>
      <c r="K11" s="458" t="str">
        <f t="shared" si="1"/>
        <v>q</v>
      </c>
      <c r="L11" s="457">
        <f t="shared" si="2"/>
        <v>-0.27272727272727271</v>
      </c>
    </row>
    <row r="12" spans="1:15" s="446" customFormat="1" ht="15.75" customHeight="1" x14ac:dyDescent="0.2">
      <c r="B12" s="452" t="str">
        <f t="shared" si="0"/>
        <v>OUTSIDER FILMS</v>
      </c>
      <c r="C12" s="453">
        <v>0</v>
      </c>
      <c r="D12" s="453">
        <v>1</v>
      </c>
      <c r="E12" s="458" t="str">
        <f t="shared" si="5"/>
        <v>p</v>
      </c>
      <c r="F12" s="455">
        <f>(D12-C12)/D12</f>
        <v>1</v>
      </c>
      <c r="G12" s="455"/>
      <c r="H12" s="456"/>
      <c r="I12" s="453">
        <v>0</v>
      </c>
      <c r="J12" s="453">
        <v>6</v>
      </c>
      <c r="K12" s="458" t="str">
        <f t="shared" si="1"/>
        <v>p</v>
      </c>
      <c r="L12" s="457">
        <f>(J12-I12)/J12</f>
        <v>1</v>
      </c>
    </row>
    <row r="13" spans="1:15" s="446" customFormat="1" ht="15.75" customHeight="1" x14ac:dyDescent="0.2">
      <c r="B13" s="452" t="str">
        <f t="shared" si="0"/>
        <v>ALAMBIQUE</v>
      </c>
      <c r="C13" s="453">
        <v>0</v>
      </c>
      <c r="D13" s="453">
        <v>1</v>
      </c>
      <c r="E13" s="458" t="str">
        <f t="shared" si="5"/>
        <v>p</v>
      </c>
      <c r="F13" s="455">
        <f t="shared" ref="F13:F16" si="6">(D13-C13)/D13</f>
        <v>1</v>
      </c>
      <c r="G13" s="455"/>
      <c r="H13" s="456"/>
      <c r="I13" s="453">
        <v>4</v>
      </c>
      <c r="J13" s="453">
        <v>6</v>
      </c>
      <c r="K13" s="458" t="str">
        <f t="shared" si="1"/>
        <v>p</v>
      </c>
      <c r="L13" s="457">
        <f t="shared" si="2"/>
        <v>0.5</v>
      </c>
    </row>
    <row r="14" spans="1:15" s="446" customFormat="1" ht="15.75" customHeight="1" x14ac:dyDescent="0.2">
      <c r="B14" s="452" t="str">
        <f t="shared" si="0"/>
        <v>NITRATO FILMES</v>
      </c>
      <c r="C14" s="453">
        <v>0</v>
      </c>
      <c r="D14" s="453">
        <v>1</v>
      </c>
      <c r="E14" s="458" t="str">
        <f>IF(F14&lt;0,"q",IF(OR(F14="-",F14=0),"","p"))</f>
        <v>p</v>
      </c>
      <c r="F14" s="455">
        <f t="shared" si="6"/>
        <v>1</v>
      </c>
      <c r="G14" s="455"/>
      <c r="H14" s="456"/>
      <c r="I14" s="453">
        <v>5</v>
      </c>
      <c r="J14" s="453">
        <v>2</v>
      </c>
      <c r="K14" s="458" t="str">
        <f t="shared" si="1"/>
        <v>q</v>
      </c>
      <c r="L14" s="457">
        <f t="shared" si="2"/>
        <v>-0.6</v>
      </c>
    </row>
    <row r="15" spans="1:15" s="446" customFormat="1" ht="15.75" customHeight="1" x14ac:dyDescent="0.2">
      <c r="B15" s="452" t="str">
        <f t="shared" si="0"/>
        <v>ZÊZERE</v>
      </c>
      <c r="C15" s="453">
        <v>0</v>
      </c>
      <c r="D15" s="453">
        <v>1</v>
      </c>
      <c r="E15" s="458" t="str">
        <f>IF(F15&lt;0,"q",IF(OR(F15="-",F15=0),"","p"))</f>
        <v>p</v>
      </c>
      <c r="F15" s="455">
        <f t="shared" si="6"/>
        <v>1</v>
      </c>
      <c r="G15" s="455"/>
      <c r="H15" s="456"/>
      <c r="I15" s="453">
        <v>0</v>
      </c>
      <c r="J15" s="453">
        <v>1</v>
      </c>
      <c r="K15" s="458" t="str">
        <f t="shared" si="1"/>
        <v>p</v>
      </c>
      <c r="L15" s="457">
        <f>(J15-I15)/J15</f>
        <v>1</v>
      </c>
    </row>
    <row r="16" spans="1:15" s="446" customFormat="1" ht="18.75" customHeight="1" x14ac:dyDescent="0.2">
      <c r="B16" s="459" t="s">
        <v>875</v>
      </c>
      <c r="C16" s="460">
        <v>0</v>
      </c>
      <c r="D16" s="460">
        <v>4</v>
      </c>
      <c r="E16" s="458" t="str">
        <f t="shared" si="5"/>
        <v>p</v>
      </c>
      <c r="F16" s="455">
        <f t="shared" si="6"/>
        <v>1</v>
      </c>
      <c r="G16" s="461"/>
      <c r="H16" s="462"/>
      <c r="I16" s="460">
        <v>19</v>
      </c>
      <c r="J16" s="460">
        <v>37</v>
      </c>
      <c r="K16" s="463" t="str">
        <f t="shared" ref="K16:K17" si="7">IF(L16&lt;0,"q",IF(OR(L16="-",L16=0),"","p"))</f>
        <v>p</v>
      </c>
      <c r="L16" s="464">
        <f>IF(OR(I16="",J16=""),"-",SUM(J16-I16)/I16)</f>
        <v>0.94736842105263153</v>
      </c>
    </row>
    <row r="17" spans="2:18" ht="15" customHeight="1" x14ac:dyDescent="0.2">
      <c r="B17" s="465" t="s">
        <v>12</v>
      </c>
      <c r="C17" s="465">
        <f>SUM(C6:C16)</f>
        <v>3</v>
      </c>
      <c r="D17" s="465">
        <f>SUM(D6:D16)</f>
        <v>27</v>
      </c>
      <c r="E17" s="466" t="str">
        <f t="shared" ref="E17" si="8">IF(F17&lt;0,"q",IF(OR(F17="-",F17=0),"","p"))</f>
        <v>p</v>
      </c>
      <c r="F17" s="467">
        <f>IF(OR(C17="",D17=""),"-",SUM(D17-C17)/C17)</f>
        <v>8</v>
      </c>
      <c r="G17" s="468"/>
      <c r="H17" s="468"/>
      <c r="I17" s="469">
        <f>SUM(I6:I16)</f>
        <v>100</v>
      </c>
      <c r="J17" s="469">
        <f>SUM(J6:J16)</f>
        <v>120</v>
      </c>
      <c r="K17" s="466" t="str">
        <f t="shared" si="7"/>
        <v>p</v>
      </c>
      <c r="L17" s="467">
        <f>IF(OR(I17="",J17=""),"-",SUM(J17-I17)/I17)</f>
        <v>0.2</v>
      </c>
      <c r="Q17" s="470"/>
      <c r="R17" s="470"/>
    </row>
    <row r="18" spans="2:18" ht="15" customHeight="1" x14ac:dyDescent="0.2">
      <c r="B18" s="471" t="s">
        <v>853</v>
      </c>
      <c r="C18" s="471"/>
      <c r="J18" s="472"/>
      <c r="N18" s="472"/>
      <c r="Q18" s="473">
        <f>SUM(D16:D16)</f>
        <v>4</v>
      </c>
      <c r="R18" s="473">
        <f>SUM(J16:J16)</f>
        <v>37</v>
      </c>
    </row>
    <row r="19" spans="2:18" x14ac:dyDescent="0.2">
      <c r="J19" s="472"/>
    </row>
    <row r="20" spans="2:18" x14ac:dyDescent="0.2">
      <c r="J20" s="472"/>
    </row>
    <row r="21" spans="2:18" x14ac:dyDescent="0.2">
      <c r="D21" s="443" t="s">
        <v>588</v>
      </c>
      <c r="F21" s="474"/>
    </row>
    <row r="22" spans="2:18" x14ac:dyDescent="0.2">
      <c r="I22" s="472"/>
      <c r="J22" s="472"/>
    </row>
    <row r="23" spans="2:18" x14ac:dyDescent="0.2"/>
    <row r="24" spans="2:18" x14ac:dyDescent="0.2"/>
    <row r="25" spans="2:18" x14ac:dyDescent="0.2">
      <c r="B25" s="475"/>
      <c r="C25" s="476"/>
      <c r="D25" s="477"/>
      <c r="E25" s="477"/>
    </row>
    <row r="26" spans="2:18" x14ac:dyDescent="0.2"/>
    <row r="27" spans="2:18" x14ac:dyDescent="0.2"/>
    <row r="28" spans="2:18" x14ac:dyDescent="0.2"/>
    <row r="29" spans="2:18" x14ac:dyDescent="0.2"/>
    <row r="30" spans="2:18" x14ac:dyDescent="0.2"/>
    <row r="31" spans="2:18" x14ac:dyDescent="0.2"/>
    <row r="32" spans="2:18" x14ac:dyDescent="0.2"/>
    <row r="33" spans="2:2" x14ac:dyDescent="0.2"/>
    <row r="34" spans="2:2" x14ac:dyDescent="0.2"/>
    <row r="35" spans="2:2" x14ac:dyDescent="0.2"/>
    <row r="36" spans="2:2" x14ac:dyDescent="0.2"/>
    <row r="37" spans="2:2" x14ac:dyDescent="0.2"/>
    <row r="41" spans="2:2" hidden="1" x14ac:dyDescent="0.2">
      <c r="B41" s="443" t="s">
        <v>773</v>
      </c>
    </row>
    <row r="48" spans="2:2" ht="12.75" hidden="1" customHeight="1" x14ac:dyDescent="0.2">
      <c r="B48" s="443" t="s">
        <v>775</v>
      </c>
    </row>
    <row r="49" spans="2:12" hidden="1" x14ac:dyDescent="0.2">
      <c r="B49" s="478" t="s">
        <v>852</v>
      </c>
      <c r="C49" s="479" t="s">
        <v>857</v>
      </c>
      <c r="D49" s="479"/>
      <c r="E49" s="479"/>
      <c r="F49" s="479"/>
      <c r="G49" s="460"/>
      <c r="H49" s="480"/>
      <c r="I49" s="479" t="s">
        <v>858</v>
      </c>
      <c r="J49" s="479"/>
      <c r="K49" s="479"/>
      <c r="L49" s="479"/>
    </row>
    <row r="50" spans="2:12" hidden="1" x14ac:dyDescent="0.2">
      <c r="B50" s="481"/>
      <c r="C50" s="482">
        <v>2021</v>
      </c>
      <c r="D50" s="482">
        <v>2022</v>
      </c>
      <c r="E50" s="482"/>
      <c r="F50" s="453" t="s">
        <v>11</v>
      </c>
      <c r="G50" s="453"/>
      <c r="H50" s="483"/>
      <c r="I50" s="482">
        <v>2021</v>
      </c>
      <c r="J50" s="482">
        <v>2022</v>
      </c>
      <c r="K50" s="482"/>
      <c r="L50" s="453" t="s">
        <v>11</v>
      </c>
    </row>
    <row r="51" spans="2:12" hidden="1" x14ac:dyDescent="0.2">
      <c r="B51" s="452" t="s">
        <v>757</v>
      </c>
      <c r="C51" s="453">
        <v>1</v>
      </c>
      <c r="D51" s="453">
        <v>8</v>
      </c>
      <c r="E51" s="484" t="str">
        <f t="shared" ref="E51:E60" si="9">IF(F51&lt;0,"↓",IF(OR(F51="-",F51=0),"","↑"))</f>
        <v>↑</v>
      </c>
      <c r="F51" s="455">
        <f t="shared" ref="F51:F60" si="10">IF(OR(C51="",D51=""),"-",SUM(D51-C51)/C51)</f>
        <v>7</v>
      </c>
      <c r="G51" s="455"/>
      <c r="H51" s="456"/>
      <c r="I51" s="485">
        <v>25</v>
      </c>
      <c r="J51" s="485">
        <v>31</v>
      </c>
      <c r="K51" s="486" t="str">
        <f t="shared" ref="K51:K61" si="11">IF(L51&lt;0,"↓",IF(OR(L51="-",L51=0),"","↑"))</f>
        <v>↑</v>
      </c>
      <c r="L51" s="457">
        <f t="shared" ref="L51:L60" si="12">IF(OR(I51="",J51=""),"-",SUM(J51-I51)/I51)</f>
        <v>0.24</v>
      </c>
    </row>
    <row r="52" spans="2:12" hidden="1" x14ac:dyDescent="0.2">
      <c r="B52" s="487" t="s">
        <v>776</v>
      </c>
      <c r="C52" s="488">
        <v>0</v>
      </c>
      <c r="D52" s="488">
        <v>3</v>
      </c>
      <c r="E52" s="484" t="e">
        <f t="shared" si="9"/>
        <v>#DIV/0!</v>
      </c>
      <c r="F52" s="455" t="e">
        <f t="shared" si="10"/>
        <v>#DIV/0!</v>
      </c>
      <c r="G52" s="489"/>
      <c r="H52" s="490"/>
      <c r="I52" s="491">
        <v>7</v>
      </c>
      <c r="J52" s="491">
        <v>8</v>
      </c>
      <c r="K52" s="486" t="str">
        <f t="shared" si="11"/>
        <v>↑</v>
      </c>
      <c r="L52" s="457">
        <f t="shared" si="12"/>
        <v>0.14285714285714285</v>
      </c>
    </row>
    <row r="53" spans="2:12" hidden="1" x14ac:dyDescent="0.2">
      <c r="B53" s="487" t="s">
        <v>929</v>
      </c>
      <c r="C53" s="488">
        <v>1</v>
      </c>
      <c r="D53" s="488">
        <v>3</v>
      </c>
      <c r="E53" s="484" t="str">
        <f t="shared" si="9"/>
        <v>↑</v>
      </c>
      <c r="F53" s="455">
        <f t="shared" si="10"/>
        <v>2</v>
      </c>
      <c r="G53" s="489"/>
      <c r="H53" s="490"/>
      <c r="I53" s="491">
        <v>8</v>
      </c>
      <c r="J53" s="491">
        <v>8</v>
      </c>
      <c r="K53" s="486" t="str">
        <f t="shared" si="11"/>
        <v/>
      </c>
      <c r="L53" s="457">
        <f t="shared" si="12"/>
        <v>0</v>
      </c>
    </row>
    <row r="54" spans="2:12" hidden="1" x14ac:dyDescent="0.2">
      <c r="B54" s="487" t="s">
        <v>778</v>
      </c>
      <c r="C54" s="488">
        <v>1</v>
      </c>
      <c r="D54" s="488">
        <v>2</v>
      </c>
      <c r="E54" s="484" t="str">
        <f t="shared" si="9"/>
        <v>↑</v>
      </c>
      <c r="F54" s="455">
        <f t="shared" si="10"/>
        <v>1</v>
      </c>
      <c r="G54" s="489"/>
      <c r="H54" s="490"/>
      <c r="I54" s="491">
        <v>18</v>
      </c>
      <c r="J54" s="491">
        <v>7</v>
      </c>
      <c r="K54" s="486" t="str">
        <f t="shared" si="11"/>
        <v>↓</v>
      </c>
      <c r="L54" s="457">
        <f t="shared" si="12"/>
        <v>-0.61111111111111116</v>
      </c>
    </row>
    <row r="55" spans="2:12" hidden="1" x14ac:dyDescent="0.2">
      <c r="B55" s="487" t="s">
        <v>771</v>
      </c>
      <c r="C55" s="488">
        <v>0</v>
      </c>
      <c r="D55" s="488">
        <v>2</v>
      </c>
      <c r="E55" s="484" t="e">
        <f t="shared" si="9"/>
        <v>#DIV/0!</v>
      </c>
      <c r="F55" s="455" t="e">
        <f t="shared" si="10"/>
        <v>#DIV/0!</v>
      </c>
      <c r="G55" s="489"/>
      <c r="H55" s="490"/>
      <c r="I55" s="491">
        <v>3</v>
      </c>
      <c r="J55" s="491">
        <v>6</v>
      </c>
      <c r="K55" s="486" t="str">
        <f t="shared" si="11"/>
        <v>↑</v>
      </c>
      <c r="L55" s="457">
        <f t="shared" si="12"/>
        <v>1</v>
      </c>
    </row>
    <row r="56" spans="2:12" hidden="1" x14ac:dyDescent="0.2">
      <c r="B56" s="487" t="s">
        <v>777</v>
      </c>
      <c r="C56" s="488">
        <v>1</v>
      </c>
      <c r="D56" s="488">
        <v>1</v>
      </c>
      <c r="E56" s="484" t="str">
        <f t="shared" si="9"/>
        <v/>
      </c>
      <c r="F56" s="455">
        <f t="shared" si="10"/>
        <v>0</v>
      </c>
      <c r="G56" s="489"/>
      <c r="H56" s="490"/>
      <c r="I56" s="491">
        <v>11</v>
      </c>
      <c r="J56" s="491">
        <v>8</v>
      </c>
      <c r="K56" s="486" t="str">
        <f t="shared" si="11"/>
        <v>↓</v>
      </c>
      <c r="L56" s="457">
        <f t="shared" si="12"/>
        <v>-0.27272727272727271</v>
      </c>
    </row>
    <row r="57" spans="2:12" hidden="1" x14ac:dyDescent="0.2">
      <c r="B57" s="487" t="s">
        <v>936</v>
      </c>
      <c r="C57" s="488">
        <v>0</v>
      </c>
      <c r="D57" s="488">
        <v>1</v>
      </c>
      <c r="E57" s="484" t="e">
        <f t="shared" si="9"/>
        <v>#DIV/0!</v>
      </c>
      <c r="F57" s="455" t="e">
        <f t="shared" si="10"/>
        <v>#DIV/0!</v>
      </c>
      <c r="G57" s="489"/>
      <c r="H57" s="490"/>
      <c r="I57" s="491">
        <v>0</v>
      </c>
      <c r="J57" s="491">
        <v>6</v>
      </c>
      <c r="K57" s="486" t="e">
        <f t="shared" si="11"/>
        <v>#DIV/0!</v>
      </c>
      <c r="L57" s="457" t="e">
        <f t="shared" si="12"/>
        <v>#DIV/0!</v>
      </c>
    </row>
    <row r="58" spans="2:12" hidden="1" x14ac:dyDescent="0.2">
      <c r="B58" s="487" t="s">
        <v>921</v>
      </c>
      <c r="C58" s="488">
        <v>0</v>
      </c>
      <c r="D58" s="488">
        <v>1</v>
      </c>
      <c r="E58" s="484" t="e">
        <f t="shared" si="9"/>
        <v>#DIV/0!</v>
      </c>
      <c r="F58" s="455" t="e">
        <f t="shared" si="10"/>
        <v>#DIV/0!</v>
      </c>
      <c r="G58" s="489"/>
      <c r="H58" s="490"/>
      <c r="I58" s="491">
        <v>4</v>
      </c>
      <c r="J58" s="491">
        <v>6</v>
      </c>
      <c r="K58" s="486" t="str">
        <f t="shared" si="11"/>
        <v>↑</v>
      </c>
      <c r="L58" s="457">
        <f t="shared" si="12"/>
        <v>0.5</v>
      </c>
    </row>
    <row r="59" spans="2:12" hidden="1" x14ac:dyDescent="0.2">
      <c r="B59" s="452" t="s">
        <v>931</v>
      </c>
      <c r="C59" s="453">
        <v>0</v>
      </c>
      <c r="D59" s="453">
        <v>1</v>
      </c>
      <c r="E59" s="484" t="e">
        <f t="shared" si="9"/>
        <v>#DIV/0!</v>
      </c>
      <c r="F59" s="455" t="e">
        <f t="shared" si="10"/>
        <v>#DIV/0!</v>
      </c>
      <c r="G59" s="455"/>
      <c r="H59" s="456"/>
      <c r="I59" s="491">
        <v>5</v>
      </c>
      <c r="J59" s="491">
        <v>2</v>
      </c>
      <c r="K59" s="486" t="str">
        <f t="shared" si="11"/>
        <v>↓</v>
      </c>
      <c r="L59" s="457">
        <f t="shared" si="12"/>
        <v>-0.6</v>
      </c>
    </row>
    <row r="60" spans="2:12" hidden="1" x14ac:dyDescent="0.2">
      <c r="B60" s="452" t="s">
        <v>933</v>
      </c>
      <c r="C60" s="492">
        <v>0</v>
      </c>
      <c r="D60" s="453">
        <v>1</v>
      </c>
      <c r="E60" s="484" t="e">
        <f t="shared" si="9"/>
        <v>#DIV/0!</v>
      </c>
      <c r="F60" s="455" t="e">
        <f t="shared" si="10"/>
        <v>#DIV/0!</v>
      </c>
      <c r="G60" s="455"/>
      <c r="H60" s="456"/>
      <c r="I60" s="491">
        <v>0</v>
      </c>
      <c r="J60" s="491">
        <v>1</v>
      </c>
      <c r="K60" s="486" t="e">
        <f t="shared" si="11"/>
        <v>#DIV/0!</v>
      </c>
      <c r="L60" s="457" t="e">
        <f t="shared" si="12"/>
        <v>#DIV/0!</v>
      </c>
    </row>
    <row r="61" spans="2:12" hidden="1" x14ac:dyDescent="0.2">
      <c r="B61" s="493" t="s">
        <v>811</v>
      </c>
      <c r="C61" s="453">
        <v>0</v>
      </c>
      <c r="D61" s="453">
        <v>4</v>
      </c>
      <c r="E61" s="494" t="e">
        <f t="shared" ref="E61" si="13">IF(F61&lt;0,"↓",IF(OR(F61="-",F61=0),"","↑"))</f>
        <v>#DIV/0!</v>
      </c>
      <c r="F61" s="489" t="e">
        <f>IF(OR(C61="",D61=""),"-",SUM(D61-C61)/C61)</f>
        <v>#DIV/0!</v>
      </c>
      <c r="G61" s="455"/>
      <c r="H61" s="456"/>
      <c r="I61" s="491">
        <v>19</v>
      </c>
      <c r="J61" s="491">
        <v>37</v>
      </c>
      <c r="K61" s="486" t="str">
        <f t="shared" si="11"/>
        <v>↑</v>
      </c>
      <c r="L61" s="457">
        <f t="shared" ref="L61" si="14">IF(OR(I61="",J61=""),"-",SUM(J61-I61)/I61)</f>
        <v>0.94736842105263153</v>
      </c>
    </row>
    <row r="62" spans="2:12" hidden="1" x14ac:dyDescent="0.2">
      <c r="B62" s="460"/>
      <c r="C62" s="460"/>
      <c r="D62" s="460"/>
      <c r="E62" s="495"/>
      <c r="F62" s="464"/>
      <c r="G62" s="461"/>
      <c r="H62" s="462"/>
      <c r="I62" s="496"/>
      <c r="J62" s="496"/>
      <c r="K62" s="495"/>
      <c r="L62" s="464"/>
    </row>
    <row r="67" s="443" customFormat="1" x14ac:dyDescent="0.2"/>
    <row r="68" s="443" customFormat="1" x14ac:dyDescent="0.2"/>
    <row r="69" s="443" customFormat="1" x14ac:dyDescent="0.2"/>
    <row r="70" s="443" customFormat="1" x14ac:dyDescent="0.2"/>
    <row r="71" s="443" customFormat="1" x14ac:dyDescent="0.2"/>
    <row r="72" s="443" customFormat="1" x14ac:dyDescent="0.2"/>
    <row r="73" s="443" customFormat="1" x14ac:dyDescent="0.2"/>
    <row r="74" s="443" customFormat="1" x14ac:dyDescent="0.2"/>
    <row r="75" s="443" customFormat="1" x14ac:dyDescent="0.2"/>
    <row r="76" s="443" customFormat="1" x14ac:dyDescent="0.2"/>
    <row r="77" s="443" customFormat="1" x14ac:dyDescent="0.2"/>
    <row r="78" s="443" customFormat="1" x14ac:dyDescent="0.2"/>
    <row r="79" s="443" customFormat="1" x14ac:dyDescent="0.2"/>
    <row r="80" s="443" customFormat="1" x14ac:dyDescent="0.2"/>
    <row r="81" s="443" customFormat="1" x14ac:dyDescent="0.2"/>
    <row r="82" s="443" customFormat="1" x14ac:dyDescent="0.2"/>
    <row r="83" s="443" customFormat="1" x14ac:dyDescent="0.2"/>
    <row r="84" s="443" customFormat="1" x14ac:dyDescent="0.2"/>
    <row r="85" s="443" customFormat="1" x14ac:dyDescent="0.2"/>
    <row r="86" s="443" customFormat="1" x14ac:dyDescent="0.2"/>
    <row r="87" s="443" customFormat="1" x14ac:dyDescent="0.2"/>
    <row r="88" s="443" customFormat="1" x14ac:dyDescent="0.2"/>
    <row r="89" s="443" customFormat="1" x14ac:dyDescent="0.2"/>
    <row r="90" s="443" customFormat="1" x14ac:dyDescent="0.2"/>
    <row r="91" s="443" customFormat="1" x14ac:dyDescent="0.2"/>
    <row r="92" s="443" customFormat="1" x14ac:dyDescent="0.2"/>
    <row r="93" s="443" customFormat="1" x14ac:dyDescent="0.2"/>
    <row r="94" s="443" customFormat="1" x14ac:dyDescent="0.2"/>
    <row r="95" s="443" customFormat="1" x14ac:dyDescent="0.2"/>
    <row r="96" s="443" customFormat="1" x14ac:dyDescent="0.2"/>
    <row r="97" s="443" customFormat="1" x14ac:dyDescent="0.2"/>
    <row r="98" s="443" customFormat="1" x14ac:dyDescent="0.2"/>
    <row r="99" s="443" customFormat="1" x14ac:dyDescent="0.2"/>
    <row r="100" s="443" customFormat="1" x14ac:dyDescent="0.2"/>
    <row r="101" s="443" customFormat="1" x14ac:dyDescent="0.2"/>
    <row r="102" s="443" customFormat="1" x14ac:dyDescent="0.2"/>
    <row r="103" s="443" customFormat="1" x14ac:dyDescent="0.2"/>
    <row r="104" s="443" customFormat="1" x14ac:dyDescent="0.2"/>
    <row r="105" s="443" customFormat="1" x14ac:dyDescent="0.2"/>
    <row r="106" s="443" customFormat="1" x14ac:dyDescent="0.2"/>
    <row r="107" s="443" customFormat="1" x14ac:dyDescent="0.2"/>
    <row r="108" s="443" customFormat="1" x14ac:dyDescent="0.2"/>
    <row r="109" s="443" customFormat="1" x14ac:dyDescent="0.2"/>
    <row r="110" s="443" customFormat="1" x14ac:dyDescent="0.2"/>
    <row r="111" s="443" customFormat="1" x14ac:dyDescent="0.2"/>
    <row r="112" s="443" customFormat="1" x14ac:dyDescent="0.2"/>
    <row r="113" s="443" customFormat="1" x14ac:dyDescent="0.2"/>
    <row r="114" s="443" customFormat="1" x14ac:dyDescent="0.2"/>
    <row r="115" s="443" customFormat="1" x14ac:dyDescent="0.2"/>
    <row r="116" s="443" customFormat="1" x14ac:dyDescent="0.2"/>
    <row r="117" s="443" customFormat="1" x14ac:dyDescent="0.2"/>
    <row r="118" s="443" customFormat="1" x14ac:dyDescent="0.2"/>
  </sheetData>
  <sheetProtection algorithmName="SHA-512" hashValue="zF7QvrCSfrKFwD32XdhF9rVzJAUgUC74XVVsrJVDMEeLBlons8Sa6Wx0O+346ZrAvGPqAHat6EqjIY+6xfed4w==" saltValue="04aY22doRRSdREXJFDNIEw==" spinCount="100000" sheet="1" objects="1" scenarios="1"/>
  <sortState xmlns:xlrd2="http://schemas.microsoft.com/office/spreadsheetml/2017/richdata2" ref="B6:L16">
    <sortCondition descending="1" ref="D6:D16"/>
  </sortState>
  <mergeCells count="9">
    <mergeCell ref="B49:B50"/>
    <mergeCell ref="C49:F49"/>
    <mergeCell ref="I49:L49"/>
    <mergeCell ref="A1:M1"/>
    <mergeCell ref="B2:L2"/>
    <mergeCell ref="B4:B5"/>
    <mergeCell ref="C4:F4"/>
    <mergeCell ref="I4:L4"/>
    <mergeCell ref="B18:C18"/>
  </mergeCells>
  <conditionalFormatting sqref="K6:K16 E51:E61 K51:K62 E6:E16">
    <cfRule type="expression" dxfId="240" priority="58">
      <formula>F6&gt;0</formula>
    </cfRule>
    <cfRule type="expression" dxfId="239" priority="59">
      <formula>F6&lt;0</formula>
    </cfRule>
  </conditionalFormatting>
  <conditionalFormatting sqref="E17">
    <cfRule type="expression" dxfId="238" priority="52">
      <formula>F17&gt;0</formula>
    </cfRule>
    <cfRule type="expression" dxfId="237" priority="53">
      <formula>F17&lt;0</formula>
    </cfRule>
    <cfRule type="expression" dxfId="236" priority="60">
      <formula>$E17&gt;0</formula>
    </cfRule>
  </conditionalFormatting>
  <conditionalFormatting sqref="K6:K15 E51:E60 K51:K61 E6:E16">
    <cfRule type="expression" dxfId="235" priority="36">
      <formula>$E6&gt;0</formula>
    </cfRule>
  </conditionalFormatting>
  <conditionalFormatting sqref="E62">
    <cfRule type="expression" dxfId="234" priority="21">
      <formula>F62&gt;0</formula>
    </cfRule>
    <cfRule type="expression" dxfId="233" priority="22">
      <formula>F62&lt;0</formula>
    </cfRule>
  </conditionalFormatting>
  <conditionalFormatting sqref="K17">
    <cfRule type="expression" dxfId="232" priority="13">
      <formula>L17&gt;0</formula>
    </cfRule>
    <cfRule type="expression" dxfId="231" priority="14">
      <formula>L17&lt;0</formula>
    </cfRule>
    <cfRule type="expression" dxfId="230" priority="17">
      <formula>$E17&gt;0</formula>
    </cfRule>
  </conditionalFormatting>
  <printOptions horizontalCentered="1" verticalCentered="1"/>
  <pageMargins left="0.19685039370078741" right="0.19685039370078741" top="0.59055118110236227" bottom="0.39370078740157483" header="0.19685039370078741" footer="0.19685039370078741"/>
  <pageSetup paperSize="9" firstPageNumber="5" orientation="portrait" useFirstPageNumber="1" r:id="rId1"/>
  <headerFooter>
    <oddHeader>&amp;L&amp;G</oddHeader>
    <oddFooter>&amp;C&amp;"-,Normal"&amp;8DIVISÃO DE ESTUDOS E ESTATÍSTICA - 2012 - RESEARCH AND STATISTICS DIVISION&amp;R&amp;"-,Normal"&amp;8 5</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9">
    <tabColor theme="5" tint="-0.499984740745262"/>
  </sheetPr>
  <dimension ref="A1:P59"/>
  <sheetViews>
    <sheetView showGridLines="0" zoomScale="106" zoomScaleNormal="106" zoomScaleSheetLayoutView="115" workbookViewId="0">
      <selection activeCell="B2" sqref="B2:F3"/>
    </sheetView>
  </sheetViews>
  <sheetFormatPr defaultColWidth="9.140625" defaultRowHeight="18.75" x14ac:dyDescent="0.2"/>
  <cols>
    <col min="1" max="1" width="14.85546875" style="497" customWidth="1"/>
    <col min="2" max="2" width="30.7109375" style="443" customWidth="1"/>
    <col min="3" max="4" width="14.7109375" style="443" customWidth="1"/>
    <col min="5" max="5" width="4.7109375" style="443" customWidth="1"/>
    <col min="6" max="6" width="10.7109375" style="443" customWidth="1"/>
    <col min="7" max="7" width="15.42578125" style="443" customWidth="1"/>
    <col min="8" max="8" width="26.85546875" style="443" customWidth="1"/>
    <col min="9" max="9" width="30.7109375" style="443" customWidth="1"/>
    <col min="10" max="11" width="14.7109375" style="443" customWidth="1"/>
    <col min="12" max="12" width="4.7109375" style="443" customWidth="1"/>
    <col min="13" max="13" width="10.7109375" style="443" customWidth="1"/>
    <col min="14" max="16384" width="9.140625" style="443"/>
  </cols>
  <sheetData>
    <row r="1" spans="1:16" s="498" customFormat="1" x14ac:dyDescent="0.3">
      <c r="A1" s="497"/>
    </row>
    <row r="2" spans="1:16" ht="27.75" customHeight="1" x14ac:dyDescent="0.2">
      <c r="A2" s="499"/>
      <c r="B2" s="294" t="s">
        <v>968</v>
      </c>
      <c r="C2" s="295"/>
      <c r="D2" s="295"/>
      <c r="E2" s="295"/>
      <c r="F2" s="295"/>
      <c r="G2" s="500"/>
      <c r="H2" s="500"/>
      <c r="I2" s="294" t="s">
        <v>969</v>
      </c>
      <c r="J2" s="294"/>
      <c r="K2" s="294"/>
      <c r="L2" s="294"/>
      <c r="M2" s="294"/>
      <c r="N2" s="501"/>
    </row>
    <row r="3" spans="1:16" x14ac:dyDescent="0.2">
      <c r="B3" s="295"/>
      <c r="C3" s="295"/>
      <c r="D3" s="295"/>
      <c r="E3" s="295"/>
      <c r="F3" s="295"/>
      <c r="G3" s="502"/>
      <c r="H3" s="502"/>
      <c r="I3" s="294"/>
      <c r="J3" s="294"/>
      <c r="K3" s="294"/>
      <c r="L3" s="294"/>
      <c r="M3" s="294"/>
      <c r="N3" s="501"/>
    </row>
    <row r="4" spans="1:16" x14ac:dyDescent="0.2">
      <c r="B4" s="503"/>
      <c r="C4" s="502"/>
      <c r="D4" s="502"/>
      <c r="E4" s="502"/>
      <c r="F4" s="502"/>
      <c r="G4" s="503"/>
      <c r="H4" s="503"/>
      <c r="J4" s="501"/>
      <c r="K4" s="501"/>
      <c r="L4" s="501"/>
      <c r="M4" s="501"/>
    </row>
    <row r="5" spans="1:16" x14ac:dyDescent="0.2">
      <c r="B5" s="504" t="s">
        <v>867</v>
      </c>
      <c r="C5" s="505">
        <v>2021</v>
      </c>
      <c r="D5" s="505">
        <v>2022</v>
      </c>
      <c r="E5" s="303"/>
      <c r="F5" s="451" t="s">
        <v>11</v>
      </c>
      <c r="I5" s="504" t="s">
        <v>867</v>
      </c>
      <c r="J5" s="505">
        <v>2021</v>
      </c>
      <c r="K5" s="505">
        <v>2022</v>
      </c>
      <c r="L5" s="303"/>
      <c r="M5" s="451" t="s">
        <v>11</v>
      </c>
    </row>
    <row r="6" spans="1:16" x14ac:dyDescent="0.2">
      <c r="B6" s="506" t="str">
        <f>+UPPER(B44)</f>
        <v>NOS LUSOMUNDO AUDIOVISUAIS</v>
      </c>
      <c r="C6" s="507">
        <v>103433.95</v>
      </c>
      <c r="D6" s="508">
        <v>717526.35999999801</v>
      </c>
      <c r="E6" s="509" t="str">
        <f>IF(F6&lt;0,"q",IF(OR(F6="-",F6=0),"","p"))</f>
        <v>p</v>
      </c>
      <c r="F6" s="510">
        <f t="shared" ref="F6:F16" si="0">IF(OR(C6="",D6=""),"-",SUM(D6-C6)/C6)</f>
        <v>5.9370488123096727</v>
      </c>
      <c r="G6" s="511"/>
      <c r="I6" s="506" t="str">
        <f>+UPPER(I44)</f>
        <v>NOS LUSOMUNDO AUDIOVISUAIS</v>
      </c>
      <c r="J6" s="512">
        <v>18446</v>
      </c>
      <c r="K6" s="512">
        <v>130482</v>
      </c>
      <c r="L6" s="509" t="str">
        <f>IF(M6&lt;0,"q",IF(OR(M6="-",M6=0),"","p"))</f>
        <v>p</v>
      </c>
      <c r="M6" s="510">
        <f t="shared" ref="M6:M16" si="1">IF(OR(J6="",K6=""),"-",SUM(K6-J6)/J6)</f>
        <v>6.0737287216740761</v>
      </c>
      <c r="N6" s="513"/>
      <c r="O6" s="511"/>
    </row>
    <row r="7" spans="1:16" x14ac:dyDescent="0.2">
      <c r="B7" s="506" t="str">
        <f t="shared" ref="B7:B12" si="2">+UPPER(B45)</f>
        <v>CINEMUNDO</v>
      </c>
      <c r="C7" s="514">
        <v>4704.63</v>
      </c>
      <c r="D7" s="515">
        <v>309178.08000000101</v>
      </c>
      <c r="E7" s="516" t="str">
        <f t="shared" ref="E7:E16" si="3">IF(F7&lt;0,"q",IF(OR(F7="-",F7=0),"","p"))</f>
        <v>p</v>
      </c>
      <c r="F7" s="517">
        <f>IF(OR(C7="",D7=""),"-",SUM(D7-C7)/C7)</f>
        <v>64.717831157817088</v>
      </c>
      <c r="G7" s="511"/>
      <c r="I7" s="506" t="str">
        <f>+UPPER(I45)</f>
        <v>CINEMUNDO</v>
      </c>
      <c r="J7" s="518">
        <v>959</v>
      </c>
      <c r="K7" s="518">
        <v>56901</v>
      </c>
      <c r="L7" s="516" t="str">
        <f t="shared" ref="L7:L16" si="4">IF(M7&lt;0,"q",IF(OR(M7="-",M7=0),"","p"))</f>
        <v>p</v>
      </c>
      <c r="M7" s="517">
        <f>IF(OR(J7="",K7=""),"-",SUM(K7-J7)/J7)</f>
        <v>58.333680917622523</v>
      </c>
      <c r="N7" s="513"/>
      <c r="O7" s="511"/>
    </row>
    <row r="8" spans="1:16" x14ac:dyDescent="0.2">
      <c r="B8" s="506" t="str">
        <f t="shared" si="2"/>
        <v>PRIS AUDIOVISUAIS</v>
      </c>
      <c r="C8" s="514">
        <v>5584.82</v>
      </c>
      <c r="D8" s="515">
        <v>90423.640000000101</v>
      </c>
      <c r="E8" s="516" t="str">
        <f t="shared" si="3"/>
        <v>p</v>
      </c>
      <c r="F8" s="517">
        <f t="shared" si="0"/>
        <v>15.19096765876073</v>
      </c>
      <c r="G8" s="511"/>
      <c r="I8" s="506" t="str">
        <f>+UPPER(I46)</f>
        <v>PRIS AUDIOVISUAIS</v>
      </c>
      <c r="J8" s="518">
        <v>999</v>
      </c>
      <c r="K8" s="518">
        <v>16185</v>
      </c>
      <c r="L8" s="516" t="str">
        <f t="shared" si="4"/>
        <v>p</v>
      </c>
      <c r="M8" s="517">
        <f t="shared" si="1"/>
        <v>15.201201201201201</v>
      </c>
      <c r="N8" s="513"/>
      <c r="O8" s="511"/>
      <c r="P8" s="511"/>
    </row>
    <row r="9" spans="1:16" x14ac:dyDescent="0.2">
      <c r="B9" s="506" t="str">
        <f t="shared" si="2"/>
        <v>OUTSIDER FILMS</v>
      </c>
      <c r="C9" s="514">
        <v>0</v>
      </c>
      <c r="D9" s="515">
        <v>24305.360000000001</v>
      </c>
      <c r="E9" s="516" t="str">
        <f t="shared" si="3"/>
        <v>p</v>
      </c>
      <c r="F9" s="517">
        <f>(D9-C9)/D9</f>
        <v>1</v>
      </c>
      <c r="G9" s="511"/>
      <c r="I9" s="506" t="str">
        <f>+UPPER(I47)</f>
        <v>FILMS4YOU</v>
      </c>
      <c r="J9" s="518">
        <v>1889</v>
      </c>
      <c r="K9" s="518">
        <v>5091</v>
      </c>
      <c r="L9" s="516" t="str">
        <f t="shared" si="4"/>
        <v>p</v>
      </c>
      <c r="M9" s="517">
        <f t="shared" si="1"/>
        <v>1.695076760190577</v>
      </c>
      <c r="N9" s="513"/>
      <c r="O9" s="511"/>
      <c r="P9" s="511"/>
    </row>
    <row r="10" spans="1:16" x14ac:dyDescent="0.2">
      <c r="B10" s="506" t="str">
        <f t="shared" si="2"/>
        <v>FILMS4YOU</v>
      </c>
      <c r="C10" s="514">
        <v>10074.83</v>
      </c>
      <c r="D10" s="515">
        <v>23007.61</v>
      </c>
      <c r="E10" s="516" t="str">
        <f>IF(F10&lt;0,"q",IF(OR(F10="-",F10=0),"","p"))</f>
        <v>p</v>
      </c>
      <c r="F10" s="517">
        <f>IF(OR(C10=0,D10=0),"-",SUM(D10-C10)/C10)</f>
        <v>1.2836722803263183</v>
      </c>
      <c r="G10" s="511"/>
      <c r="I10" s="506" t="str">
        <f t="shared" ref="I10:I13" si="5">+UPPER(I48)</f>
        <v>OUTSIDER FILMS</v>
      </c>
      <c r="J10" s="518">
        <v>0</v>
      </c>
      <c r="K10" s="518">
        <v>4571</v>
      </c>
      <c r="L10" s="516" t="str">
        <f>IF(M10&lt;0,"q",IF(OR(M10="-",M10=0),"","p"))</f>
        <v>p</v>
      </c>
      <c r="M10" s="517">
        <f>(K10-J10)/K10</f>
        <v>1</v>
      </c>
      <c r="N10" s="513"/>
      <c r="O10" s="511"/>
    </row>
    <row r="11" spans="1:16" x14ac:dyDescent="0.2">
      <c r="B11" s="506" t="str">
        <f>+UPPER(B49)</f>
        <v>LEOPARDO FILMES</v>
      </c>
      <c r="C11" s="514">
        <v>11834.18</v>
      </c>
      <c r="D11" s="515">
        <v>11393.86</v>
      </c>
      <c r="E11" s="516" t="str">
        <f t="shared" si="3"/>
        <v>q</v>
      </c>
      <c r="F11" s="517">
        <f t="shared" si="0"/>
        <v>-3.7207478676173564E-2</v>
      </c>
      <c r="G11" s="511"/>
      <c r="I11" s="506" t="str">
        <f t="shared" si="5"/>
        <v>LEOPARDO FILMES</v>
      </c>
      <c r="J11" s="518">
        <v>2448</v>
      </c>
      <c r="K11" s="518">
        <v>2409</v>
      </c>
      <c r="L11" s="516" t="str">
        <f>IF(M11&lt;0,"q",IF(OR(M11="-",M11=0),"","p"))</f>
        <v>q</v>
      </c>
      <c r="M11" s="517">
        <f>IF(OR(J11=0,K11=0),"-",SUM(K11-J11)/J11)</f>
        <v>-1.5931372549019607E-2</v>
      </c>
      <c r="N11" s="513"/>
      <c r="O11" s="511"/>
      <c r="P11" s="511"/>
    </row>
    <row r="12" spans="1:16" x14ac:dyDescent="0.2">
      <c r="B12" s="506" t="str">
        <f t="shared" si="2"/>
        <v>MIDAS FILMES</v>
      </c>
      <c r="C12" s="514">
        <v>5644.5</v>
      </c>
      <c r="D12" s="515">
        <v>5906.25</v>
      </c>
      <c r="E12" s="516" t="str">
        <f t="shared" si="3"/>
        <v>p</v>
      </c>
      <c r="F12" s="517">
        <f t="shared" si="0"/>
        <v>4.6372575073079993E-2</v>
      </c>
      <c r="G12" s="511"/>
      <c r="I12" s="506" t="str">
        <f t="shared" si="5"/>
        <v>MIDAS FILMES</v>
      </c>
      <c r="J12" s="518">
        <v>1127</v>
      </c>
      <c r="K12" s="518">
        <v>1265</v>
      </c>
      <c r="L12" s="516" t="str">
        <f>IF(M12&lt;0,"q",IF(OR(M12="-",M12=0),"","p"))</f>
        <v>p</v>
      </c>
      <c r="M12" s="517">
        <f>IF(OR(J12="",K12=""),"-",SUM(K12-J12)/J12)</f>
        <v>0.12244897959183673</v>
      </c>
      <c r="N12" s="513"/>
      <c r="O12" s="511"/>
      <c r="P12" s="511"/>
    </row>
    <row r="13" spans="1:16" x14ac:dyDescent="0.2">
      <c r="B13" s="506" t="str">
        <f>+UPPER(B51)</f>
        <v>NITRATO FILMES</v>
      </c>
      <c r="C13" s="519">
        <v>326</v>
      </c>
      <c r="D13" s="520">
        <v>5041.1099999999997</v>
      </c>
      <c r="E13" s="516" t="str">
        <f t="shared" si="3"/>
        <v>p</v>
      </c>
      <c r="F13" s="517">
        <f t="shared" si="0"/>
        <v>14.463527607361963</v>
      </c>
      <c r="G13" s="511"/>
      <c r="H13" s="521"/>
      <c r="I13" s="506" t="str">
        <f t="shared" si="5"/>
        <v>NITRATO FILMES</v>
      </c>
      <c r="J13" s="518">
        <v>70</v>
      </c>
      <c r="K13" s="518">
        <v>951</v>
      </c>
      <c r="L13" s="516" t="str">
        <f t="shared" si="4"/>
        <v>p</v>
      </c>
      <c r="M13" s="517">
        <f>IF(OR(J13="",K13=""),"-",SUM(K13-J13)/J13)</f>
        <v>12.585714285714285</v>
      </c>
      <c r="N13" s="513"/>
      <c r="O13" s="511"/>
    </row>
    <row r="14" spans="1:16" x14ac:dyDescent="0.2">
      <c r="B14" s="506" t="str">
        <f>+UPPER(B52)</f>
        <v>ALAMBIQUE</v>
      </c>
      <c r="C14" s="514">
        <v>230.59</v>
      </c>
      <c r="D14" s="515">
        <v>3077.38</v>
      </c>
      <c r="E14" s="516" t="str">
        <f t="shared" si="3"/>
        <v>p</v>
      </c>
      <c r="F14" s="517">
        <f t="shared" si="0"/>
        <v>12.345678476950431</v>
      </c>
      <c r="G14" s="511"/>
      <c r="H14" s="521"/>
      <c r="I14" s="506" t="str">
        <f>+UPPER(I52)</f>
        <v>ALAMBIQUE</v>
      </c>
      <c r="J14" s="518">
        <v>96</v>
      </c>
      <c r="K14" s="518">
        <v>902</v>
      </c>
      <c r="L14" s="516" t="str">
        <f t="shared" si="4"/>
        <v>p</v>
      </c>
      <c r="M14" s="517">
        <f>IF(OR(J14="",K14=""),"-",SUM(K14-J14)/J14)</f>
        <v>8.3958333333333339</v>
      </c>
      <c r="N14" s="513"/>
      <c r="O14" s="511"/>
    </row>
    <row r="15" spans="1:16" x14ac:dyDescent="0.2">
      <c r="B15" s="522" t="s">
        <v>875</v>
      </c>
      <c r="C15" s="519">
        <v>1889.1599999999999</v>
      </c>
      <c r="D15" s="520">
        <v>847058.44999999797</v>
      </c>
      <c r="E15" s="523" t="str">
        <f t="shared" si="3"/>
        <v>p</v>
      </c>
      <c r="F15" s="524">
        <f t="shared" ref="F15" si="6">IF(OR(C15="",D15=""),"-",SUM(D15-C15)/C15)</f>
        <v>447.37835334222513</v>
      </c>
      <c r="G15" s="511"/>
      <c r="H15" s="521"/>
      <c r="I15" s="522" t="s">
        <v>875</v>
      </c>
      <c r="J15" s="525">
        <v>509</v>
      </c>
      <c r="K15" s="525">
        <v>144452</v>
      </c>
      <c r="L15" s="523" t="str">
        <f t="shared" si="4"/>
        <v>p</v>
      </c>
      <c r="M15" s="524">
        <f t="shared" si="1"/>
        <v>282.79567779960706</v>
      </c>
      <c r="N15" s="513"/>
      <c r="O15" s="511"/>
    </row>
    <row r="16" spans="1:16" x14ac:dyDescent="0.2">
      <c r="B16" s="526" t="s">
        <v>12</v>
      </c>
      <c r="C16" s="527">
        <f>SUM(C6:C15)</f>
        <v>143722.66</v>
      </c>
      <c r="D16" s="527">
        <f>SUM(D6:D15)</f>
        <v>2036918.0999999973</v>
      </c>
      <c r="E16" s="528" t="str">
        <f t="shared" si="3"/>
        <v>p</v>
      </c>
      <c r="F16" s="529">
        <f t="shared" si="0"/>
        <v>13.172560541253532</v>
      </c>
      <c r="G16" s="511"/>
      <c r="I16" s="526" t="s">
        <v>12</v>
      </c>
      <c r="J16" s="530">
        <f>SUM(J6:J15)</f>
        <v>26543</v>
      </c>
      <c r="K16" s="530">
        <f>SUM(K6:K15)</f>
        <v>363209</v>
      </c>
      <c r="L16" s="528" t="str">
        <f t="shared" si="4"/>
        <v>p</v>
      </c>
      <c r="M16" s="529">
        <f t="shared" si="1"/>
        <v>12.683796104434315</v>
      </c>
      <c r="N16" s="513"/>
      <c r="O16" s="511"/>
    </row>
    <row r="17" spans="2:15" x14ac:dyDescent="0.2">
      <c r="C17" s="531"/>
      <c r="G17" s="511"/>
      <c r="H17" s="511"/>
      <c r="O17" s="511"/>
    </row>
    <row r="18" spans="2:15" x14ac:dyDescent="0.2">
      <c r="C18" s="521"/>
      <c r="D18" s="532"/>
      <c r="F18" s="511"/>
      <c r="G18" s="521"/>
      <c r="I18" s="472"/>
      <c r="J18" s="472">
        <v>26543</v>
      </c>
      <c r="K18" s="472"/>
      <c r="O18" s="511"/>
    </row>
    <row r="19" spans="2:15" x14ac:dyDescent="0.2">
      <c r="B19" s="533"/>
      <c r="C19" s="521"/>
      <c r="J19" s="472">
        <f>+J16-J18</f>
        <v>0</v>
      </c>
      <c r="K19" s="472"/>
      <c r="O19" s="511"/>
    </row>
    <row r="20" spans="2:15" x14ac:dyDescent="0.2">
      <c r="C20" s="521"/>
      <c r="J20" s="472">
        <f>+J15-J19</f>
        <v>509</v>
      </c>
      <c r="K20" s="472"/>
    </row>
    <row r="26" spans="2:15" x14ac:dyDescent="0.2">
      <c r="K26" s="472"/>
    </row>
    <row r="28" spans="2:15" x14ac:dyDescent="0.2">
      <c r="F28" s="534"/>
    </row>
    <row r="30" spans="2:15" x14ac:dyDescent="0.2">
      <c r="D30" s="535"/>
      <c r="J30" s="511"/>
    </row>
    <row r="31" spans="2:15" x14ac:dyDescent="0.2">
      <c r="D31" s="535"/>
      <c r="J31" s="511"/>
    </row>
    <row r="32" spans="2:15" x14ac:dyDescent="0.2">
      <c r="D32" s="535"/>
      <c r="K32" s="535"/>
    </row>
    <row r="33" spans="1:11" x14ac:dyDescent="0.2">
      <c r="D33" s="535"/>
      <c r="K33" s="535"/>
    </row>
    <row r="34" spans="1:11" hidden="1" x14ac:dyDescent="0.2">
      <c r="D34" s="535"/>
      <c r="K34" s="535"/>
    </row>
    <row r="35" spans="1:11" hidden="1" x14ac:dyDescent="0.2">
      <c r="D35" s="535"/>
      <c r="K35" s="535"/>
    </row>
    <row r="36" spans="1:11" hidden="1" x14ac:dyDescent="0.2">
      <c r="D36" s="535"/>
      <c r="K36" s="535"/>
    </row>
    <row r="37" spans="1:11" hidden="1" x14ac:dyDescent="0.2"/>
    <row r="38" spans="1:11" hidden="1" x14ac:dyDescent="0.2"/>
    <row r="39" spans="1:11" hidden="1" x14ac:dyDescent="0.2"/>
    <row r="40" spans="1:11" hidden="1" x14ac:dyDescent="0.2"/>
    <row r="41" spans="1:11" hidden="1" x14ac:dyDescent="0.2">
      <c r="C41" s="536"/>
      <c r="D41" s="511"/>
      <c r="J41" s="536" t="s">
        <v>910</v>
      </c>
      <c r="K41" s="511"/>
    </row>
    <row r="42" spans="1:11" hidden="1" x14ac:dyDescent="0.2">
      <c r="A42" s="497" t="s">
        <v>774</v>
      </c>
    </row>
    <row r="43" spans="1:11" hidden="1" x14ac:dyDescent="0.2">
      <c r="B43" s="413" t="s">
        <v>852</v>
      </c>
      <c r="C43" s="537">
        <v>2020</v>
      </c>
      <c r="D43" s="537">
        <v>2021</v>
      </c>
      <c r="I43" s="413" t="s">
        <v>852</v>
      </c>
      <c r="J43" s="537" t="s">
        <v>1009</v>
      </c>
      <c r="K43" s="537" t="s">
        <v>1010</v>
      </c>
    </row>
    <row r="44" spans="1:11" hidden="1" x14ac:dyDescent="0.2">
      <c r="B44" s="538" t="s">
        <v>757</v>
      </c>
      <c r="C44" s="514">
        <v>10414192.039999399</v>
      </c>
      <c r="D44" s="515">
        <v>15466472.889999401</v>
      </c>
      <c r="I44" s="538" t="s">
        <v>757</v>
      </c>
      <c r="J44" s="518">
        <v>18446</v>
      </c>
      <c r="K44" s="518">
        <v>130482</v>
      </c>
    </row>
    <row r="45" spans="1:11" hidden="1" x14ac:dyDescent="0.2">
      <c r="B45" s="538" t="s">
        <v>776</v>
      </c>
      <c r="C45" s="514">
        <v>1922858.6400000299</v>
      </c>
      <c r="D45" s="515">
        <v>8554728.1499999594</v>
      </c>
      <c r="I45" s="538" t="s">
        <v>776</v>
      </c>
      <c r="J45" s="518">
        <v>959</v>
      </c>
      <c r="K45" s="518">
        <v>56901</v>
      </c>
    </row>
    <row r="46" spans="1:11" hidden="1" x14ac:dyDescent="0.2">
      <c r="B46" s="538" t="s">
        <v>771</v>
      </c>
      <c r="C46" s="514">
        <v>4680038.2899999199</v>
      </c>
      <c r="D46" s="515">
        <v>4866128.8200000301</v>
      </c>
      <c r="I46" s="538" t="s">
        <v>771</v>
      </c>
      <c r="J46" s="518">
        <v>999</v>
      </c>
      <c r="K46" s="518">
        <v>16185</v>
      </c>
    </row>
    <row r="47" spans="1:11" hidden="1" x14ac:dyDescent="0.2">
      <c r="B47" s="538" t="s">
        <v>936</v>
      </c>
      <c r="C47" s="514">
        <v>1486454.98000001</v>
      </c>
      <c r="D47" s="515">
        <v>794126.029999992</v>
      </c>
      <c r="I47" s="538" t="s">
        <v>929</v>
      </c>
      <c r="J47" s="518">
        <v>1889</v>
      </c>
      <c r="K47" s="518">
        <v>5091</v>
      </c>
    </row>
    <row r="48" spans="1:11" hidden="1" x14ac:dyDescent="0.2">
      <c r="B48" s="522" t="s">
        <v>929</v>
      </c>
      <c r="C48" s="514">
        <v>240962.31</v>
      </c>
      <c r="D48" s="515">
        <v>193160.81000000099</v>
      </c>
      <c r="I48" s="538" t="s">
        <v>936</v>
      </c>
      <c r="J48" s="518">
        <v>0</v>
      </c>
      <c r="K48" s="518">
        <v>4571</v>
      </c>
    </row>
    <row r="49" spans="2:11" hidden="1" x14ac:dyDescent="0.2">
      <c r="B49" s="538" t="s">
        <v>778</v>
      </c>
      <c r="C49" s="514">
        <v>128605.86</v>
      </c>
      <c r="D49" s="515">
        <v>152566.87</v>
      </c>
      <c r="I49" s="522" t="s">
        <v>778</v>
      </c>
      <c r="J49" s="518">
        <v>2448</v>
      </c>
      <c r="K49" s="518">
        <v>2409</v>
      </c>
    </row>
    <row r="50" spans="2:11" hidden="1" x14ac:dyDescent="0.2">
      <c r="B50" s="538" t="s">
        <v>777</v>
      </c>
      <c r="C50" s="514">
        <v>252785.90999999901</v>
      </c>
      <c r="D50" s="515">
        <v>120779.2</v>
      </c>
      <c r="I50" s="538" t="s">
        <v>777</v>
      </c>
      <c r="J50" s="518">
        <v>1127</v>
      </c>
      <c r="K50" s="518">
        <v>1265</v>
      </c>
    </row>
    <row r="51" spans="2:11" hidden="1" x14ac:dyDescent="0.2">
      <c r="B51" s="538" t="s">
        <v>931</v>
      </c>
      <c r="C51" s="519">
        <v>279587.78000000003</v>
      </c>
      <c r="D51" s="520">
        <v>106805.17</v>
      </c>
      <c r="I51" s="522" t="s">
        <v>931</v>
      </c>
      <c r="J51" s="518">
        <v>70</v>
      </c>
      <c r="K51" s="518">
        <v>951</v>
      </c>
    </row>
    <row r="52" spans="2:11" hidden="1" x14ac:dyDescent="0.2">
      <c r="B52" s="522" t="s">
        <v>921</v>
      </c>
      <c r="C52" s="514">
        <v>627787.09000000102</v>
      </c>
      <c r="D52" s="515">
        <v>63349.5</v>
      </c>
      <c r="I52" s="538" t="s">
        <v>921</v>
      </c>
      <c r="J52" s="518">
        <v>96</v>
      </c>
      <c r="K52" s="518">
        <v>902</v>
      </c>
    </row>
    <row r="53" spans="2:11" hidden="1" x14ac:dyDescent="0.2">
      <c r="B53" s="522" t="s">
        <v>811</v>
      </c>
      <c r="C53" s="519">
        <v>534142.18999999983</v>
      </c>
      <c r="D53" s="520">
        <v>271038.7300000001</v>
      </c>
      <c r="I53" s="539" t="s">
        <v>811</v>
      </c>
      <c r="J53" s="518">
        <v>641</v>
      </c>
      <c r="K53" s="518">
        <v>144452</v>
      </c>
    </row>
    <row r="54" spans="2:11" hidden="1" x14ac:dyDescent="0.2">
      <c r="C54" s="540"/>
    </row>
    <row r="55" spans="2:11" hidden="1" x14ac:dyDescent="0.2">
      <c r="I55" s="472"/>
      <c r="J55" s="472"/>
    </row>
    <row r="56" spans="2:11" hidden="1" x14ac:dyDescent="0.2">
      <c r="C56" s="521"/>
    </row>
    <row r="57" spans="2:11" x14ac:dyDescent="0.2">
      <c r="C57" s="521"/>
    </row>
    <row r="59" spans="2:11" x14ac:dyDescent="0.2">
      <c r="C59" s="521"/>
    </row>
  </sheetData>
  <sheetProtection algorithmName="SHA-512" hashValue="IuBjmkEDFFYUvTErFpkP9J2wQRGtKhpayXsuPYFekXN/N5VkyJB0Vnd5FC8Ah1KGtYtH4uwv4GZNOi3Nb+ggag==" saltValue="NJOxnGMfCz8DUin0YGXWoA==" spinCount="100000" sheet="1" objects="1" scenarios="1"/>
  <sortState xmlns:xlrd2="http://schemas.microsoft.com/office/spreadsheetml/2017/richdata2" ref="B7:H18">
    <sortCondition descending="1" ref="G7:G18"/>
  </sortState>
  <mergeCells count="2">
    <mergeCell ref="B2:F3"/>
    <mergeCell ref="I2:M3"/>
  </mergeCells>
  <conditionalFormatting sqref="E6:E9 E11:E16 L6:L16">
    <cfRule type="expression" dxfId="229" priority="11">
      <formula>#REF!&gt;0</formula>
    </cfRule>
  </conditionalFormatting>
  <conditionalFormatting sqref="E6:E9 E11:E16 L6:L16">
    <cfRule type="expression" dxfId="228" priority="9">
      <formula>F6&gt;0</formula>
    </cfRule>
    <cfRule type="expression" dxfId="227" priority="10">
      <formula>F6&lt;0</formula>
    </cfRule>
  </conditionalFormatting>
  <conditionalFormatting sqref="D18">
    <cfRule type="expression" dxfId="226" priority="5">
      <formula>$E18&gt;0</formula>
    </cfRule>
  </conditionalFormatting>
  <conditionalFormatting sqref="D18">
    <cfRule type="expression" dxfId="225" priority="4">
      <formula>$E18&gt;0</formula>
    </cfRule>
  </conditionalFormatting>
  <conditionalFormatting sqref="E10">
    <cfRule type="expression" dxfId="224" priority="3">
      <formula>#REF!&gt;0</formula>
    </cfRule>
  </conditionalFormatting>
  <conditionalFormatting sqref="E10">
    <cfRule type="expression" dxfId="223" priority="1">
      <formula>F10&gt;0</formula>
    </cfRule>
    <cfRule type="expression" dxfId="222" priority="2">
      <formula>F10&lt;0</formula>
    </cfRule>
  </conditionalFormatting>
  <printOptions horizontalCentered="1" verticalCentered="1"/>
  <pageMargins left="0.19685039370078741" right="0.19685039370078741" top="0.59055118110236227" bottom="0.39370078740157483" header="0.19685039370078741" footer="0.19685039370078741"/>
  <pageSetup paperSize="9" scale="95" firstPageNumber="6" orientation="portrait" useFirstPageNumber="1" r:id="rId1"/>
  <headerFooter>
    <oddHeader>&amp;L&amp;G</oddHeader>
    <oddFooter>&amp;C&amp;"-,Normal"&amp;8DIVISÃO DE ESTUDOS E ESTATÍSTICA - 2012 - RESEARCH AND STATISTICS DIVISION&amp;R&amp;"-,Normal"&amp;8 6</oddFooter>
  </headerFooter>
  <drawing r:id="rId2"/>
  <legacyDrawingHF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0">
    <tabColor theme="5" tint="-0.499984740745262"/>
  </sheetPr>
  <dimension ref="A1:V54"/>
  <sheetViews>
    <sheetView showGridLines="0" zoomScale="112" zoomScaleNormal="112" zoomScaleSheetLayoutView="55" workbookViewId="0">
      <selection activeCell="B2" sqref="B2:F2"/>
    </sheetView>
  </sheetViews>
  <sheetFormatPr defaultColWidth="9.140625" defaultRowHeight="12.75" zeroHeight="1" x14ac:dyDescent="0.2"/>
  <cols>
    <col min="1" max="1" width="22.85546875" style="443" customWidth="1"/>
    <col min="2" max="2" width="40.7109375" style="443" customWidth="1"/>
    <col min="3" max="3" width="18.7109375" style="443" customWidth="1"/>
    <col min="4" max="4" width="8.7109375" style="443" customWidth="1"/>
    <col min="5" max="5" width="18.7109375" style="443" customWidth="1"/>
    <col min="6" max="6" width="8.7109375" style="443" customWidth="1"/>
    <col min="7" max="7" width="7.140625" style="443" customWidth="1"/>
    <col min="8" max="8" width="12.7109375" style="443" customWidth="1"/>
    <col min="9" max="9" width="0.5703125" style="503" customWidth="1"/>
    <col min="10" max="10" width="40.7109375" style="503" customWidth="1"/>
    <col min="11" max="11" width="18.7109375" style="503" customWidth="1"/>
    <col min="12" max="12" width="8.7109375" style="503" customWidth="1"/>
    <col min="13" max="13" width="18.7109375" style="503" customWidth="1"/>
    <col min="14" max="14" width="8.7109375" style="503" customWidth="1"/>
    <col min="15" max="15" width="3.7109375" style="503" customWidth="1"/>
    <col min="16" max="16" width="9.140625" style="503"/>
    <col min="17" max="20" width="18.42578125" style="503" customWidth="1"/>
    <col min="21" max="22" width="8.140625" style="503" customWidth="1"/>
    <col min="23" max="16384" width="9.140625" style="503"/>
  </cols>
  <sheetData>
    <row r="1" spans="1:22" s="443" customFormat="1" x14ac:dyDescent="0.2">
      <c r="H1" s="541"/>
    </row>
    <row r="2" spans="1:22" s="443" customFormat="1" ht="33.75" customHeight="1" x14ac:dyDescent="0.5">
      <c r="A2" s="542"/>
      <c r="B2" s="294" t="s">
        <v>971</v>
      </c>
      <c r="C2" s="445"/>
      <c r="D2" s="445"/>
      <c r="E2" s="445"/>
      <c r="F2" s="445"/>
      <c r="G2" s="543"/>
      <c r="H2" s="541"/>
      <c r="I2" s="444"/>
      <c r="J2" s="294" t="s">
        <v>970</v>
      </c>
      <c r="K2" s="445"/>
      <c r="L2" s="445"/>
      <c r="M2" s="445"/>
      <c r="N2" s="445"/>
    </row>
    <row r="3" spans="1:22" s="446" customFormat="1" ht="12" x14ac:dyDescent="0.2">
      <c r="B3" s="544"/>
      <c r="C3" s="545"/>
      <c r="D3" s="545"/>
      <c r="E3" s="545"/>
      <c r="F3" s="545"/>
      <c r="G3" s="544"/>
      <c r="H3" s="541"/>
      <c r="J3" s="544"/>
      <c r="K3" s="545"/>
      <c r="L3" s="545"/>
      <c r="M3" s="545"/>
      <c r="N3" s="545"/>
    </row>
    <row r="4" spans="1:22" s="443" customFormat="1" ht="30.75" x14ac:dyDescent="0.45">
      <c r="A4" s="546"/>
      <c r="B4" s="378" t="s">
        <v>861</v>
      </c>
      <c r="C4" s="547" t="s">
        <v>888</v>
      </c>
      <c r="D4" s="379" t="s">
        <v>870</v>
      </c>
      <c r="E4" s="379" t="s">
        <v>889</v>
      </c>
      <c r="F4" s="379" t="s">
        <v>870</v>
      </c>
      <c r="H4" s="541"/>
      <c r="J4" s="378" t="s">
        <v>861</v>
      </c>
      <c r="K4" s="382" t="s">
        <v>865</v>
      </c>
      <c r="L4" s="379" t="s">
        <v>870</v>
      </c>
      <c r="M4" s="381" t="s">
        <v>864</v>
      </c>
      <c r="N4" s="379" t="s">
        <v>870</v>
      </c>
      <c r="V4" s="548"/>
    </row>
    <row r="5" spans="1:22" s="443" customFormat="1" ht="23.25" x14ac:dyDescent="0.35">
      <c r="A5" s="549"/>
      <c r="B5" s="550" t="s">
        <v>919</v>
      </c>
      <c r="C5" s="551">
        <v>18</v>
      </c>
      <c r="D5" s="552">
        <f>C5/$C$15</f>
        <v>0.66666666666666663</v>
      </c>
      <c r="E5" s="553">
        <v>63</v>
      </c>
      <c r="F5" s="552">
        <f>E5/$E$15</f>
        <v>0.52500000000000002</v>
      </c>
      <c r="H5" s="541"/>
      <c r="J5" s="550" t="s">
        <v>919</v>
      </c>
      <c r="K5" s="554">
        <v>245988.75</v>
      </c>
      <c r="L5" s="552">
        <f t="shared" ref="L5:L14" si="0">K5/K$15</f>
        <v>0.12076516478497601</v>
      </c>
      <c r="M5" s="555">
        <v>46378</v>
      </c>
      <c r="N5" s="552">
        <f t="shared" ref="N5:N13" si="1">M5/M$15</f>
        <v>0.12768956716380928</v>
      </c>
    </row>
    <row r="6" spans="1:22" s="443" customFormat="1" x14ac:dyDescent="0.2">
      <c r="B6" s="556" t="s">
        <v>26</v>
      </c>
      <c r="C6" s="557">
        <v>2</v>
      </c>
      <c r="D6" s="558">
        <f t="shared" ref="D6:D14" si="2">C6/$C$15</f>
        <v>7.407407407407407E-2</v>
      </c>
      <c r="E6" s="376">
        <v>18</v>
      </c>
      <c r="F6" s="558">
        <f t="shared" ref="F6:F14" si="3">E6/$E$15</f>
        <v>0.15</v>
      </c>
      <c r="H6" s="541"/>
      <c r="J6" s="556" t="s">
        <v>26</v>
      </c>
      <c r="K6" s="559">
        <v>23828.2</v>
      </c>
      <c r="L6" s="558">
        <f t="shared" si="0"/>
        <v>1.1698163023834893E-2</v>
      </c>
      <c r="M6" s="560">
        <v>4462</v>
      </c>
      <c r="N6" s="558">
        <f t="shared" si="1"/>
        <v>1.228493787323552E-2</v>
      </c>
      <c r="V6" s="548"/>
    </row>
    <row r="7" spans="1:22" s="443" customFormat="1" x14ac:dyDescent="0.2">
      <c r="B7" s="556" t="s">
        <v>911</v>
      </c>
      <c r="C7" s="557">
        <v>9</v>
      </c>
      <c r="D7" s="558">
        <f t="shared" si="2"/>
        <v>0.33333333333333331</v>
      </c>
      <c r="E7" s="376">
        <v>22</v>
      </c>
      <c r="F7" s="558">
        <f t="shared" si="3"/>
        <v>0.18333333333333332</v>
      </c>
      <c r="H7" s="541"/>
      <c r="J7" s="556" t="s">
        <v>911</v>
      </c>
      <c r="K7" s="559">
        <v>150915.35999999999</v>
      </c>
      <c r="L7" s="558">
        <f t="shared" si="0"/>
        <v>7.4090048097662897E-2</v>
      </c>
      <c r="M7" s="560">
        <v>27982</v>
      </c>
      <c r="N7" s="558">
        <f t="shared" si="1"/>
        <v>7.7041042485180705E-2</v>
      </c>
    </row>
    <row r="8" spans="1:22" s="443" customFormat="1" x14ac:dyDescent="0.2">
      <c r="B8" s="556" t="s">
        <v>912</v>
      </c>
      <c r="C8" s="557">
        <v>3</v>
      </c>
      <c r="D8" s="558">
        <f t="shared" si="2"/>
        <v>0.1111111111111111</v>
      </c>
      <c r="E8" s="376">
        <v>15</v>
      </c>
      <c r="F8" s="558">
        <f t="shared" si="3"/>
        <v>0.125</v>
      </c>
      <c r="H8" s="541"/>
      <c r="J8" s="556" t="s">
        <v>912</v>
      </c>
      <c r="K8" s="559">
        <v>54815.040000000001</v>
      </c>
      <c r="L8" s="558">
        <f t="shared" si="0"/>
        <v>2.6910772701170486E-2</v>
      </c>
      <c r="M8" s="560">
        <v>10871</v>
      </c>
      <c r="N8" s="558">
        <f t="shared" si="1"/>
        <v>2.9930425732842523E-2</v>
      </c>
    </row>
    <row r="9" spans="1:22" s="443" customFormat="1" x14ac:dyDescent="0.2">
      <c r="B9" s="556" t="s">
        <v>913</v>
      </c>
      <c r="C9" s="557">
        <v>4</v>
      </c>
      <c r="D9" s="558">
        <f t="shared" si="2"/>
        <v>0.14814814814814814</v>
      </c>
      <c r="E9" s="376">
        <v>8</v>
      </c>
      <c r="F9" s="558">
        <f t="shared" si="3"/>
        <v>6.6666666666666666E-2</v>
      </c>
      <c r="H9" s="541"/>
      <c r="J9" s="556" t="s">
        <v>913</v>
      </c>
      <c r="K9" s="559">
        <v>16430.150000000001</v>
      </c>
      <c r="L9" s="558">
        <f t="shared" si="0"/>
        <v>8.0661809623077223E-3</v>
      </c>
      <c r="M9" s="560">
        <v>3063</v>
      </c>
      <c r="N9" s="558">
        <f t="shared" si="1"/>
        <v>8.4331610725505157E-3</v>
      </c>
    </row>
    <row r="10" spans="1:22" s="443" customFormat="1" ht="23.25" x14ac:dyDescent="0.35">
      <c r="A10" s="549"/>
      <c r="B10" s="550" t="s">
        <v>914</v>
      </c>
      <c r="C10" s="551">
        <v>1</v>
      </c>
      <c r="D10" s="552">
        <f t="shared" si="2"/>
        <v>3.7037037037037035E-2</v>
      </c>
      <c r="E10" s="553">
        <v>8</v>
      </c>
      <c r="F10" s="552">
        <f t="shared" si="3"/>
        <v>6.6666666666666666E-2</v>
      </c>
      <c r="H10" s="541"/>
      <c r="J10" s="550" t="s">
        <v>914</v>
      </c>
      <c r="K10" s="554">
        <v>963942.42999999796</v>
      </c>
      <c r="L10" s="552">
        <f t="shared" si="0"/>
        <v>0.47323573294380317</v>
      </c>
      <c r="M10" s="555">
        <v>165174</v>
      </c>
      <c r="N10" s="552">
        <f t="shared" si="1"/>
        <v>0.45476296016893852</v>
      </c>
    </row>
    <row r="11" spans="1:22" s="443" customFormat="1" ht="23.25" x14ac:dyDescent="0.35">
      <c r="A11" s="549"/>
      <c r="B11" s="550" t="s">
        <v>915</v>
      </c>
      <c r="C11" s="551">
        <v>7</v>
      </c>
      <c r="D11" s="552">
        <f t="shared" si="2"/>
        <v>0.25925925925925924</v>
      </c>
      <c r="E11" s="553">
        <v>39</v>
      </c>
      <c r="F11" s="552">
        <f t="shared" si="3"/>
        <v>0.32500000000000001</v>
      </c>
      <c r="H11" s="541"/>
      <c r="J11" s="550" t="s">
        <v>915</v>
      </c>
      <c r="K11" s="554">
        <v>817919.66</v>
      </c>
      <c r="L11" s="552">
        <f t="shared" si="0"/>
        <v>0.40154764199895954</v>
      </c>
      <c r="M11" s="555">
        <v>149581</v>
      </c>
      <c r="N11" s="552">
        <f t="shared" si="1"/>
        <v>0.41183175527038152</v>
      </c>
    </row>
    <row r="12" spans="1:22" s="443" customFormat="1" x14ac:dyDescent="0.2">
      <c r="B12" s="556" t="s">
        <v>916</v>
      </c>
      <c r="C12" s="374">
        <v>3</v>
      </c>
      <c r="D12" s="558">
        <f t="shared" si="2"/>
        <v>0.1111111111111111</v>
      </c>
      <c r="E12" s="376">
        <v>23</v>
      </c>
      <c r="F12" s="558">
        <f t="shared" si="3"/>
        <v>0.19166666666666668</v>
      </c>
      <c r="H12" s="541"/>
      <c r="J12" s="556" t="s">
        <v>916</v>
      </c>
      <c r="K12" s="559">
        <v>499496.98</v>
      </c>
      <c r="L12" s="558">
        <f t="shared" si="0"/>
        <v>0.24522192620312053</v>
      </c>
      <c r="M12" s="560">
        <v>89186</v>
      </c>
      <c r="N12" s="558">
        <f t="shared" si="1"/>
        <v>0.245550082734734</v>
      </c>
    </row>
    <row r="13" spans="1:22" s="443" customFormat="1" x14ac:dyDescent="0.2">
      <c r="B13" s="556" t="s">
        <v>917</v>
      </c>
      <c r="C13" s="374">
        <v>4</v>
      </c>
      <c r="D13" s="558">
        <f t="shared" si="2"/>
        <v>0.14814814814814814</v>
      </c>
      <c r="E13" s="376">
        <v>16</v>
      </c>
      <c r="F13" s="558">
        <f t="shared" si="3"/>
        <v>0.13333333333333333</v>
      </c>
      <c r="H13" s="541"/>
      <c r="J13" s="556" t="s">
        <v>917</v>
      </c>
      <c r="K13" s="559">
        <v>318422.68</v>
      </c>
      <c r="L13" s="558">
        <f t="shared" si="0"/>
        <v>0.15632571579583898</v>
      </c>
      <c r="M13" s="560">
        <v>60395</v>
      </c>
      <c r="N13" s="558">
        <f t="shared" si="1"/>
        <v>0.16628167253564752</v>
      </c>
    </row>
    <row r="14" spans="1:22" s="443" customFormat="1" ht="23.25" x14ac:dyDescent="0.35">
      <c r="A14" s="549"/>
      <c r="B14" s="561" t="s">
        <v>918</v>
      </c>
      <c r="C14" s="374">
        <v>1</v>
      </c>
      <c r="D14" s="562">
        <f t="shared" si="2"/>
        <v>3.7037037037037035E-2</v>
      </c>
      <c r="E14" s="563">
        <v>10</v>
      </c>
      <c r="F14" s="562">
        <f t="shared" si="3"/>
        <v>8.3333333333333329E-2</v>
      </c>
      <c r="H14" s="541"/>
      <c r="J14" s="561" t="s">
        <v>918</v>
      </c>
      <c r="K14" s="554">
        <v>9067.26</v>
      </c>
      <c r="L14" s="552">
        <f t="shared" si="0"/>
        <v>4.4514602722613194E-3</v>
      </c>
      <c r="M14" s="555">
        <v>2076</v>
      </c>
      <c r="N14" s="552">
        <f>M14/M$15</f>
        <v>5.7157173968706721E-3</v>
      </c>
    </row>
    <row r="15" spans="1:22" s="443" customFormat="1" ht="20.25" x14ac:dyDescent="0.3">
      <c r="A15" s="564"/>
      <c r="B15" s="565" t="s">
        <v>12</v>
      </c>
      <c r="C15" s="565">
        <f>+C5+C10+C11+C14</f>
        <v>27</v>
      </c>
      <c r="D15" s="566"/>
      <c r="E15" s="567">
        <f>+E14+E11+E10+E5</f>
        <v>120</v>
      </c>
      <c r="F15" s="566"/>
      <c r="G15" s="511"/>
      <c r="H15" s="541"/>
      <c r="J15" s="565" t="s">
        <v>12</v>
      </c>
      <c r="K15" s="568">
        <f>+K14+K11+K10+K5</f>
        <v>2036918.099999998</v>
      </c>
      <c r="L15" s="566"/>
      <c r="M15" s="569">
        <f>+M14+M11+M10+M5</f>
        <v>363209</v>
      </c>
      <c r="N15" s="566"/>
    </row>
    <row r="16" spans="1:22" s="443" customFormat="1" ht="14.25" customHeight="1" x14ac:dyDescent="0.2">
      <c r="B16" s="475" t="s">
        <v>853</v>
      </c>
      <c r="C16" s="374"/>
      <c r="D16" s="558"/>
      <c r="E16" s="376"/>
      <c r="F16" s="558"/>
      <c r="G16" s="511"/>
      <c r="H16" s="541"/>
      <c r="J16" s="374"/>
      <c r="K16" s="559"/>
      <c r="L16" s="558"/>
      <c r="M16" s="560"/>
      <c r="N16" s="558"/>
    </row>
    <row r="17" spans="1:13" ht="14.25" customHeight="1" x14ac:dyDescent="0.2">
      <c r="B17" s="503"/>
      <c r="C17" s="570"/>
      <c r="D17" s="503"/>
      <c r="E17" s="503"/>
      <c r="F17" s="503"/>
      <c r="G17" s="503"/>
      <c r="H17" s="541"/>
      <c r="M17" s="571"/>
    </row>
    <row r="18" spans="1:13" ht="14.25" customHeight="1" x14ac:dyDescent="0.2">
      <c r="B18" s="503"/>
      <c r="C18" s="503"/>
      <c r="D18" s="503"/>
      <c r="E18" s="503"/>
      <c r="F18" s="503"/>
      <c r="G18" s="503"/>
      <c r="H18" s="541"/>
    </row>
    <row r="19" spans="1:13" ht="14.25" customHeight="1" x14ac:dyDescent="0.2">
      <c r="B19" s="503"/>
      <c r="C19" s="503"/>
      <c r="D19" s="503"/>
      <c r="E19" s="503"/>
      <c r="F19" s="503"/>
      <c r="G19" s="503"/>
      <c r="H19" s="541"/>
    </row>
    <row r="20" spans="1:13" x14ac:dyDescent="0.2">
      <c r="B20" s="503"/>
      <c r="C20" s="503"/>
      <c r="D20" s="503"/>
      <c r="E20" s="503"/>
      <c r="F20" s="503"/>
      <c r="G20" s="503"/>
      <c r="H20" s="541"/>
    </row>
    <row r="21" spans="1:13" x14ac:dyDescent="0.2">
      <c r="A21" s="503"/>
      <c r="B21" s="503"/>
      <c r="C21" s="503"/>
      <c r="D21" s="503"/>
      <c r="E21" s="503"/>
      <c r="F21" s="503"/>
      <c r="G21" s="503"/>
      <c r="H21" s="541"/>
    </row>
    <row r="22" spans="1:13" x14ac:dyDescent="0.2">
      <c r="A22" s="503"/>
      <c r="B22" s="503"/>
      <c r="C22" s="503"/>
      <c r="D22" s="503"/>
      <c r="E22" s="503"/>
      <c r="F22" s="503"/>
      <c r="G22" s="503"/>
      <c r="H22" s="541"/>
    </row>
    <row r="23" spans="1:13" x14ac:dyDescent="0.2">
      <c r="A23" s="503"/>
      <c r="B23" s="503"/>
      <c r="C23" s="503"/>
      <c r="D23" s="503"/>
      <c r="E23" s="503"/>
      <c r="F23" s="503"/>
      <c r="G23" s="503"/>
      <c r="H23" s="541"/>
    </row>
    <row r="24" spans="1:13" x14ac:dyDescent="0.2">
      <c r="A24" s="503"/>
      <c r="B24" s="503"/>
      <c r="C24" s="503"/>
      <c r="D24" s="503"/>
      <c r="E24" s="503"/>
      <c r="F24" s="503"/>
      <c r="G24" s="503"/>
      <c r="H24" s="541"/>
    </row>
    <row r="25" spans="1:13" x14ac:dyDescent="0.2">
      <c r="A25" s="503"/>
      <c r="B25" s="503"/>
      <c r="C25" s="503"/>
      <c r="D25" s="503"/>
      <c r="E25" s="503"/>
      <c r="F25" s="503"/>
      <c r="G25" s="503"/>
      <c r="H25" s="541"/>
    </row>
    <row r="26" spans="1:13" x14ac:dyDescent="0.2">
      <c r="A26" s="503"/>
      <c r="B26" s="503"/>
      <c r="C26" s="503"/>
      <c r="D26" s="503"/>
      <c r="E26" s="503"/>
      <c r="F26" s="503"/>
      <c r="G26" s="503"/>
      <c r="H26" s="541"/>
    </row>
    <row r="27" spans="1:13" x14ac:dyDescent="0.2">
      <c r="A27" s="503"/>
      <c r="B27" s="503"/>
      <c r="C27" s="503"/>
      <c r="D27" s="503"/>
      <c r="E27" s="503"/>
      <c r="F27" s="503"/>
      <c r="G27" s="503"/>
      <c r="H27" s="541"/>
    </row>
    <row r="28" spans="1:13" x14ac:dyDescent="0.2">
      <c r="A28" s="503"/>
      <c r="B28" s="503"/>
      <c r="C28" s="503"/>
      <c r="D28" s="503"/>
      <c r="E28" s="503"/>
      <c r="F28" s="503"/>
      <c r="G28" s="503"/>
      <c r="H28" s="541"/>
    </row>
    <row r="29" spans="1:13" x14ac:dyDescent="0.2">
      <c r="A29" s="503"/>
      <c r="B29" s="503"/>
      <c r="C29" s="503"/>
      <c r="D29" s="503"/>
      <c r="E29" s="503"/>
      <c r="F29" s="503"/>
      <c r="G29" s="503"/>
      <c r="H29" s="541"/>
    </row>
    <row r="30" spans="1:13" x14ac:dyDescent="0.2">
      <c r="A30" s="503"/>
      <c r="B30" s="503"/>
      <c r="C30" s="503"/>
      <c r="D30" s="503"/>
      <c r="E30" s="503"/>
      <c r="F30" s="503"/>
      <c r="G30" s="503"/>
      <c r="H30" s="541"/>
    </row>
    <row r="31" spans="1:13" x14ac:dyDescent="0.2">
      <c r="A31" s="503"/>
      <c r="B31" s="503"/>
      <c r="C31" s="503"/>
      <c r="D31" s="503"/>
      <c r="E31" s="503"/>
      <c r="F31" s="503"/>
      <c r="G31" s="503"/>
      <c r="H31" s="541"/>
    </row>
    <row r="32" spans="1:13" x14ac:dyDescent="0.2">
      <c r="A32" s="503"/>
      <c r="B32" s="503"/>
      <c r="C32" s="503"/>
      <c r="D32" s="503"/>
      <c r="E32" s="503"/>
      <c r="F32" s="503"/>
      <c r="G32" s="503"/>
      <c r="H32" s="541"/>
    </row>
    <row r="33" spans="1:8" x14ac:dyDescent="0.2">
      <c r="A33" s="503"/>
      <c r="B33" s="503"/>
      <c r="C33" s="503"/>
      <c r="D33" s="503"/>
      <c r="E33" s="503"/>
      <c r="F33" s="503"/>
      <c r="G33" s="503"/>
      <c r="H33" s="541"/>
    </row>
    <row r="34" spans="1:8" x14ac:dyDescent="0.2">
      <c r="A34" s="503"/>
      <c r="B34" s="503"/>
      <c r="C34" s="503"/>
      <c r="D34" s="503"/>
      <c r="E34" s="503"/>
      <c r="F34" s="503"/>
      <c r="G34" s="503"/>
      <c r="H34" s="541"/>
    </row>
    <row r="35" spans="1:8" x14ac:dyDescent="0.2">
      <c r="A35" s="503"/>
      <c r="B35" s="503"/>
      <c r="C35" s="503"/>
      <c r="D35" s="503"/>
      <c r="E35" s="503"/>
      <c r="F35" s="503"/>
      <c r="G35" s="503"/>
      <c r="H35" s="541"/>
    </row>
    <row r="36" spans="1:8" x14ac:dyDescent="0.2">
      <c r="A36" s="503"/>
      <c r="B36" s="503"/>
      <c r="C36" s="503"/>
      <c r="D36" s="503"/>
      <c r="E36" s="503"/>
      <c r="F36" s="503"/>
      <c r="G36" s="503"/>
      <c r="H36" s="541"/>
    </row>
    <row r="37" spans="1:8" x14ac:dyDescent="0.2">
      <c r="A37" s="503"/>
      <c r="B37" s="503"/>
      <c r="C37" s="503"/>
      <c r="D37" s="503"/>
      <c r="E37" s="503"/>
      <c r="F37" s="503"/>
      <c r="G37" s="503"/>
      <c r="H37" s="541"/>
    </row>
    <row r="38" spans="1:8" x14ac:dyDescent="0.2">
      <c r="A38" s="503"/>
      <c r="B38" s="503"/>
      <c r="C38" s="503"/>
      <c r="D38" s="503"/>
      <c r="E38" s="503"/>
      <c r="F38" s="503"/>
      <c r="G38" s="503"/>
      <c r="H38" s="541"/>
    </row>
    <row r="39" spans="1:8" x14ac:dyDescent="0.2">
      <c r="A39" s="503"/>
      <c r="B39" s="503"/>
      <c r="C39" s="503"/>
      <c r="D39" s="503"/>
      <c r="E39" s="503"/>
      <c r="F39" s="503"/>
      <c r="G39" s="503"/>
      <c r="H39" s="541"/>
    </row>
    <row r="40" spans="1:8" x14ac:dyDescent="0.2">
      <c r="A40" s="503"/>
      <c r="B40" s="503"/>
      <c r="C40" s="503"/>
      <c r="D40" s="503"/>
      <c r="E40" s="503"/>
      <c r="F40" s="503"/>
      <c r="G40" s="503"/>
      <c r="H40" s="541"/>
    </row>
    <row r="41" spans="1:8" x14ac:dyDescent="0.2">
      <c r="A41" s="503"/>
      <c r="B41" s="503"/>
      <c r="C41" s="503"/>
      <c r="D41" s="503"/>
      <c r="E41" s="503"/>
      <c r="F41" s="503"/>
      <c r="G41" s="503"/>
      <c r="H41" s="541"/>
    </row>
    <row r="42" spans="1:8" x14ac:dyDescent="0.2">
      <c r="A42" s="503"/>
      <c r="B42" s="503"/>
      <c r="C42" s="503"/>
      <c r="D42" s="503"/>
      <c r="E42" s="503"/>
      <c r="F42" s="503"/>
      <c r="G42" s="503"/>
      <c r="H42" s="541"/>
    </row>
    <row r="43" spans="1:8" x14ac:dyDescent="0.2">
      <c r="A43" s="503"/>
      <c r="B43" s="503"/>
      <c r="C43" s="503"/>
      <c r="D43" s="503"/>
      <c r="E43" s="503"/>
      <c r="F43" s="503"/>
      <c r="G43" s="503"/>
      <c r="H43" s="541"/>
    </row>
    <row r="44" spans="1:8" x14ac:dyDescent="0.2"/>
    <row r="45" spans="1:8" x14ac:dyDescent="0.2"/>
    <row r="46" spans="1:8" x14ac:dyDescent="0.2"/>
    <row r="47" spans="1:8" x14ac:dyDescent="0.2"/>
    <row r="48" spans="1:8" x14ac:dyDescent="0.2"/>
    <row r="49" x14ac:dyDescent="0.2"/>
    <row r="52" x14ac:dyDescent="0.2"/>
    <row r="53" x14ac:dyDescent="0.2"/>
    <row r="54" x14ac:dyDescent="0.2"/>
  </sheetData>
  <sheetProtection algorithmName="SHA-512" hashValue="OlYZsuN1KLnpMwtbKYUBJT82rFT5U22ztaaFdeWs2GK3h1Fw126dQy51rjf5Pti/CEhrHvGLQXPxNdOm/j3byw==" saltValue="s4PFeAZaqtndMjDDgmMKAw==" spinCount="100000" sheet="1" objects="1" scenarios="1"/>
  <mergeCells count="3">
    <mergeCell ref="H1:H43"/>
    <mergeCell ref="J2:N2"/>
    <mergeCell ref="B2:F2"/>
  </mergeCells>
  <printOptions horizontalCentered="1" verticalCentered="1"/>
  <pageMargins left="0.19685039370078741" right="0.19685039370078741" top="0.59055118110236227" bottom="0.39370078740157483" header="0.19685039370078741" footer="0.19685039370078741"/>
  <pageSetup paperSize="9" firstPageNumber="7" orientation="portrait" useFirstPageNumber="1" r:id="rId1"/>
  <headerFooter>
    <oddHeader>&amp;L&amp;G</oddHeader>
    <oddFooter>&amp;C&amp;"-,Normal"&amp;8DIVISÃO DE ESTUDOS E ESTATÍSTICA - 2012 - RESEARCH AND STATISTICS DIVISION&amp;R&amp;"-,Normal"&amp;8&amp;P</oddFooter>
  </headerFooter>
  <ignoredErrors>
    <ignoredError sqref="L5 L6:L9 L10 L11" 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499984740745262"/>
  </sheetPr>
  <dimension ref="A2:Z93"/>
  <sheetViews>
    <sheetView showGridLines="0" zoomScaleNormal="100" zoomScaleSheetLayoutView="100" workbookViewId="0">
      <selection activeCell="B3" sqref="B3:F4"/>
    </sheetView>
  </sheetViews>
  <sheetFormatPr defaultColWidth="9.140625" defaultRowHeight="12.75" x14ac:dyDescent="0.2"/>
  <cols>
    <col min="1" max="1" width="20.42578125" style="503" customWidth="1"/>
    <col min="2" max="2" width="25.7109375" style="443" customWidth="1"/>
    <col min="3" max="4" width="15.85546875" style="443" bestFit="1" customWidth="1"/>
    <col min="5" max="6" width="8.7109375" style="443" customWidth="1"/>
    <col min="7" max="8" width="15.28515625" style="443" customWidth="1"/>
    <col min="9" max="9" width="8.7109375" style="443" customWidth="1"/>
    <col min="10" max="10" width="25.7109375" style="443" customWidth="1"/>
    <col min="11" max="12" width="14.7109375" style="443" customWidth="1"/>
    <col min="13" max="14" width="8.7109375" style="443" customWidth="1"/>
    <col min="15" max="17" width="9.140625" style="443"/>
    <col min="18" max="18" width="24.5703125" style="443" bestFit="1" customWidth="1"/>
    <col min="19" max="21" width="18.7109375" style="443" customWidth="1"/>
    <col min="22" max="22" width="9.140625" style="443"/>
    <col min="23" max="23" width="23.7109375" style="443" bestFit="1" customWidth="1"/>
    <col min="24" max="16384" width="9.140625" style="443"/>
  </cols>
  <sheetData>
    <row r="2" spans="1:25" x14ac:dyDescent="0.2">
      <c r="D2" s="572"/>
    </row>
    <row r="3" spans="1:25" ht="42" customHeight="1" x14ac:dyDescent="0.4">
      <c r="A3" s="499"/>
      <c r="B3" s="294" t="s">
        <v>972</v>
      </c>
      <c r="C3" s="295"/>
      <c r="D3" s="295"/>
      <c r="E3" s="295"/>
      <c r="F3" s="295"/>
      <c r="G3" s="500"/>
      <c r="H3" s="500"/>
      <c r="I3" s="444"/>
      <c r="J3" s="294" t="s">
        <v>973</v>
      </c>
      <c r="K3" s="295"/>
      <c r="L3" s="295"/>
      <c r="M3" s="295"/>
      <c r="N3" s="295"/>
      <c r="R3" s="294" t="s">
        <v>974</v>
      </c>
      <c r="S3" s="295"/>
      <c r="T3" s="295"/>
      <c r="U3" s="295"/>
    </row>
    <row r="4" spans="1:25" ht="18.75" customHeight="1" x14ac:dyDescent="0.2">
      <c r="A4" s="497"/>
      <c r="B4" s="295"/>
      <c r="C4" s="295"/>
      <c r="D4" s="295"/>
      <c r="E4" s="295"/>
      <c r="F4" s="295"/>
      <c r="G4" s="573"/>
      <c r="H4" s="573"/>
      <c r="J4" s="295"/>
      <c r="K4" s="295"/>
      <c r="L4" s="295"/>
      <c r="M4" s="295"/>
      <c r="N4" s="295"/>
      <c r="R4" s="295"/>
      <c r="S4" s="295"/>
      <c r="T4" s="295"/>
      <c r="U4" s="295"/>
    </row>
    <row r="5" spans="1:25" ht="18.75" x14ac:dyDescent="0.2">
      <c r="A5" s="497"/>
      <c r="B5" s="574"/>
      <c r="C5" s="574"/>
      <c r="D5" s="574"/>
      <c r="E5" s="574"/>
      <c r="F5" s="574"/>
      <c r="G5" s="574"/>
      <c r="H5" s="574"/>
    </row>
    <row r="6" spans="1:25" ht="18.75" x14ac:dyDescent="0.2">
      <c r="A6" s="497"/>
      <c r="B6" s="575" t="s">
        <v>894</v>
      </c>
      <c r="C6" s="505">
        <v>2021</v>
      </c>
      <c r="D6" s="505">
        <v>2022</v>
      </c>
      <c r="E6" s="576"/>
      <c r="F6" s="577" t="s">
        <v>11</v>
      </c>
      <c r="J6" s="504" t="s">
        <v>871</v>
      </c>
      <c r="K6" s="505">
        <v>2021</v>
      </c>
      <c r="L6" s="505">
        <v>2022</v>
      </c>
      <c r="M6" s="576"/>
      <c r="N6" s="577" t="s">
        <v>11</v>
      </c>
      <c r="R6" s="578" t="s">
        <v>871</v>
      </c>
      <c r="S6" s="579" t="s">
        <v>872</v>
      </c>
      <c r="T6" s="579" t="s">
        <v>873</v>
      </c>
      <c r="U6" s="580" t="s">
        <v>874</v>
      </c>
      <c r="W6" s="581"/>
      <c r="X6" s="502"/>
      <c r="Y6" s="502"/>
    </row>
    <row r="7" spans="1:25" s="587" customFormat="1" ht="15.75" x14ac:dyDescent="0.2">
      <c r="A7" s="582"/>
      <c r="B7" s="583" t="str">
        <f>+UPPER(B57)</f>
        <v>NOS LUSOMUNDO CINEMAS</v>
      </c>
      <c r="C7" s="584">
        <v>90966.56</v>
      </c>
      <c r="D7" s="584">
        <v>1314414.69</v>
      </c>
      <c r="E7" s="509" t="str">
        <f>IF(F7&lt;0,"q",IF(OR(F7="-",F7=0),"","p"))</f>
        <v>p</v>
      </c>
      <c r="F7" s="585">
        <f>D7/C7-1</f>
        <v>13.449427240075913</v>
      </c>
      <c r="G7" s="586"/>
      <c r="H7" s="513"/>
      <c r="J7" s="583" t="str">
        <f>+UPPER(I52)</f>
        <v>NOS LUSOMUNDO CINEMAS</v>
      </c>
      <c r="K7" s="588">
        <v>15900</v>
      </c>
      <c r="L7" s="588">
        <v>228547</v>
      </c>
      <c r="M7" s="509" t="str">
        <f>IF(N7&lt;0,"q",IF(OR(N7="-",N7=0),"","p"))</f>
        <v>p</v>
      </c>
      <c r="N7" s="585">
        <f>L7/K7-1</f>
        <v>13.374025157232705</v>
      </c>
      <c r="O7" s="586"/>
      <c r="R7" s="583" t="str">
        <f t="shared" ref="R7:R16" si="0">+UPPER(R56)</f>
        <v>NOS LUSOMUNDO CINEMAS</v>
      </c>
      <c r="S7" s="589">
        <v>29</v>
      </c>
      <c r="T7" s="589">
        <v>208</v>
      </c>
      <c r="U7" s="589">
        <v>38891</v>
      </c>
      <c r="V7" s="586"/>
      <c r="W7" s="590"/>
      <c r="X7" s="586"/>
      <c r="Y7" s="591"/>
    </row>
    <row r="8" spans="1:25" s="587" customFormat="1" ht="15.75" x14ac:dyDescent="0.2">
      <c r="A8" s="582"/>
      <c r="B8" s="583" t="str">
        <f t="shared" ref="B8:B15" si="1">+UPPER(B58)</f>
        <v>UCI</v>
      </c>
      <c r="C8" s="592">
        <v>12204.16</v>
      </c>
      <c r="D8" s="592">
        <v>242085.96</v>
      </c>
      <c r="E8" s="516" t="str">
        <f t="shared" ref="E8:E19" si="2">IF(F8&lt;0,"q",IF(OR(F8="-",F8=0),"","p"))</f>
        <v>p</v>
      </c>
      <c r="F8" s="593">
        <f t="shared" ref="F8:F12" si="3">D8/C8-1</f>
        <v>18.836347606062194</v>
      </c>
      <c r="G8" s="586"/>
      <c r="H8" s="513"/>
      <c r="J8" s="583" t="str">
        <f t="shared" ref="J8:J17" si="4">+UPPER(I53)</f>
        <v>UCI</v>
      </c>
      <c r="K8" s="594">
        <v>2384</v>
      </c>
      <c r="L8" s="594">
        <v>44582</v>
      </c>
      <c r="M8" s="516" t="str">
        <f t="shared" ref="M8:M19" si="5">IF(N8&lt;0,"q",IF(OR(N8="-",N8=0),"","p"))</f>
        <v>p</v>
      </c>
      <c r="N8" s="593">
        <f>L8/K8-1</f>
        <v>17.700503355704697</v>
      </c>
      <c r="O8" s="586"/>
      <c r="R8" s="583" t="str">
        <f>+UPPER(R57)</f>
        <v>CINEPLACE</v>
      </c>
      <c r="S8" s="595">
        <v>14</v>
      </c>
      <c r="T8" s="595">
        <v>77</v>
      </c>
      <c r="U8" s="595">
        <v>11278</v>
      </c>
      <c r="V8" s="586"/>
      <c r="W8" s="590"/>
      <c r="X8" s="586"/>
      <c r="Y8" s="591"/>
    </row>
    <row r="9" spans="1:25" s="587" customFormat="1" ht="15.75" x14ac:dyDescent="0.2">
      <c r="A9" s="582"/>
      <c r="B9" s="583" t="str">
        <f t="shared" si="1"/>
        <v>CINEPLACE</v>
      </c>
      <c r="C9" s="592">
        <v>9532</v>
      </c>
      <c r="D9" s="596">
        <v>147314.70000000001</v>
      </c>
      <c r="E9" s="516" t="str">
        <f t="shared" si="2"/>
        <v>p</v>
      </c>
      <c r="F9" s="593">
        <f>D9/C9-1</f>
        <v>14.454752412924886</v>
      </c>
      <c r="G9" s="586"/>
      <c r="H9" s="513"/>
      <c r="J9" s="583" t="str">
        <f t="shared" si="4"/>
        <v>CINEPLACE</v>
      </c>
      <c r="K9" s="594">
        <v>1747</v>
      </c>
      <c r="L9" s="597">
        <v>27034</v>
      </c>
      <c r="M9" s="516" t="str">
        <f t="shared" si="5"/>
        <v>p</v>
      </c>
      <c r="N9" s="593">
        <f>L9/K9-1</f>
        <v>14.474527761877503</v>
      </c>
      <c r="O9" s="586"/>
      <c r="R9" s="583" t="str">
        <f t="shared" si="0"/>
        <v>NLC - CINEMA CITY</v>
      </c>
      <c r="S9" s="595">
        <v>6</v>
      </c>
      <c r="T9" s="595">
        <v>42</v>
      </c>
      <c r="U9" s="595">
        <v>6215</v>
      </c>
      <c r="V9" s="586"/>
      <c r="W9" s="590"/>
      <c r="X9" s="586"/>
      <c r="Y9" s="591"/>
    </row>
    <row r="10" spans="1:25" s="587" customFormat="1" ht="15.75" x14ac:dyDescent="0.2">
      <c r="A10" s="582"/>
      <c r="B10" s="583" t="str">
        <f t="shared" si="1"/>
        <v>NLC - CINEMA CITY</v>
      </c>
      <c r="C10" s="592">
        <v>4647.45</v>
      </c>
      <c r="D10" s="592">
        <v>115499.7</v>
      </c>
      <c r="E10" s="516" t="str">
        <f t="shared" si="2"/>
        <v>p</v>
      </c>
      <c r="F10" s="593">
        <f t="shared" si="3"/>
        <v>23.85227382758287</v>
      </c>
      <c r="G10" s="586"/>
      <c r="H10" s="513"/>
      <c r="J10" s="583" t="str">
        <f>+UPPER(I55)</f>
        <v>NLC - CINEMA CITY</v>
      </c>
      <c r="K10" s="594">
        <v>782</v>
      </c>
      <c r="L10" s="594">
        <v>19443</v>
      </c>
      <c r="M10" s="516" t="str">
        <f t="shared" si="5"/>
        <v>p</v>
      </c>
      <c r="N10" s="593">
        <f>L10/K10-1</f>
        <v>23.863171355498721</v>
      </c>
      <c r="O10" s="586"/>
      <c r="P10" s="598"/>
      <c r="R10" s="583" t="str">
        <f t="shared" si="0"/>
        <v>UCI</v>
      </c>
      <c r="S10" s="595">
        <v>3</v>
      </c>
      <c r="T10" s="595">
        <v>43</v>
      </c>
      <c r="U10" s="595">
        <v>9084</v>
      </c>
      <c r="V10" s="586"/>
      <c r="W10" s="590"/>
      <c r="X10" s="586"/>
      <c r="Y10" s="591"/>
    </row>
    <row r="11" spans="1:25" s="587" customFormat="1" ht="15.75" x14ac:dyDescent="0.2">
      <c r="A11" s="582"/>
      <c r="B11" s="583" t="str">
        <f>+UPPER(B61)</f>
        <v>SOCORAMA</v>
      </c>
      <c r="C11" s="514">
        <v>5366.8</v>
      </c>
      <c r="D11" s="596">
        <v>88560.9</v>
      </c>
      <c r="E11" s="516" t="str">
        <f t="shared" si="2"/>
        <v>p</v>
      </c>
      <c r="F11" s="593">
        <f t="shared" si="3"/>
        <v>15.501621077737198</v>
      </c>
      <c r="G11" s="586"/>
      <c r="H11" s="513"/>
      <c r="J11" s="583" t="str">
        <f t="shared" si="4"/>
        <v>SOCORAMA</v>
      </c>
      <c r="K11" s="518">
        <v>959</v>
      </c>
      <c r="L11" s="597">
        <v>15360</v>
      </c>
      <c r="M11" s="516" t="str">
        <f t="shared" si="5"/>
        <v>p</v>
      </c>
      <c r="N11" s="593">
        <f>L11/K11-1</f>
        <v>15.016684045881128</v>
      </c>
      <c r="O11" s="586"/>
      <c r="P11" s="598"/>
      <c r="R11" s="583" t="str">
        <f t="shared" si="0"/>
        <v>SOCORAMA</v>
      </c>
      <c r="S11" s="595">
        <v>6</v>
      </c>
      <c r="T11" s="595">
        <v>31</v>
      </c>
      <c r="U11" s="595">
        <v>4492</v>
      </c>
      <c r="V11" s="586"/>
      <c r="W11" s="590"/>
      <c r="X11" s="586"/>
      <c r="Y11" s="591"/>
    </row>
    <row r="12" spans="1:25" s="587" customFormat="1" ht="15.75" x14ac:dyDescent="0.2">
      <c r="A12" s="582"/>
      <c r="B12" s="583" t="str">
        <f t="shared" si="1"/>
        <v>MEDEIA FILMES</v>
      </c>
      <c r="C12" s="592">
        <v>7746.25</v>
      </c>
      <c r="D12" s="596">
        <v>26806.25</v>
      </c>
      <c r="E12" s="516" t="str">
        <f t="shared" si="2"/>
        <v>p</v>
      </c>
      <c r="F12" s="593">
        <f t="shared" si="3"/>
        <v>2.4605454252057446</v>
      </c>
      <c r="G12" s="586"/>
      <c r="H12" s="513"/>
      <c r="J12" s="583" t="str">
        <f t="shared" si="4"/>
        <v>MEDEIA FILMES</v>
      </c>
      <c r="K12" s="597">
        <v>1361</v>
      </c>
      <c r="L12" s="597">
        <v>4586</v>
      </c>
      <c r="M12" s="516" t="str">
        <f t="shared" si="5"/>
        <v>p</v>
      </c>
      <c r="N12" s="593">
        <f t="shared" ref="N12:N20" si="6">L12/K12-1</f>
        <v>2.3695811903012491</v>
      </c>
      <c r="O12" s="586"/>
      <c r="R12" s="583" t="str">
        <f t="shared" si="0"/>
        <v>ALGARCINE</v>
      </c>
      <c r="S12" s="595">
        <v>3</v>
      </c>
      <c r="T12" s="595">
        <v>7</v>
      </c>
      <c r="U12" s="595">
        <v>1135</v>
      </c>
      <c r="V12" s="586"/>
      <c r="X12" s="586"/>
      <c r="Y12" s="599"/>
    </row>
    <row r="13" spans="1:25" s="587" customFormat="1" ht="15.75" x14ac:dyDescent="0.2">
      <c r="A13" s="582"/>
      <c r="B13" s="583" t="str">
        <f t="shared" si="1"/>
        <v>NITRATO FILMES</v>
      </c>
      <c r="C13" s="592">
        <v>4371</v>
      </c>
      <c r="D13" s="596">
        <v>20280</v>
      </c>
      <c r="E13" s="516" t="str">
        <f t="shared" si="2"/>
        <v>p</v>
      </c>
      <c r="F13" s="593">
        <f>D13/C13-1</f>
        <v>3.6396705559368563</v>
      </c>
      <c r="G13" s="586"/>
      <c r="H13" s="513"/>
      <c r="J13" s="583" t="str">
        <f>+UPPER(I58)</f>
        <v>NITRATO FILMES</v>
      </c>
      <c r="K13" s="597">
        <v>948</v>
      </c>
      <c r="L13" s="597">
        <v>4121</v>
      </c>
      <c r="M13" s="516" t="str">
        <f t="shared" si="5"/>
        <v>p</v>
      </c>
      <c r="N13" s="593">
        <f>L13/K13-1</f>
        <v>3.3470464135021096</v>
      </c>
      <c r="O13" s="586"/>
      <c r="R13" s="583" t="str">
        <f t="shared" si="0"/>
        <v>FIRST PICK</v>
      </c>
      <c r="S13" s="595">
        <v>1</v>
      </c>
      <c r="T13" s="595">
        <v>5</v>
      </c>
      <c r="U13" s="595">
        <v>519</v>
      </c>
      <c r="V13" s="586"/>
    </row>
    <row r="14" spans="1:25" s="587" customFormat="1" ht="15.75" x14ac:dyDescent="0.2">
      <c r="A14" s="582"/>
      <c r="B14" s="583" t="str">
        <f t="shared" si="1"/>
        <v>ALGARCINE</v>
      </c>
      <c r="C14" s="592">
        <v>607.5</v>
      </c>
      <c r="D14" s="596">
        <v>11216</v>
      </c>
      <c r="E14" s="516" t="str">
        <f t="shared" si="2"/>
        <v>p</v>
      </c>
      <c r="F14" s="593">
        <f t="shared" ref="F14:F17" si="7">D14/C14-1</f>
        <v>17.462551440329218</v>
      </c>
      <c r="G14" s="586"/>
      <c r="H14" s="513"/>
      <c r="J14" s="583" t="str">
        <f t="shared" si="4"/>
        <v>ALGARCINE</v>
      </c>
      <c r="K14" s="597">
        <v>146</v>
      </c>
      <c r="L14" s="597">
        <v>2339</v>
      </c>
      <c r="M14" s="516" t="str">
        <f>IF(N14&lt;0,"q",IF(OR(N14="-",N14=0),"","p"))</f>
        <v>p</v>
      </c>
      <c r="N14" s="593">
        <f>L14/K14-1</f>
        <v>15.020547945205479</v>
      </c>
      <c r="O14" s="586"/>
      <c r="R14" s="583" t="str">
        <f t="shared" si="0"/>
        <v>CINEBOX</v>
      </c>
      <c r="S14" s="595">
        <v>1</v>
      </c>
      <c r="T14" s="595">
        <v>3</v>
      </c>
      <c r="U14" s="595">
        <v>342</v>
      </c>
      <c r="V14" s="586"/>
      <c r="X14" s="598"/>
    </row>
    <row r="15" spans="1:25" s="587" customFormat="1" ht="15.75" x14ac:dyDescent="0.2">
      <c r="A15" s="582"/>
      <c r="B15" s="583" t="str">
        <f t="shared" si="1"/>
        <v>CINEMAS CINEMAX</v>
      </c>
      <c r="C15" s="592">
        <v>400.65</v>
      </c>
      <c r="D15" s="596">
        <v>10584.65</v>
      </c>
      <c r="E15" s="516" t="str">
        <f t="shared" si="2"/>
        <v>p</v>
      </c>
      <c r="F15" s="593">
        <f t="shared" si="7"/>
        <v>25.418694621240483</v>
      </c>
      <c r="G15" s="586"/>
      <c r="H15" s="513"/>
      <c r="J15" s="583" t="str">
        <f t="shared" si="4"/>
        <v>CINEMAS CINEMAX</v>
      </c>
      <c r="K15" s="597">
        <v>87</v>
      </c>
      <c r="L15" s="597">
        <v>2102</v>
      </c>
      <c r="M15" s="516" t="str">
        <f>IF(N15&lt;0,"q",IF(OR(N15="-",N15=0),"","p"))</f>
        <v>p</v>
      </c>
      <c r="N15" s="593">
        <f>L15/K15-1</f>
        <v>23.160919540229884</v>
      </c>
      <c r="O15" s="586"/>
      <c r="R15" s="583" t="str">
        <f t="shared" si="0"/>
        <v>CINEMAS CINEMAX</v>
      </c>
      <c r="S15" s="595">
        <v>1</v>
      </c>
      <c r="T15" s="595">
        <v>3</v>
      </c>
      <c r="U15" s="595">
        <v>370</v>
      </c>
      <c r="V15" s="586"/>
      <c r="Y15" s="599"/>
    </row>
    <row r="16" spans="1:25" s="587" customFormat="1" ht="15.75" x14ac:dyDescent="0.2">
      <c r="A16" s="582"/>
      <c r="B16" s="583" t="str">
        <f>+UPPER(B66)</f>
        <v>FIRST PICK</v>
      </c>
      <c r="C16" s="592">
        <v>875</v>
      </c>
      <c r="D16" s="596">
        <v>6982.9</v>
      </c>
      <c r="E16" s="516" t="str">
        <f t="shared" si="2"/>
        <v>p</v>
      </c>
      <c r="F16" s="593">
        <f t="shared" si="7"/>
        <v>6.9804571428571425</v>
      </c>
      <c r="G16" s="586"/>
      <c r="H16" s="513"/>
      <c r="J16" s="583" t="str">
        <f>+UPPER(I61)</f>
        <v>FIRST PICK</v>
      </c>
      <c r="K16" s="597">
        <v>145</v>
      </c>
      <c r="L16" s="597">
        <v>1213</v>
      </c>
      <c r="M16" s="516" t="str">
        <f t="shared" ref="M16:M17" si="8">IF(N16&lt;0,"q",IF(OR(N16="-",N16=0),"","p"))</f>
        <v>p</v>
      </c>
      <c r="N16" s="593">
        <f t="shared" ref="N16:N17" si="9">L16/K16-1</f>
        <v>7.36551724137931</v>
      </c>
      <c r="O16" s="586"/>
      <c r="R16" s="583" t="str">
        <f t="shared" si="0"/>
        <v>MEDEIA FILMES</v>
      </c>
      <c r="S16" s="595">
        <v>2</v>
      </c>
      <c r="T16" s="595">
        <v>2</v>
      </c>
      <c r="U16" s="595">
        <v>291</v>
      </c>
      <c r="V16" s="586"/>
      <c r="Y16" s="599"/>
    </row>
    <row r="17" spans="1:26" s="587" customFormat="1" ht="15.75" x14ac:dyDescent="0.2">
      <c r="A17" s="582"/>
      <c r="B17" s="583" t="str">
        <f>+UPPER(B67)</f>
        <v>CINEBOX</v>
      </c>
      <c r="C17" s="592">
        <v>480.5</v>
      </c>
      <c r="D17" s="596">
        <v>5463.7</v>
      </c>
      <c r="E17" s="516" t="str">
        <f t="shared" si="2"/>
        <v>p</v>
      </c>
      <c r="F17" s="593">
        <f t="shared" si="7"/>
        <v>10.370863683662851</v>
      </c>
      <c r="G17" s="586"/>
      <c r="H17" s="513"/>
      <c r="J17" s="583" t="str">
        <f t="shared" si="4"/>
        <v>CINEBOX</v>
      </c>
      <c r="K17" s="597">
        <v>97</v>
      </c>
      <c r="L17" s="597">
        <v>1015</v>
      </c>
      <c r="M17" s="516" t="str">
        <f t="shared" si="8"/>
        <v>p</v>
      </c>
      <c r="N17" s="593">
        <f t="shared" si="9"/>
        <v>9.463917525773196</v>
      </c>
      <c r="O17" s="586"/>
      <c r="R17" s="522" t="s">
        <v>875</v>
      </c>
      <c r="S17" s="600">
        <v>59</v>
      </c>
      <c r="T17" s="600">
        <v>63</v>
      </c>
      <c r="U17" s="600">
        <v>15389</v>
      </c>
      <c r="V17" s="586"/>
      <c r="W17" s="599"/>
    </row>
    <row r="18" spans="1:26" s="587" customFormat="1" ht="15.75" x14ac:dyDescent="0.2">
      <c r="A18" s="582"/>
      <c r="B18" s="522" t="s">
        <v>875</v>
      </c>
      <c r="C18" s="601">
        <v>6524.79</v>
      </c>
      <c r="D18" s="602">
        <v>47708.65</v>
      </c>
      <c r="E18" s="516" t="str">
        <f t="shared" si="2"/>
        <v>p</v>
      </c>
      <c r="F18" s="593">
        <f t="shared" ref="F18" si="10">D18/C18-1</f>
        <v>6.3119058237889654</v>
      </c>
      <c r="G18" s="586"/>
      <c r="H18" s="513"/>
      <c r="J18" s="522" t="s">
        <v>875</v>
      </c>
      <c r="K18" s="603">
        <v>1987</v>
      </c>
      <c r="L18" s="603">
        <v>12867</v>
      </c>
      <c r="M18" s="516" t="str">
        <f t="shared" si="5"/>
        <v>p</v>
      </c>
      <c r="N18" s="604">
        <f>L18/K18-1</f>
        <v>5.4755913437342727</v>
      </c>
      <c r="O18" s="586"/>
      <c r="R18" s="605" t="s">
        <v>12</v>
      </c>
      <c r="S18" s="606">
        <f>SUM(S7:S17)</f>
        <v>125</v>
      </c>
      <c r="T18" s="606">
        <f>SUM(T7:T17)</f>
        <v>484</v>
      </c>
      <c r="U18" s="607">
        <f>SUM(U7:U17)</f>
        <v>88006</v>
      </c>
      <c r="V18" s="598"/>
    </row>
    <row r="19" spans="1:26" s="587" customFormat="1" ht="15.75" x14ac:dyDescent="0.2">
      <c r="A19" s="582"/>
      <c r="B19" s="605" t="s">
        <v>12</v>
      </c>
      <c r="C19" s="608">
        <f>SUM(C7:C18)</f>
        <v>143722.66</v>
      </c>
      <c r="D19" s="608">
        <f>SUM(D7:D18)</f>
        <v>2036918.0999999994</v>
      </c>
      <c r="E19" s="528" t="str">
        <f t="shared" si="2"/>
        <v>p</v>
      </c>
      <c r="F19" s="609">
        <f>D19/C19-1</f>
        <v>13.172560541253546</v>
      </c>
      <c r="G19" s="586"/>
      <c r="H19" s="513"/>
      <c r="J19" s="605" t="s">
        <v>12</v>
      </c>
      <c r="K19" s="610">
        <f>SUM(K7:K18)</f>
        <v>26543</v>
      </c>
      <c r="L19" s="610">
        <f>SUM(L7:L18)</f>
        <v>363209</v>
      </c>
      <c r="M19" s="528" t="str">
        <f t="shared" si="5"/>
        <v>p</v>
      </c>
      <c r="N19" s="611">
        <f>SUM(L19-K19)/K19</f>
        <v>12.683796104434315</v>
      </c>
      <c r="O19" s="586"/>
      <c r="W19" s="598"/>
    </row>
    <row r="20" spans="1:26" s="587" customFormat="1" ht="15.75" hidden="1" x14ac:dyDescent="0.2">
      <c r="A20" s="582"/>
      <c r="B20" s="506"/>
      <c r="C20" s="584"/>
      <c r="D20" s="612"/>
      <c r="E20" s="613" t="e">
        <f>IF(F20&lt;0,"↓",IF(OR(F20="-",F20=0),"","↑"))</f>
        <v>#DIV/0!</v>
      </c>
      <c r="F20" s="585" t="e">
        <f>D20/C20-1</f>
        <v>#DIV/0!</v>
      </c>
      <c r="G20" s="586"/>
      <c r="J20" s="506"/>
      <c r="K20" s="614"/>
      <c r="L20" s="614"/>
      <c r="M20" s="613" t="e">
        <f t="shared" ref="M20" si="11">IF(N20&lt;0,"↓",IF(OR(N20="-",N20=0),"","↑"))</f>
        <v>#DIV/0!</v>
      </c>
      <c r="N20" s="585" t="e">
        <f t="shared" si="6"/>
        <v>#DIV/0!</v>
      </c>
      <c r="O20" s="586"/>
    </row>
    <row r="21" spans="1:26" s="587" customFormat="1" ht="15.75" x14ac:dyDescent="0.2">
      <c r="A21" s="582"/>
      <c r="G21" s="598"/>
      <c r="O21" s="598"/>
      <c r="R21" s="615" t="s">
        <v>12</v>
      </c>
      <c r="S21" s="616">
        <f>SUM(S7:S17)</f>
        <v>125</v>
      </c>
      <c r="T21" s="616">
        <f>SUM(T7:T17)</f>
        <v>484</v>
      </c>
      <c r="U21" s="616">
        <f>SUM(U7:U17)</f>
        <v>88006</v>
      </c>
      <c r="V21" s="511"/>
    </row>
    <row r="22" spans="1:26" x14ac:dyDescent="0.2">
      <c r="B22" s="470"/>
      <c r="C22" s="521"/>
      <c r="D22" s="511"/>
      <c r="G22" s="511"/>
      <c r="K22" s="617"/>
      <c r="N22" s="472"/>
      <c r="O22" s="511"/>
      <c r="Z22" s="617"/>
    </row>
    <row r="23" spans="1:26" x14ac:dyDescent="0.2">
      <c r="C23" s="521"/>
      <c r="G23" s="521"/>
      <c r="K23" s="617"/>
      <c r="O23" s="511"/>
      <c r="P23" s="511"/>
      <c r="S23" s="617"/>
      <c r="T23" s="617"/>
      <c r="U23" s="617"/>
      <c r="Y23" s="617"/>
    </row>
    <row r="24" spans="1:26" x14ac:dyDescent="0.2">
      <c r="C24" s="521"/>
      <c r="K24" s="472"/>
      <c r="S24" s="617"/>
      <c r="T24" s="617"/>
      <c r="U24" s="472"/>
      <c r="Y24" s="472"/>
    </row>
    <row r="25" spans="1:26" x14ac:dyDescent="0.2">
      <c r="D25" s="521"/>
      <c r="F25" s="618"/>
      <c r="G25" s="618"/>
      <c r="K25" s="472"/>
      <c r="L25" s="617"/>
      <c r="S25" s="617"/>
      <c r="T25" s="617"/>
      <c r="U25" s="472"/>
      <c r="Y25" s="617"/>
    </row>
    <row r="26" spans="1:26" x14ac:dyDescent="0.2">
      <c r="U26" s="472"/>
      <c r="V26" s="511"/>
      <c r="W26" s="472"/>
    </row>
    <row r="27" spans="1:26" x14ac:dyDescent="0.2">
      <c r="W27" s="472"/>
    </row>
    <row r="28" spans="1:26" x14ac:dyDescent="0.2">
      <c r="G28" s="540"/>
      <c r="W28" s="472"/>
    </row>
    <row r="44" hidden="1" x14ac:dyDescent="0.2"/>
    <row r="45" hidden="1" x14ac:dyDescent="0.2"/>
    <row r="46" hidden="1" x14ac:dyDescent="0.2"/>
    <row r="47" hidden="1" x14ac:dyDescent="0.2"/>
    <row r="48" hidden="1" x14ac:dyDescent="0.2"/>
    <row r="49" spans="2:18" hidden="1" x14ac:dyDescent="0.2"/>
    <row r="50" spans="2:18" hidden="1" x14ac:dyDescent="0.2"/>
    <row r="51" spans="2:18" hidden="1" x14ac:dyDescent="0.2"/>
    <row r="52" spans="2:18" hidden="1" x14ac:dyDescent="0.2">
      <c r="I52" s="443" t="s">
        <v>779</v>
      </c>
    </row>
    <row r="53" spans="2:18" hidden="1" x14ac:dyDescent="0.2">
      <c r="I53" s="443" t="s">
        <v>15</v>
      </c>
    </row>
    <row r="54" spans="2:18" hidden="1" x14ac:dyDescent="0.2">
      <c r="I54" s="443" t="s">
        <v>928</v>
      </c>
      <c r="R54" s="443" t="s">
        <v>774</v>
      </c>
    </row>
    <row r="55" spans="2:18" hidden="1" x14ac:dyDescent="0.2">
      <c r="B55" s="443" t="s">
        <v>774</v>
      </c>
      <c r="I55" s="443" t="s">
        <v>780</v>
      </c>
      <c r="R55" s="619" t="s">
        <v>854</v>
      </c>
    </row>
    <row r="56" spans="2:18" hidden="1" x14ac:dyDescent="0.2">
      <c r="B56" s="413" t="s">
        <v>854</v>
      </c>
      <c r="I56" s="443" t="s">
        <v>781</v>
      </c>
      <c r="R56" s="620" t="s">
        <v>930</v>
      </c>
    </row>
    <row r="57" spans="2:18" hidden="1" x14ac:dyDescent="0.2">
      <c r="B57" s="620" t="s">
        <v>779</v>
      </c>
      <c r="I57" s="443" t="s">
        <v>782</v>
      </c>
      <c r="R57" s="620" t="s">
        <v>928</v>
      </c>
    </row>
    <row r="58" spans="2:18" hidden="1" x14ac:dyDescent="0.2">
      <c r="B58" s="620" t="s">
        <v>15</v>
      </c>
      <c r="I58" s="443" t="s">
        <v>931</v>
      </c>
      <c r="R58" s="620" t="s">
        <v>780</v>
      </c>
    </row>
    <row r="59" spans="2:18" hidden="1" x14ac:dyDescent="0.2">
      <c r="B59" s="620" t="s">
        <v>928</v>
      </c>
      <c r="I59" s="443" t="s">
        <v>783</v>
      </c>
      <c r="R59" s="620" t="s">
        <v>15</v>
      </c>
    </row>
    <row r="60" spans="2:18" hidden="1" x14ac:dyDescent="0.2">
      <c r="B60" s="620" t="s">
        <v>780</v>
      </c>
      <c r="I60" s="443" t="s">
        <v>784</v>
      </c>
      <c r="R60" s="620" t="s">
        <v>781</v>
      </c>
    </row>
    <row r="61" spans="2:18" hidden="1" x14ac:dyDescent="0.2">
      <c r="B61" s="620" t="s">
        <v>781</v>
      </c>
      <c r="I61" s="443" t="s">
        <v>785</v>
      </c>
      <c r="R61" s="620" t="s">
        <v>783</v>
      </c>
    </row>
    <row r="62" spans="2:18" hidden="1" x14ac:dyDescent="0.2">
      <c r="B62" s="620" t="s">
        <v>782</v>
      </c>
      <c r="I62" s="443" t="s">
        <v>900</v>
      </c>
      <c r="R62" s="620" t="s">
        <v>785</v>
      </c>
    </row>
    <row r="63" spans="2:18" hidden="1" x14ac:dyDescent="0.2">
      <c r="B63" s="620" t="s">
        <v>931</v>
      </c>
      <c r="R63" s="620" t="s">
        <v>900</v>
      </c>
    </row>
    <row r="64" spans="2:18" hidden="1" x14ac:dyDescent="0.2">
      <c r="B64" s="620" t="s">
        <v>783</v>
      </c>
      <c r="R64" s="620" t="s">
        <v>784</v>
      </c>
    </row>
    <row r="65" spans="2:18" hidden="1" x14ac:dyDescent="0.2">
      <c r="B65" s="620" t="s">
        <v>784</v>
      </c>
      <c r="R65" s="620" t="s">
        <v>782</v>
      </c>
    </row>
    <row r="66" spans="2:18" hidden="1" x14ac:dyDescent="0.2">
      <c r="B66" s="620" t="s">
        <v>785</v>
      </c>
      <c r="R66" s="620" t="s">
        <v>923</v>
      </c>
    </row>
    <row r="67" spans="2:18" hidden="1" x14ac:dyDescent="0.2">
      <c r="B67" s="620" t="s">
        <v>900</v>
      </c>
      <c r="R67" s="443" t="s">
        <v>923</v>
      </c>
    </row>
    <row r="68" spans="2:18" hidden="1" x14ac:dyDescent="0.2">
      <c r="B68" s="620"/>
    </row>
    <row r="69" spans="2:18" hidden="1" x14ac:dyDescent="0.2">
      <c r="B69" s="620"/>
    </row>
    <row r="70" spans="2:18" hidden="1" x14ac:dyDescent="0.2"/>
    <row r="71" spans="2:18" hidden="1" x14ac:dyDescent="0.2"/>
    <row r="72" spans="2:18" hidden="1" x14ac:dyDescent="0.2"/>
    <row r="73" spans="2:18" hidden="1" x14ac:dyDescent="0.2"/>
    <row r="74" spans="2:18" hidden="1" x14ac:dyDescent="0.2"/>
    <row r="75" spans="2:18" hidden="1" x14ac:dyDescent="0.2"/>
    <row r="76" spans="2:18" hidden="1" x14ac:dyDescent="0.2"/>
    <row r="77" spans="2:18" hidden="1" x14ac:dyDescent="0.2"/>
    <row r="78" spans="2:18" hidden="1" x14ac:dyDescent="0.2"/>
    <row r="79" spans="2:18" hidden="1" x14ac:dyDescent="0.2"/>
    <row r="80" spans="2:1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sheetData>
  <sheetProtection algorithmName="SHA-512" hashValue="Aa4fX6GcQELVnvoLSU/RAMXJTMGLYvKa5iveLYL2yx201HkMgbs+q9r1MoaYbDa+44xSEayzUQA0NcXUZXEGhA==" saltValue="pWRPz2tEUwq1yWG17iGXjw==" spinCount="100000" sheet="1" objects="1" scenarios="1"/>
  <mergeCells count="3">
    <mergeCell ref="B3:F4"/>
    <mergeCell ref="J3:N4"/>
    <mergeCell ref="R3:U4"/>
  </mergeCells>
  <conditionalFormatting sqref="E20">
    <cfRule type="expression" dxfId="219" priority="21">
      <formula>$E20&gt;0</formula>
    </cfRule>
  </conditionalFormatting>
  <conditionalFormatting sqref="M20 E20 E7:E18 M7:M18">
    <cfRule type="expression" dxfId="218" priority="19">
      <formula>F7&gt;0</formula>
    </cfRule>
    <cfRule type="expression" dxfId="217" priority="20">
      <formula>F7&lt;0</formula>
    </cfRule>
  </conditionalFormatting>
  <conditionalFormatting sqref="E7:E18 M7:M18">
    <cfRule type="expression" dxfId="216" priority="12">
      <formula>#REF!&gt;0</formula>
    </cfRule>
  </conditionalFormatting>
  <conditionalFormatting sqref="E19">
    <cfRule type="expression" dxfId="215" priority="9">
      <formula>#REF!&gt;0</formula>
    </cfRule>
  </conditionalFormatting>
  <conditionalFormatting sqref="E19">
    <cfRule type="expression" dxfId="214" priority="7">
      <formula>F19&gt;0</formula>
    </cfRule>
    <cfRule type="expression" dxfId="213" priority="8">
      <formula>F19&lt;0</formula>
    </cfRule>
  </conditionalFormatting>
  <conditionalFormatting sqref="M19">
    <cfRule type="expression" dxfId="212" priority="3">
      <formula>#REF!&gt;0</formula>
    </cfRule>
  </conditionalFormatting>
  <conditionalFormatting sqref="M19">
    <cfRule type="expression" dxfId="211" priority="1">
      <formula>N19&gt;0</formula>
    </cfRule>
    <cfRule type="expression" dxfId="210" priority="2">
      <formula>N19&lt;0</formula>
    </cfRule>
  </conditionalFormatting>
  <conditionalFormatting sqref="M20">
    <cfRule type="expression" dxfId="209" priority="52">
      <formula>$E20&gt;0</formula>
    </cfRule>
  </conditionalFormatting>
  <printOptions horizontalCentered="1" verticalCentered="1"/>
  <pageMargins left="0.19685039370078741" right="0.19685039370078741" top="0.59055118110236227" bottom="0.39370078740157483" header="0.19685039370078741" footer="0.19685039370078741"/>
  <pageSetup paperSize="9" firstPageNumber="3" orientation="portrait" useFirstPageNumber="1" r:id="rId1"/>
  <headerFooter>
    <oddHeader>&amp;L&amp;G</oddHeader>
    <oddFooter>&amp;C&amp;"-,Normal"&amp;8DIVISÃO DE ESTUDOS E ESTATÍSTICA - 2012 - RESEARCH AND STATISTICS DIVISION&amp;R&amp;"-,Normal"&amp;8 3</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15</vt:i4>
      </vt:variant>
      <vt:variant>
        <vt:lpstr>Intervalos com Nome</vt:lpstr>
      </vt:variant>
      <vt:variant>
        <vt:i4>15</vt:i4>
      </vt:variant>
    </vt:vector>
  </HeadingPairs>
  <TitlesOfParts>
    <vt:vector size="30" baseType="lpstr">
      <vt:lpstr>Capa</vt:lpstr>
      <vt:lpstr>MENU</vt:lpstr>
      <vt:lpstr>3-4</vt:lpstr>
      <vt:lpstr>5</vt:lpstr>
      <vt:lpstr>6</vt:lpstr>
      <vt:lpstr>7</vt:lpstr>
      <vt:lpstr>8-9</vt:lpstr>
      <vt:lpstr>10-11</vt:lpstr>
      <vt:lpstr>12-13-14</vt:lpstr>
      <vt:lpstr>15</vt:lpstr>
      <vt:lpstr>16-...</vt:lpstr>
      <vt:lpstr>15-16</vt:lpstr>
      <vt:lpstr>NEWSLETTER</vt:lpstr>
      <vt:lpstr>TABELAS</vt:lpstr>
      <vt:lpstr>PRÉMIOS</vt:lpstr>
      <vt:lpstr>'10-11'!Área_de_Impressão</vt:lpstr>
      <vt:lpstr>'12-13-14'!Área_de_Impressão</vt:lpstr>
      <vt:lpstr>'15'!Área_de_Impressão</vt:lpstr>
      <vt:lpstr>'15-16'!Área_de_Impressão</vt:lpstr>
      <vt:lpstr>'16-...'!Área_de_Impressão</vt:lpstr>
      <vt:lpstr>'3-4'!Área_de_Impressão</vt:lpstr>
      <vt:lpstr>'6'!Área_de_Impressão</vt:lpstr>
      <vt:lpstr>'7'!Área_de_Impressão</vt:lpstr>
      <vt:lpstr>'8-9'!Área_de_Impressão</vt:lpstr>
      <vt:lpstr>Capa!Área_de_Impressão</vt:lpstr>
      <vt:lpstr>MENU!Área_de_Impressão</vt:lpstr>
      <vt:lpstr>NEWSLETTER!Área_de_Impressão</vt:lpstr>
      <vt:lpstr>'15-16'!Títulos_de_Impressão</vt:lpstr>
      <vt:lpstr>'16-...'!Títulos_de_Impressão</vt:lpstr>
      <vt:lpstr>NEWSLETTER!Títulos_de_Impressão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Marques</dc:creator>
  <cp:lastModifiedBy>Nuno Macela</cp:lastModifiedBy>
  <cp:lastPrinted>2016-02-10T12:18:10Z</cp:lastPrinted>
  <dcterms:created xsi:type="dcterms:W3CDTF">2010-08-18T10:24:26Z</dcterms:created>
  <dcterms:modified xsi:type="dcterms:W3CDTF">2022-02-10T14:29:43Z</dcterms:modified>
</cp:coreProperties>
</file>